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360" yWindow="180" windowWidth="18195" windowHeight="12480" tabRatio="998" firstSheet="4" activeTab="15"/>
  </bookViews>
  <sheets>
    <sheet name="SEPTEMBER 20" sheetId="1" r:id="rId1"/>
    <sheet name="OCTOBER 20" sheetId="2" r:id="rId2"/>
    <sheet name="NOVEMBER20" sheetId="3" r:id="rId3"/>
    <sheet name="DECEMBER 20" sheetId="4" r:id="rId4"/>
    <sheet name="JANUARY 21" sheetId="5" r:id="rId5"/>
    <sheet name="FEBRUARY21" sheetId="6" r:id="rId6"/>
    <sheet name="MARCH 21" sheetId="7" r:id="rId7"/>
    <sheet name="APRIL 21" sheetId="8" r:id="rId8"/>
    <sheet name="MAY 21" sheetId="9" r:id="rId9"/>
    <sheet name="JUNE 21" sheetId="10" r:id="rId10"/>
    <sheet name="JULY 21" sheetId="11" r:id="rId11"/>
    <sheet name="AUGUST 21" sheetId="12" r:id="rId12"/>
    <sheet name="SEPTEMBER 21" sheetId="13" r:id="rId13"/>
    <sheet name="OCTOBER 21" sheetId="14" r:id="rId14"/>
    <sheet name="NOVEMBER 21" sheetId="15" r:id="rId15"/>
    <sheet name="DECEMBER 21" sheetId="16" r:id="rId16"/>
  </sheets>
  <calcPr calcId="162913"/>
</workbook>
</file>

<file path=xl/calcChain.xml><?xml version="1.0" encoding="utf-8"?>
<calcChain xmlns="http://schemas.openxmlformats.org/spreadsheetml/2006/main">
  <c r="D22" i="16" l="1"/>
  <c r="G17" i="15" l="1"/>
  <c r="H37" i="16" l="1"/>
  <c r="D37" i="16"/>
  <c r="E23" i="16"/>
  <c r="I22" i="16"/>
  <c r="C26" i="16"/>
  <c r="C22" i="16"/>
  <c r="C28" i="16" s="1"/>
  <c r="G22" i="16"/>
  <c r="G26" i="16" s="1"/>
  <c r="H30" i="16" l="1"/>
  <c r="D30" i="16"/>
  <c r="G15" i="15"/>
  <c r="G11" i="14" l="1"/>
  <c r="H37" i="15" l="1"/>
  <c r="D37" i="15"/>
  <c r="E23" i="15"/>
  <c r="I22" i="15"/>
  <c r="D22" i="15"/>
  <c r="C26" i="15" s="1"/>
  <c r="C22" i="15"/>
  <c r="C28" i="15" s="1"/>
  <c r="G22" i="15"/>
  <c r="G26" i="15" s="1"/>
  <c r="H30" i="15" l="1"/>
  <c r="D30" i="15"/>
  <c r="G15" i="14"/>
  <c r="G17" i="14" l="1"/>
  <c r="G12" i="14"/>
  <c r="G20" i="13" l="1"/>
  <c r="H37" i="14" l="1"/>
  <c r="D37" i="14"/>
  <c r="E23" i="14"/>
  <c r="I22" i="14"/>
  <c r="D22" i="14"/>
  <c r="C26" i="14" s="1"/>
  <c r="C22" i="14"/>
  <c r="C28" i="14" s="1"/>
  <c r="G7" i="14"/>
  <c r="G22" i="14" s="1"/>
  <c r="G26" i="14" s="1"/>
  <c r="H30" i="14" l="1"/>
  <c r="D30" i="14"/>
  <c r="G7" i="13" l="1"/>
  <c r="G12" i="13" l="1"/>
  <c r="H37" i="13" l="1"/>
  <c r="D37" i="13"/>
  <c r="E23" i="13"/>
  <c r="I22" i="13"/>
  <c r="G22" i="13"/>
  <c r="G26" i="13" s="1"/>
  <c r="D22" i="13"/>
  <c r="C26" i="13" s="1"/>
  <c r="C22" i="13"/>
  <c r="C28" i="13" s="1"/>
  <c r="H30" i="13" l="1"/>
  <c r="D30" i="13"/>
  <c r="G20" i="12"/>
  <c r="G17" i="12"/>
  <c r="G7" i="12" l="1"/>
  <c r="G10" i="12" l="1"/>
  <c r="L37" i="11" l="1"/>
  <c r="H37" i="12" l="1"/>
  <c r="D37" i="12"/>
  <c r="E23" i="12"/>
  <c r="I22" i="12"/>
  <c r="D22" i="12"/>
  <c r="C26" i="12" s="1"/>
  <c r="C22" i="12"/>
  <c r="C28" i="12" s="1"/>
  <c r="G22" i="12"/>
  <c r="G26" i="12" s="1"/>
  <c r="G8" i="11"/>
  <c r="G13" i="11"/>
  <c r="G14" i="11"/>
  <c r="G15" i="11"/>
  <c r="G17" i="11"/>
  <c r="F18" i="11"/>
  <c r="H18" i="11" s="1"/>
  <c r="E18" i="12" s="1"/>
  <c r="F18" i="12" s="1"/>
  <c r="H18" i="12" s="1"/>
  <c r="E18" i="13" s="1"/>
  <c r="F18" i="13" s="1"/>
  <c r="H18" i="13" s="1"/>
  <c r="E18" i="14" s="1"/>
  <c r="F18" i="14" s="1"/>
  <c r="H18" i="14" s="1"/>
  <c r="E18" i="15" s="1"/>
  <c r="F18" i="15" s="1"/>
  <c r="H18" i="15" s="1"/>
  <c r="E18" i="16" s="1"/>
  <c r="F18" i="16" s="1"/>
  <c r="H18" i="16" s="1"/>
  <c r="G20" i="11"/>
  <c r="C22" i="11"/>
  <c r="C28" i="11" s="1"/>
  <c r="D22" i="11"/>
  <c r="C26" i="11" s="1"/>
  <c r="I22" i="11"/>
  <c r="E23" i="11"/>
  <c r="D37" i="11"/>
  <c r="H37" i="11"/>
  <c r="G18" i="10"/>
  <c r="D30" i="11" l="1"/>
  <c r="H30" i="11"/>
  <c r="G22" i="11"/>
  <c r="G26" i="11" s="1"/>
  <c r="H30" i="12"/>
  <c r="D30" i="12"/>
  <c r="L29" i="11"/>
  <c r="C28" i="10"/>
  <c r="L31" i="11"/>
  <c r="L27" i="11"/>
  <c r="L26" i="11"/>
  <c r="L28" i="11" l="1"/>
  <c r="G15" i="10"/>
  <c r="L30" i="11" l="1"/>
  <c r="L32" i="11" s="1"/>
  <c r="G20" i="10" l="1"/>
  <c r="O38" i="9" l="1"/>
  <c r="O36" i="9"/>
  <c r="J33" i="9" l="1"/>
  <c r="J32" i="9" s="1"/>
  <c r="L32" i="9"/>
  <c r="L30" i="9"/>
  <c r="C28" i="9" l="1"/>
  <c r="O33" i="9" s="1"/>
  <c r="G8" i="10"/>
  <c r="G17" i="10" l="1"/>
  <c r="G12" i="10" l="1"/>
  <c r="G10" i="10" l="1"/>
  <c r="G7" i="10" l="1"/>
  <c r="G20" i="9" l="1"/>
  <c r="E23" i="10" l="1"/>
  <c r="H37" i="10"/>
  <c r="D37" i="10"/>
  <c r="I22" i="10"/>
  <c r="D22" i="10"/>
  <c r="C26" i="10" s="1"/>
  <c r="C22" i="10"/>
  <c r="F14" i="10"/>
  <c r="H14" i="10" s="1"/>
  <c r="E14" i="11" s="1"/>
  <c r="F14" i="11" s="1"/>
  <c r="H14" i="11" s="1"/>
  <c r="E14" i="12" s="1"/>
  <c r="F14" i="12" s="1"/>
  <c r="H14" i="12" s="1"/>
  <c r="E14" i="13" s="1"/>
  <c r="F14" i="13" s="1"/>
  <c r="H14" i="13" s="1"/>
  <c r="E14" i="14" s="1"/>
  <c r="F14" i="14" s="1"/>
  <c r="H14" i="14" s="1"/>
  <c r="E14" i="15" s="1"/>
  <c r="F14" i="15" s="1"/>
  <c r="H14" i="15" s="1"/>
  <c r="E14" i="16" s="1"/>
  <c r="F14" i="16" s="1"/>
  <c r="H14" i="16" s="1"/>
  <c r="G22" i="10"/>
  <c r="G26" i="10" s="1"/>
  <c r="H30" i="10" l="1"/>
  <c r="D30" i="10"/>
  <c r="G8" i="9" l="1"/>
  <c r="G14" i="7" l="1"/>
  <c r="G13" i="6"/>
  <c r="G14" i="6"/>
  <c r="G13" i="8"/>
  <c r="G11" i="9" l="1"/>
  <c r="G17" i="9" l="1"/>
  <c r="G16" i="9" l="1"/>
  <c r="G7" i="9" l="1"/>
  <c r="G18" i="9" l="1"/>
  <c r="G12" i="9" l="1"/>
  <c r="H37" i="9" l="1"/>
  <c r="D37" i="9"/>
  <c r="E23" i="9"/>
  <c r="I22" i="9"/>
  <c r="D22" i="9"/>
  <c r="C22" i="9"/>
  <c r="F13" i="9"/>
  <c r="H13" i="9" s="1"/>
  <c r="E13" i="10" s="1"/>
  <c r="F13" i="10" s="1"/>
  <c r="H13" i="10" s="1"/>
  <c r="E13" i="11" s="1"/>
  <c r="F13" i="11" s="1"/>
  <c r="H13" i="11" s="1"/>
  <c r="E13" i="12" s="1"/>
  <c r="F13" i="12" s="1"/>
  <c r="H13" i="12" s="1"/>
  <c r="E13" i="13" s="1"/>
  <c r="F13" i="13" s="1"/>
  <c r="H13" i="13" s="1"/>
  <c r="E13" i="14" s="1"/>
  <c r="F13" i="14" s="1"/>
  <c r="H13" i="14" s="1"/>
  <c r="E13" i="15" s="1"/>
  <c r="F13" i="15" s="1"/>
  <c r="H13" i="15" s="1"/>
  <c r="E13" i="16" s="1"/>
  <c r="F13" i="16" s="1"/>
  <c r="H13" i="16" s="1"/>
  <c r="F10" i="9"/>
  <c r="H10" i="9" s="1"/>
  <c r="E10" i="10" s="1"/>
  <c r="F10" i="10" s="1"/>
  <c r="H10" i="10" s="1"/>
  <c r="E10" i="11" s="1"/>
  <c r="F10" i="11" s="1"/>
  <c r="H10" i="11" s="1"/>
  <c r="E10" i="12" s="1"/>
  <c r="F10" i="12" s="1"/>
  <c r="H10" i="12" s="1"/>
  <c r="E10" i="13" s="1"/>
  <c r="F10" i="13" s="1"/>
  <c r="H10" i="13" s="1"/>
  <c r="E10" i="14" s="1"/>
  <c r="F10" i="14" s="1"/>
  <c r="H10" i="14" s="1"/>
  <c r="E10" i="15" s="1"/>
  <c r="F10" i="15" s="1"/>
  <c r="H10" i="15" s="1"/>
  <c r="E10" i="16" s="1"/>
  <c r="F10" i="16" s="1"/>
  <c r="H10" i="16" s="1"/>
  <c r="G22" i="9"/>
  <c r="G26" i="9" s="1"/>
  <c r="C26" i="9" l="1"/>
  <c r="H30" i="9" s="1"/>
  <c r="G17" i="8"/>
  <c r="M33" i="6"/>
  <c r="D30" i="9" l="1"/>
  <c r="L28" i="9" s="1"/>
  <c r="L29" i="9" s="1"/>
  <c r="G18" i="8"/>
  <c r="M27" i="9" l="1"/>
  <c r="O32" i="9" s="1"/>
  <c r="O34" i="9" s="1"/>
  <c r="O35" i="9" s="1"/>
  <c r="O37" i="9" s="1"/>
  <c r="O39" i="9" s="1"/>
  <c r="O28" i="9"/>
  <c r="M30" i="9"/>
  <c r="L31" i="9"/>
  <c r="L33" i="9" s="1"/>
  <c r="L35" i="9" s="1"/>
  <c r="L37" i="9" s="1"/>
  <c r="J13" i="8" l="1"/>
  <c r="G16" i="8" l="1"/>
  <c r="G16" i="6" l="1"/>
  <c r="G20" i="8" l="1"/>
  <c r="G14" i="8" l="1"/>
  <c r="D37" i="7"/>
  <c r="G12" i="8" l="1"/>
  <c r="G8" i="8" l="1"/>
  <c r="G10" i="8" l="1"/>
  <c r="J12" i="8" s="1"/>
  <c r="H37" i="8" l="1"/>
  <c r="D37" i="8"/>
  <c r="E23" i="8"/>
  <c r="I22" i="8"/>
  <c r="D22" i="8"/>
  <c r="C26" i="8" s="1"/>
  <c r="L27" i="8" s="1"/>
  <c r="C22" i="8"/>
  <c r="F13" i="8"/>
  <c r="H13" i="8" s="1"/>
  <c r="F10" i="8"/>
  <c r="H10" i="8" s="1"/>
  <c r="G22" i="8"/>
  <c r="G26" i="8" s="1"/>
  <c r="J14" i="8" l="1"/>
  <c r="K1" i="8"/>
  <c r="D30" i="8"/>
  <c r="L28" i="8" s="1"/>
  <c r="L29" i="8" s="1"/>
  <c r="H30" i="8"/>
  <c r="L32" i="8" l="1"/>
  <c r="L33" i="8" s="1"/>
  <c r="L34" i="8" s="1"/>
  <c r="L35" i="8" s="1"/>
  <c r="L30" i="8"/>
  <c r="G18" i="7"/>
  <c r="C28" i="7" l="1"/>
  <c r="L31" i="5" l="1"/>
  <c r="G17" i="7" l="1"/>
  <c r="G12" i="7" l="1"/>
  <c r="G9" i="7" l="1"/>
  <c r="G8" i="7" l="1"/>
  <c r="L24" i="6" l="1"/>
  <c r="L25" i="6" s="1"/>
  <c r="L27" i="6" s="1"/>
  <c r="H37" i="7" l="1"/>
  <c r="E23" i="7"/>
  <c r="I22" i="7"/>
  <c r="G22" i="7"/>
  <c r="G26" i="7" s="1"/>
  <c r="D22" i="7"/>
  <c r="C22" i="7"/>
  <c r="F17" i="7"/>
  <c r="H17" i="7" s="1"/>
  <c r="E17" i="8" s="1"/>
  <c r="F17" i="8" s="1"/>
  <c r="H17" i="8" s="1"/>
  <c r="E17" i="9" s="1"/>
  <c r="F17" i="9" s="1"/>
  <c r="H17" i="9" s="1"/>
  <c r="E17" i="10" s="1"/>
  <c r="F17" i="10" s="1"/>
  <c r="H17" i="10" s="1"/>
  <c r="E17" i="11" s="1"/>
  <c r="F17" i="11" s="1"/>
  <c r="H17" i="11" s="1"/>
  <c r="E17" i="12" s="1"/>
  <c r="F17" i="12" s="1"/>
  <c r="H17" i="12" s="1"/>
  <c r="E17" i="13" s="1"/>
  <c r="F17" i="13" s="1"/>
  <c r="H17" i="13" s="1"/>
  <c r="E17" i="14" s="1"/>
  <c r="F17" i="14" s="1"/>
  <c r="H17" i="14" s="1"/>
  <c r="E17" i="15" s="1"/>
  <c r="F17" i="15" s="1"/>
  <c r="H17" i="15" s="1"/>
  <c r="E17" i="16" s="1"/>
  <c r="F17" i="16" s="1"/>
  <c r="F8" i="7"/>
  <c r="H8" i="7" s="1"/>
  <c r="E8" i="8" s="1"/>
  <c r="F8" i="8" s="1"/>
  <c r="H8" i="8" s="1"/>
  <c r="E8" i="9" s="1"/>
  <c r="F8" i="9" s="1"/>
  <c r="H8" i="9" s="1"/>
  <c r="E8" i="10" s="1"/>
  <c r="F8" i="10" s="1"/>
  <c r="H8" i="10" s="1"/>
  <c r="E8" i="11" s="1"/>
  <c r="F8" i="11" s="1"/>
  <c r="H8" i="11" s="1"/>
  <c r="E8" i="12" s="1"/>
  <c r="F8" i="12" s="1"/>
  <c r="H8" i="12" s="1"/>
  <c r="E8" i="13" s="1"/>
  <c r="F8" i="13" s="1"/>
  <c r="H8" i="13" s="1"/>
  <c r="E8" i="14" s="1"/>
  <c r="F8" i="14" s="1"/>
  <c r="H8" i="14" s="1"/>
  <c r="F8" i="15" s="1"/>
  <c r="H8" i="15" s="1"/>
  <c r="E8" i="16" s="1"/>
  <c r="F8" i="16" s="1"/>
  <c r="H8" i="16" s="1"/>
  <c r="H17" i="16" l="1"/>
  <c r="C26" i="7"/>
  <c r="D30" i="7" s="1"/>
  <c r="N17" i="7"/>
  <c r="H30" i="7"/>
  <c r="M24" i="7" l="1"/>
  <c r="M25" i="7" s="1"/>
  <c r="G11" i="6" l="1"/>
  <c r="G20" i="6" l="1"/>
  <c r="G8" i="6" l="1"/>
  <c r="G7" i="6" l="1"/>
  <c r="G15" i="6" l="1"/>
  <c r="G10" i="6" l="1"/>
  <c r="G16" i="5" l="1"/>
  <c r="H37" i="6" l="1"/>
  <c r="D37" i="6"/>
  <c r="E23" i="6"/>
  <c r="I22" i="6"/>
  <c r="D22" i="6"/>
  <c r="C26" i="6" s="1"/>
  <c r="C22" i="6"/>
  <c r="F17" i="6"/>
  <c r="H17" i="6" s="1"/>
  <c r="F13" i="6"/>
  <c r="H13" i="6" s="1"/>
  <c r="E13" i="7" s="1"/>
  <c r="F13" i="7" s="1"/>
  <c r="H13" i="7" s="1"/>
  <c r="K15" i="7" s="1"/>
  <c r="F8" i="6"/>
  <c r="H8" i="6" s="1"/>
  <c r="G22" i="6"/>
  <c r="G26" i="6" s="1"/>
  <c r="H30" i="6" l="1"/>
  <c r="D30" i="6"/>
  <c r="G20" i="5"/>
  <c r="G13" i="5" l="1"/>
  <c r="G8" i="5" l="1"/>
  <c r="G17" i="5" l="1"/>
  <c r="G7" i="5" l="1"/>
  <c r="G10" i="5" l="1"/>
  <c r="G12" i="5" l="1"/>
  <c r="J37" i="2" l="1"/>
  <c r="G16" i="4" l="1"/>
  <c r="M33" i="4" l="1"/>
  <c r="M34" i="4" s="1"/>
  <c r="K38" i="4" s="1"/>
  <c r="M31" i="4"/>
  <c r="D22" i="2" l="1"/>
  <c r="D22" i="1"/>
  <c r="J42" i="3"/>
  <c r="E41" i="4"/>
  <c r="E42" i="3"/>
  <c r="D43" i="2"/>
  <c r="L34" i="1"/>
  <c r="H37" i="5" l="1"/>
  <c r="D37" i="5"/>
  <c r="E23" i="5"/>
  <c r="I22" i="5"/>
  <c r="D22" i="5"/>
  <c r="C22" i="5"/>
  <c r="F17" i="5"/>
  <c r="H17" i="5" s="1"/>
  <c r="F13" i="5"/>
  <c r="H13" i="5" s="1"/>
  <c r="F8" i="5"/>
  <c r="H8" i="5" s="1"/>
  <c r="G22" i="5"/>
  <c r="G26" i="5" s="1"/>
  <c r="C26" i="5" l="1"/>
  <c r="D30" i="5" s="1"/>
  <c r="M22" i="5" s="1"/>
  <c r="M21" i="5"/>
  <c r="H30" i="5"/>
  <c r="M23" i="5" l="1"/>
  <c r="G20" i="4"/>
  <c r="N23" i="5" l="1"/>
  <c r="M24" i="5"/>
  <c r="M25" i="5" s="1"/>
  <c r="G15" i="4"/>
  <c r="G7" i="4" l="1"/>
  <c r="E19" i="4" l="1"/>
  <c r="G20" i="3"/>
  <c r="H37" i="4" l="1"/>
  <c r="D37" i="4"/>
  <c r="E23" i="4"/>
  <c r="I22" i="4"/>
  <c r="D22" i="4"/>
  <c r="C26" i="4" s="1"/>
  <c r="C22" i="4"/>
  <c r="C28" i="4" s="1"/>
  <c r="F19" i="4"/>
  <c r="H19" i="4" s="1"/>
  <c r="E19" i="5" s="1"/>
  <c r="F19" i="5" s="1"/>
  <c r="H19" i="5" s="1"/>
  <c r="E19" i="6" s="1"/>
  <c r="F19" i="6" s="1"/>
  <c r="H19" i="6" s="1"/>
  <c r="E19" i="7" s="1"/>
  <c r="F19" i="7" s="1"/>
  <c r="H19" i="7" s="1"/>
  <c r="E19" i="8" s="1"/>
  <c r="F19" i="8" s="1"/>
  <c r="H19" i="8" s="1"/>
  <c r="E19" i="9" s="1"/>
  <c r="F19" i="9" s="1"/>
  <c r="H19" i="9" s="1"/>
  <c r="E19" i="10" s="1"/>
  <c r="F19" i="10" s="1"/>
  <c r="H19" i="10" s="1"/>
  <c r="E19" i="11" s="1"/>
  <c r="F19" i="11" s="1"/>
  <c r="H19" i="11" s="1"/>
  <c r="E19" i="12" s="1"/>
  <c r="F19" i="12" s="1"/>
  <c r="H19" i="12" s="1"/>
  <c r="E19" i="13" s="1"/>
  <c r="F19" i="13" s="1"/>
  <c r="H19" i="13" s="1"/>
  <c r="E19" i="14" s="1"/>
  <c r="F19" i="14" s="1"/>
  <c r="H19" i="14" s="1"/>
  <c r="E19" i="15" s="1"/>
  <c r="F19" i="15" s="1"/>
  <c r="H19" i="15" s="1"/>
  <c r="E19" i="16" s="1"/>
  <c r="F19" i="16" s="1"/>
  <c r="H19" i="16" s="1"/>
  <c r="F13" i="4"/>
  <c r="H13" i="4" s="1"/>
  <c r="G22" i="4"/>
  <c r="G26" i="4" s="1"/>
  <c r="G14" i="3"/>
  <c r="D40" i="4" l="1"/>
  <c r="H30" i="4"/>
  <c r="D30" i="4"/>
  <c r="E40" i="4" l="1"/>
  <c r="E42" i="4" s="1"/>
  <c r="P32" i="3"/>
  <c r="P34" i="3" s="1"/>
  <c r="G10" i="3" l="1"/>
  <c r="G22" i="3" s="1"/>
  <c r="G26" i="3" s="1"/>
  <c r="H38" i="3" l="1"/>
  <c r="D38" i="3"/>
  <c r="E23" i="3"/>
  <c r="I22" i="3"/>
  <c r="D22" i="3"/>
  <c r="C26" i="3" s="1"/>
  <c r="C22" i="3"/>
  <c r="E40" i="3" l="1"/>
  <c r="H30" i="3"/>
  <c r="D30" i="3"/>
  <c r="J43" i="3" s="1"/>
  <c r="G12" i="2"/>
  <c r="G14" i="2"/>
  <c r="F40" i="3" l="1"/>
  <c r="N21" i="2"/>
  <c r="G16" i="2" l="1"/>
  <c r="G20" i="2"/>
  <c r="G7" i="2" l="1"/>
  <c r="G16" i="1" l="1"/>
  <c r="G15" i="1"/>
  <c r="L1" i="1"/>
  <c r="N20" i="1" l="1"/>
  <c r="E23" i="2" l="1"/>
  <c r="H37" i="2"/>
  <c r="D37" i="2"/>
  <c r="I22" i="2"/>
  <c r="C26" i="2"/>
  <c r="D40" i="2" s="1"/>
  <c r="C22" i="2"/>
  <c r="G22" i="2"/>
  <c r="G26" i="2" l="1"/>
  <c r="H30" i="2"/>
  <c r="D30" i="2"/>
  <c r="D41" i="2" s="1"/>
  <c r="I22" i="1"/>
  <c r="G12" i="1" l="1"/>
  <c r="G11" i="1" l="1"/>
  <c r="G8" i="1" l="1"/>
  <c r="D37" i="1" l="1"/>
  <c r="H37" i="1" l="1"/>
  <c r="F7" i="1"/>
  <c r="F8" i="1"/>
  <c r="H8" i="1" s="1"/>
  <c r="E8" i="2" s="1"/>
  <c r="F8" i="2" s="1"/>
  <c r="H8" i="2" s="1"/>
  <c r="F8" i="3" s="1"/>
  <c r="H8" i="3" s="1"/>
  <c r="E8" i="4" s="1"/>
  <c r="F8" i="4" s="1"/>
  <c r="H8" i="4" s="1"/>
  <c r="F9" i="1"/>
  <c r="H9" i="1" s="1"/>
  <c r="E9" i="2" s="1"/>
  <c r="F9" i="2" s="1"/>
  <c r="H9" i="2" s="1"/>
  <c r="E9" i="3" s="1"/>
  <c r="F9" i="3" s="1"/>
  <c r="H9" i="3" s="1"/>
  <c r="E9" i="4" s="1"/>
  <c r="F9" i="4" s="1"/>
  <c r="H9" i="4" s="1"/>
  <c r="E9" i="5" s="1"/>
  <c r="F9" i="5" s="1"/>
  <c r="H9" i="5" s="1"/>
  <c r="E9" i="6" s="1"/>
  <c r="F9" i="6" s="1"/>
  <c r="H9" i="6" s="1"/>
  <c r="E9" i="7" s="1"/>
  <c r="F9" i="7" s="1"/>
  <c r="H9" i="7" s="1"/>
  <c r="E9" i="8" s="1"/>
  <c r="F9" i="8" s="1"/>
  <c r="H9" i="8" s="1"/>
  <c r="E9" i="9" s="1"/>
  <c r="F9" i="9" s="1"/>
  <c r="H9" i="9" s="1"/>
  <c r="E9" i="10" s="1"/>
  <c r="F9" i="10" s="1"/>
  <c r="H9" i="10" s="1"/>
  <c r="E9" i="11" s="1"/>
  <c r="F9" i="11" s="1"/>
  <c r="H9" i="11" s="1"/>
  <c r="E9" i="12" s="1"/>
  <c r="F9" i="12" s="1"/>
  <c r="H9" i="12" s="1"/>
  <c r="E9" i="13" s="1"/>
  <c r="F9" i="13" s="1"/>
  <c r="H9" i="13" s="1"/>
  <c r="E9" i="14" s="1"/>
  <c r="F9" i="14" s="1"/>
  <c r="H9" i="14" s="1"/>
  <c r="E9" i="15" s="1"/>
  <c r="F9" i="15" s="1"/>
  <c r="H9" i="15" s="1"/>
  <c r="E9" i="16" s="1"/>
  <c r="F9" i="16" s="1"/>
  <c r="H9" i="16" s="1"/>
  <c r="F10" i="1"/>
  <c r="H10" i="1" s="1"/>
  <c r="E10" i="2" s="1"/>
  <c r="F10" i="2" s="1"/>
  <c r="H10" i="2" s="1"/>
  <c r="E10" i="3" s="1"/>
  <c r="F10" i="3" s="1"/>
  <c r="H10" i="3" s="1"/>
  <c r="E10" i="4" s="1"/>
  <c r="F10" i="4" s="1"/>
  <c r="H10" i="4" s="1"/>
  <c r="E10" i="5" s="1"/>
  <c r="F10" i="5" s="1"/>
  <c r="H10" i="5" s="1"/>
  <c r="E10" i="6" s="1"/>
  <c r="F10" i="6" s="1"/>
  <c r="H10" i="6" s="1"/>
  <c r="E10" i="7" s="1"/>
  <c r="F10" i="7" s="1"/>
  <c r="H10" i="7" s="1"/>
  <c r="F11" i="1"/>
  <c r="H11" i="1" s="1"/>
  <c r="E11" i="2" s="1"/>
  <c r="F11" i="2" s="1"/>
  <c r="H11" i="2" s="1"/>
  <c r="E11" i="3" s="1"/>
  <c r="F11" i="3" s="1"/>
  <c r="H11" i="3" s="1"/>
  <c r="E11" i="4" s="1"/>
  <c r="F11" i="4" s="1"/>
  <c r="H11" i="4" s="1"/>
  <c r="E11" i="5" s="1"/>
  <c r="F11" i="5" s="1"/>
  <c r="H11" i="5" s="1"/>
  <c r="E11" i="6" s="1"/>
  <c r="F11" i="6" s="1"/>
  <c r="H11" i="6" s="1"/>
  <c r="E11" i="7" s="1"/>
  <c r="F11" i="7" s="1"/>
  <c r="H11" i="7" s="1"/>
  <c r="E11" i="8" s="1"/>
  <c r="F11" i="8" s="1"/>
  <c r="H11" i="8" s="1"/>
  <c r="E11" i="9" s="1"/>
  <c r="F11" i="9" s="1"/>
  <c r="H11" i="9" s="1"/>
  <c r="E11" i="10" s="1"/>
  <c r="F11" i="10" s="1"/>
  <c r="H11" i="10" s="1"/>
  <c r="E11" i="11" s="1"/>
  <c r="F11" i="11" s="1"/>
  <c r="H11" i="11" s="1"/>
  <c r="E11" i="12" s="1"/>
  <c r="F11" i="12" s="1"/>
  <c r="H11" i="12" s="1"/>
  <c r="E11" i="13" s="1"/>
  <c r="F11" i="13" s="1"/>
  <c r="H11" i="13" s="1"/>
  <c r="E11" i="14" s="1"/>
  <c r="F11" i="14" s="1"/>
  <c r="H11" i="14" s="1"/>
  <c r="F11" i="15" s="1"/>
  <c r="H11" i="15" s="1"/>
  <c r="E11" i="16" s="1"/>
  <c r="F11" i="16" s="1"/>
  <c r="H11" i="16" s="1"/>
  <c r="F12" i="1"/>
  <c r="H12" i="1" s="1"/>
  <c r="E12" i="2" s="1"/>
  <c r="F12" i="2" s="1"/>
  <c r="H12" i="2" s="1"/>
  <c r="E12" i="3" s="1"/>
  <c r="F12" i="3" s="1"/>
  <c r="H12" i="3" s="1"/>
  <c r="E12" i="4" s="1"/>
  <c r="F12" i="4" s="1"/>
  <c r="H12" i="4" s="1"/>
  <c r="E12" i="5" s="1"/>
  <c r="F12" i="5" s="1"/>
  <c r="H12" i="5" s="1"/>
  <c r="E12" i="6" s="1"/>
  <c r="F12" i="6" s="1"/>
  <c r="H12" i="6" s="1"/>
  <c r="E12" i="7" s="1"/>
  <c r="F12" i="7" s="1"/>
  <c r="H12" i="7" s="1"/>
  <c r="E12" i="8" s="1"/>
  <c r="F12" i="8" s="1"/>
  <c r="H12" i="8" s="1"/>
  <c r="E12" i="9" s="1"/>
  <c r="F12" i="9" s="1"/>
  <c r="H12" i="9" s="1"/>
  <c r="E12" i="10" s="1"/>
  <c r="F12" i="10" s="1"/>
  <c r="H12" i="10" s="1"/>
  <c r="E12" i="11" s="1"/>
  <c r="F12" i="11" s="1"/>
  <c r="H12" i="11" s="1"/>
  <c r="E12" i="12" s="1"/>
  <c r="F12" i="12" s="1"/>
  <c r="H12" i="12" s="1"/>
  <c r="E12" i="13" s="1"/>
  <c r="F12" i="13" s="1"/>
  <c r="H12" i="13" s="1"/>
  <c r="E12" i="14" s="1"/>
  <c r="F12" i="14" s="1"/>
  <c r="H12" i="14" s="1"/>
  <c r="E12" i="15" s="1"/>
  <c r="F12" i="15" s="1"/>
  <c r="H12" i="15" s="1"/>
  <c r="E12" i="16" s="1"/>
  <c r="F12" i="16" s="1"/>
  <c r="H12" i="16" s="1"/>
  <c r="F13" i="1"/>
  <c r="H13" i="1" s="1"/>
  <c r="E13" i="2" s="1"/>
  <c r="F13" i="2" s="1"/>
  <c r="H13" i="2" s="1"/>
  <c r="E13" i="3" s="1"/>
  <c r="F14" i="1"/>
  <c r="H14" i="1" s="1"/>
  <c r="E14" i="2" s="1"/>
  <c r="F14" i="2" s="1"/>
  <c r="H14" i="2" s="1"/>
  <c r="E14" i="3" s="1"/>
  <c r="F14" i="3" s="1"/>
  <c r="H14" i="3" s="1"/>
  <c r="E14" i="4" s="1"/>
  <c r="F14" i="4" s="1"/>
  <c r="H14" i="4" s="1"/>
  <c r="E14" i="5" s="1"/>
  <c r="F14" i="5" s="1"/>
  <c r="H14" i="5" s="1"/>
  <c r="E14" i="6" s="1"/>
  <c r="F14" i="6" s="1"/>
  <c r="H14" i="6" s="1"/>
  <c r="E14" i="7" s="1"/>
  <c r="F14" i="7" s="1"/>
  <c r="H14" i="7" s="1"/>
  <c r="E14" i="8" s="1"/>
  <c r="F14" i="8" s="1"/>
  <c r="H14" i="8" s="1"/>
  <c r="E14" i="9" s="1"/>
  <c r="F14" i="9" s="1"/>
  <c r="H14" i="9" s="1"/>
  <c r="F15" i="1"/>
  <c r="H15" i="1" s="1"/>
  <c r="E15" i="2" s="1"/>
  <c r="F15" i="2" s="1"/>
  <c r="H15" i="2" s="1"/>
  <c r="E15" i="3" s="1"/>
  <c r="F15" i="3" s="1"/>
  <c r="H15" i="3" s="1"/>
  <c r="E15" i="4" s="1"/>
  <c r="F15" i="4" s="1"/>
  <c r="H15" i="4" s="1"/>
  <c r="E15" i="5" s="1"/>
  <c r="F15" i="5" s="1"/>
  <c r="H15" i="5" s="1"/>
  <c r="E15" i="6" s="1"/>
  <c r="F15" i="6" s="1"/>
  <c r="H15" i="6" s="1"/>
  <c r="E15" i="7" s="1"/>
  <c r="F15" i="7" s="1"/>
  <c r="H15" i="7" s="1"/>
  <c r="E15" i="8" s="1"/>
  <c r="F15" i="8" s="1"/>
  <c r="H15" i="8" s="1"/>
  <c r="E15" i="9" s="1"/>
  <c r="F15" i="9" s="1"/>
  <c r="H15" i="9" s="1"/>
  <c r="F15" i="10" s="1"/>
  <c r="H15" i="10" s="1"/>
  <c r="E15" i="11" s="1"/>
  <c r="F15" i="11" s="1"/>
  <c r="H15" i="11" s="1"/>
  <c r="E15" i="12" s="1"/>
  <c r="F15" i="12" s="1"/>
  <c r="H15" i="12" s="1"/>
  <c r="E15" i="13" s="1"/>
  <c r="F15" i="13" s="1"/>
  <c r="H15" i="13" s="1"/>
  <c r="E15" i="14" s="1"/>
  <c r="F15" i="14" s="1"/>
  <c r="H15" i="14" s="1"/>
  <c r="E15" i="15" s="1"/>
  <c r="F15" i="15" s="1"/>
  <c r="H15" i="15" s="1"/>
  <c r="E15" i="16" s="1"/>
  <c r="F15" i="16" s="1"/>
  <c r="H15" i="16" s="1"/>
  <c r="F16" i="1"/>
  <c r="H16" i="1" s="1"/>
  <c r="E16" i="2" s="1"/>
  <c r="F16" i="2" s="1"/>
  <c r="H16" i="2" s="1"/>
  <c r="E16" i="3" s="1"/>
  <c r="F16" i="3" s="1"/>
  <c r="H16" i="3" s="1"/>
  <c r="E16" i="4" s="1"/>
  <c r="F16" i="4" s="1"/>
  <c r="F17" i="1"/>
  <c r="H17" i="1" s="1"/>
  <c r="E17" i="2" s="1"/>
  <c r="F17" i="2" s="1"/>
  <c r="H17" i="2" s="1"/>
  <c r="E17" i="3" s="1"/>
  <c r="F17" i="3" s="1"/>
  <c r="H17" i="3" s="1"/>
  <c r="E17" i="4" s="1"/>
  <c r="F17" i="4" s="1"/>
  <c r="H17" i="4" s="1"/>
  <c r="F18" i="1"/>
  <c r="H18" i="1" s="1"/>
  <c r="E18" i="2" s="1"/>
  <c r="F18" i="2" s="1"/>
  <c r="H18" i="2" s="1"/>
  <c r="E18" i="3" s="1"/>
  <c r="F18" i="3" s="1"/>
  <c r="H18" i="3" s="1"/>
  <c r="E18" i="4" s="1"/>
  <c r="F18" i="4" s="1"/>
  <c r="H18" i="4" s="1"/>
  <c r="E18" i="5" s="1"/>
  <c r="F18" i="5" s="1"/>
  <c r="H18" i="5" s="1"/>
  <c r="E18" i="6" s="1"/>
  <c r="F18" i="6" s="1"/>
  <c r="H18" i="6" s="1"/>
  <c r="E18" i="7" s="1"/>
  <c r="F18" i="7" s="1"/>
  <c r="H18" i="7" s="1"/>
  <c r="E18" i="8" s="1"/>
  <c r="F18" i="8" s="1"/>
  <c r="H18" i="8" s="1"/>
  <c r="E18" i="9" s="1"/>
  <c r="F18" i="9" s="1"/>
  <c r="H18" i="9" s="1"/>
  <c r="E18" i="10" s="1"/>
  <c r="F18" i="10" s="1"/>
  <c r="H18" i="10" s="1"/>
  <c r="F19" i="1"/>
  <c r="H19" i="1" s="1"/>
  <c r="E19" i="2" s="1"/>
  <c r="F19" i="2" s="1"/>
  <c r="H19" i="2" s="1"/>
  <c r="E19" i="3" s="1"/>
  <c r="F19" i="3" s="1"/>
  <c r="F20" i="1"/>
  <c r="H20" i="1" s="1"/>
  <c r="E20" i="2" s="1"/>
  <c r="F20" i="2" s="1"/>
  <c r="H20" i="2" s="1"/>
  <c r="E20" i="3" s="1"/>
  <c r="F20" i="3" s="1"/>
  <c r="H20" i="3" s="1"/>
  <c r="E20" i="4" s="1"/>
  <c r="F20" i="4" s="1"/>
  <c r="H20" i="4" s="1"/>
  <c r="F21" i="1"/>
  <c r="H21" i="1" s="1"/>
  <c r="E21" i="2" s="1"/>
  <c r="F21" i="2" s="1"/>
  <c r="C22" i="1"/>
  <c r="D23" i="1"/>
  <c r="E22" i="1"/>
  <c r="G22" i="1"/>
  <c r="G26" i="1" s="1"/>
  <c r="E20" i="5" l="1"/>
  <c r="F20" i="5" s="1"/>
  <c r="H20" i="5" s="1"/>
  <c r="E20" i="6" s="1"/>
  <c r="F20" i="6" s="1"/>
  <c r="H20" i="6" s="1"/>
  <c r="E20" i="7" s="1"/>
  <c r="F20" i="7" s="1"/>
  <c r="H20" i="7" s="1"/>
  <c r="E20" i="8" s="1"/>
  <c r="F20" i="8" s="1"/>
  <c r="H20" i="8" s="1"/>
  <c r="E20" i="9" s="1"/>
  <c r="F20" i="9" s="1"/>
  <c r="H20" i="9" s="1"/>
  <c r="E20" i="10" s="1"/>
  <c r="F20" i="10" s="1"/>
  <c r="H20" i="10" s="1"/>
  <c r="E20" i="11" s="1"/>
  <c r="F20" i="11" s="1"/>
  <c r="H20" i="11" s="1"/>
  <c r="E20" i="12" s="1"/>
  <c r="F20" i="12" s="1"/>
  <c r="H20" i="12" s="1"/>
  <c r="E20" i="13" s="1"/>
  <c r="F20" i="13" s="1"/>
  <c r="H20" i="13" s="1"/>
  <c r="E20" i="14" s="1"/>
  <c r="F20" i="14" s="1"/>
  <c r="H20" i="14" s="1"/>
  <c r="E20" i="15" s="1"/>
  <c r="F20" i="15" s="1"/>
  <c r="H20" i="15" s="1"/>
  <c r="E20" i="16" s="1"/>
  <c r="F20" i="16" s="1"/>
  <c r="H20" i="16" s="1"/>
  <c r="H16" i="4"/>
  <c r="E16" i="5" s="1"/>
  <c r="J18" i="4"/>
  <c r="J19" i="4" s="1"/>
  <c r="F16" i="5"/>
  <c r="F13" i="3"/>
  <c r="H13" i="3" s="1"/>
  <c r="H21" i="2"/>
  <c r="C26" i="1"/>
  <c r="H7" i="1"/>
  <c r="F22" i="1"/>
  <c r="K33" i="4" l="1"/>
  <c r="H16" i="5"/>
  <c r="E16" i="6" s="1"/>
  <c r="F16" i="6" s="1"/>
  <c r="H22" i="1"/>
  <c r="E22" i="2" s="1"/>
  <c r="E7" i="2"/>
  <c r="F7" i="2" s="1"/>
  <c r="E21" i="3"/>
  <c r="F21" i="3" s="1"/>
  <c r="H21" i="3" s="1"/>
  <c r="D30" i="1"/>
  <c r="C37" i="1" s="1"/>
  <c r="E37" i="1" s="1"/>
  <c r="C27" i="2" s="1"/>
  <c r="H30" i="1"/>
  <c r="H16" i="6" l="1"/>
  <c r="E21" i="4"/>
  <c r="F21" i="4" s="1"/>
  <c r="H21" i="4" s="1"/>
  <c r="E21" i="5"/>
  <c r="F21" i="5" s="1"/>
  <c r="H21" i="5" s="1"/>
  <c r="E21" i="6" s="1"/>
  <c r="F21" i="6" s="1"/>
  <c r="H21" i="6" s="1"/>
  <c r="E21" i="7" s="1"/>
  <c r="F21" i="7" s="1"/>
  <c r="H21" i="7" s="1"/>
  <c r="E21" i="8" s="1"/>
  <c r="F21" i="8" s="1"/>
  <c r="H21" i="8" s="1"/>
  <c r="E21" i="9" s="1"/>
  <c r="F21" i="9" s="1"/>
  <c r="H21" i="9" s="1"/>
  <c r="E21" i="10" s="1"/>
  <c r="F21" i="10" s="1"/>
  <c r="H21" i="10" s="1"/>
  <c r="E21" i="11" s="1"/>
  <c r="F21" i="11" s="1"/>
  <c r="H21" i="11" s="1"/>
  <c r="E21" i="12" s="1"/>
  <c r="F21" i="12" s="1"/>
  <c r="H21" i="12" s="1"/>
  <c r="E21" i="13" s="1"/>
  <c r="F21" i="13" s="1"/>
  <c r="H21" i="13" s="1"/>
  <c r="E21" i="14" s="1"/>
  <c r="F21" i="14" s="1"/>
  <c r="H21" i="14" s="1"/>
  <c r="E21" i="15" s="1"/>
  <c r="F21" i="15" s="1"/>
  <c r="H21" i="15" s="1"/>
  <c r="E21" i="16" s="1"/>
  <c r="F21" i="16" s="1"/>
  <c r="H21" i="16" s="1"/>
  <c r="F41" i="1"/>
  <c r="F42" i="1" s="1"/>
  <c r="K34" i="4"/>
  <c r="K35" i="4" s="1"/>
  <c r="K37" i="4" s="1"/>
  <c r="K39" i="4" s="1"/>
  <c r="E40" i="2"/>
  <c r="E41" i="2" s="1"/>
  <c r="D42" i="2"/>
  <c r="D44" i="2" s="1"/>
  <c r="H7" i="2"/>
  <c r="F22" i="2"/>
  <c r="C37" i="2"/>
  <c r="E37" i="2" s="1"/>
  <c r="C27" i="3" s="1"/>
  <c r="K34" i="2"/>
  <c r="G37" i="1"/>
  <c r="I37" i="1" s="1"/>
  <c r="E16" i="7" l="1"/>
  <c r="C38" i="3"/>
  <c r="E38" i="3" s="1"/>
  <c r="C27" i="4" s="1"/>
  <c r="D41" i="4" s="1"/>
  <c r="E41" i="3"/>
  <c r="E44" i="3" s="1"/>
  <c r="E7" i="3"/>
  <c r="H22" i="2"/>
  <c r="H23" i="2" s="1"/>
  <c r="G27" i="2"/>
  <c r="G37" i="2" s="1"/>
  <c r="I37" i="2" s="1"/>
  <c r="G27" i="3" s="1"/>
  <c r="G38" i="3" s="1"/>
  <c r="I38" i="3" s="1"/>
  <c r="G27" i="4" s="1"/>
  <c r="G37" i="4" s="1"/>
  <c r="I37" i="4" s="1"/>
  <c r="F16" i="7" l="1"/>
  <c r="C37" i="4"/>
  <c r="E37" i="4" s="1"/>
  <c r="C27" i="5" s="1"/>
  <c r="G27" i="5"/>
  <c r="G37" i="5" s="1"/>
  <c r="I37" i="5" s="1"/>
  <c r="F7" i="3"/>
  <c r="E22" i="3"/>
  <c r="C37" i="5" l="1"/>
  <c r="E37" i="5" s="1"/>
  <c r="C27" i="6" s="1"/>
  <c r="L29" i="5"/>
  <c r="L30" i="5" s="1"/>
  <c r="L32" i="5" s="1"/>
  <c r="H16" i="7"/>
  <c r="G27" i="6"/>
  <c r="G37" i="6" s="1"/>
  <c r="I37" i="6" s="1"/>
  <c r="H7" i="3"/>
  <c r="F22" i="3"/>
  <c r="G40" i="5" l="1"/>
  <c r="M31" i="6"/>
  <c r="M32" i="6" s="1"/>
  <c r="M34" i="6" s="1"/>
  <c r="C37" i="6"/>
  <c r="E37" i="6" s="1"/>
  <c r="C27" i="7" s="1"/>
  <c r="K38" i="5"/>
  <c r="E16" i="8"/>
  <c r="G27" i="7"/>
  <c r="G37" i="7" s="1"/>
  <c r="I37" i="7" s="1"/>
  <c r="E7" i="4"/>
  <c r="H22" i="3"/>
  <c r="H40" i="6" l="1"/>
  <c r="K27" i="7"/>
  <c r="M26" i="7" s="1"/>
  <c r="M27" i="7" s="1"/>
  <c r="N34" i="7"/>
  <c r="C37" i="7"/>
  <c r="E37" i="7" s="1"/>
  <c r="F16" i="8"/>
  <c r="G27" i="8"/>
  <c r="G37" i="8" s="1"/>
  <c r="I37" i="8" s="1"/>
  <c r="E22" i="4"/>
  <c r="F7" i="4"/>
  <c r="C27" i="8" l="1"/>
  <c r="C37" i="8" s="1"/>
  <c r="E37" i="8" s="1"/>
  <c r="C27" i="9" s="1"/>
  <c r="H40" i="7"/>
  <c r="C37" i="9"/>
  <c r="E37" i="9" s="1"/>
  <c r="C27" i="10" s="1"/>
  <c r="C37" i="10" s="1"/>
  <c r="E37" i="10" s="1"/>
  <c r="C27" i="11" s="1"/>
  <c r="C37" i="11" s="1"/>
  <c r="E37" i="11" s="1"/>
  <c r="C27" i="12" s="1"/>
  <c r="C37" i="12" s="1"/>
  <c r="E37" i="12" s="1"/>
  <c r="C27" i="13" s="1"/>
  <c r="G27" i="9"/>
  <c r="G37" i="9" s="1"/>
  <c r="I37" i="9" s="1"/>
  <c r="G27" i="10" s="1"/>
  <c r="G37" i="10" s="1"/>
  <c r="I37" i="10" s="1"/>
  <c r="G27" i="11" s="1"/>
  <c r="G37" i="11" s="1"/>
  <c r="I37" i="11" s="1"/>
  <c r="G27" i="12" s="1"/>
  <c r="G37" i="12" s="1"/>
  <c r="I37" i="12" s="1"/>
  <c r="G27" i="13" s="1"/>
  <c r="G37" i="13" s="1"/>
  <c r="I37" i="13" s="1"/>
  <c r="G27" i="14" s="1"/>
  <c r="G37" i="14" s="1"/>
  <c r="I37" i="14" s="1"/>
  <c r="G27" i="15" s="1"/>
  <c r="G37" i="15" s="1"/>
  <c r="I37" i="15" s="1"/>
  <c r="G27" i="16" s="1"/>
  <c r="G37" i="16" s="1"/>
  <c r="I37" i="16" s="1"/>
  <c r="H40" i="8"/>
  <c r="H16" i="8"/>
  <c r="E16" i="9" s="1"/>
  <c r="F16" i="9" s="1"/>
  <c r="H16" i="9" s="1"/>
  <c r="E16" i="10" s="1"/>
  <c r="F16" i="10" s="1"/>
  <c r="H16" i="10" s="1"/>
  <c r="E16" i="11" s="1"/>
  <c r="F16" i="11" s="1"/>
  <c r="H16" i="11" s="1"/>
  <c r="E16" i="12" s="1"/>
  <c r="F16" i="12" s="1"/>
  <c r="H16" i="12" s="1"/>
  <c r="E16" i="13" s="1"/>
  <c r="F16" i="13" s="1"/>
  <c r="H16" i="13" s="1"/>
  <c r="E16" i="14" s="1"/>
  <c r="F16" i="14" s="1"/>
  <c r="H16" i="14" s="1"/>
  <c r="E16" i="15" s="1"/>
  <c r="F16" i="15" s="1"/>
  <c r="H16" i="15" s="1"/>
  <c r="E16" i="16" s="1"/>
  <c r="F16" i="16" s="1"/>
  <c r="H16" i="16" s="1"/>
  <c r="F22" i="4"/>
  <c r="H7" i="4"/>
  <c r="C37" i="13" l="1"/>
  <c r="E37" i="13" s="1"/>
  <c r="C27" i="14" s="1"/>
  <c r="C37" i="14" s="1"/>
  <c r="E37" i="14" s="1"/>
  <c r="C27" i="15" s="1"/>
  <c r="C37" i="15" s="1"/>
  <c r="E37" i="15" s="1"/>
  <c r="C27" i="16" s="1"/>
  <c r="C37" i="16" s="1"/>
  <c r="E37" i="16" s="1"/>
  <c r="H22" i="4"/>
  <c r="K27" i="4" s="1"/>
  <c r="E7" i="5"/>
  <c r="F7" i="5" l="1"/>
  <c r="E22" i="5"/>
  <c r="H7" i="5" l="1"/>
  <c r="F22" i="5"/>
  <c r="H22" i="5" l="1"/>
  <c r="E22" i="6" s="1"/>
  <c r="E7" i="6"/>
  <c r="F7" i="6" s="1"/>
  <c r="H7" i="6" l="1"/>
  <c r="F22" i="6"/>
  <c r="E7" i="7" l="1"/>
  <c r="H22" i="6"/>
  <c r="F7" i="7" l="1"/>
  <c r="E22" i="7"/>
  <c r="H7" i="7" l="1"/>
  <c r="F22" i="7"/>
  <c r="E7" i="8" l="1"/>
  <c r="H22" i="7"/>
  <c r="H23" i="7" s="1"/>
  <c r="J31" i="7" s="1"/>
  <c r="F7" i="8" l="1"/>
  <c r="E22" i="8"/>
  <c r="H7" i="8" l="1"/>
  <c r="F22" i="8"/>
  <c r="E7" i="9" l="1"/>
  <c r="H22" i="8"/>
  <c r="E22" i="9" l="1"/>
  <c r="F7" i="9"/>
  <c r="F22" i="9" l="1"/>
  <c r="H7" i="9"/>
  <c r="H22" i="9" l="1"/>
  <c r="E22" i="10" s="1"/>
  <c r="E7" i="10"/>
  <c r="F7" i="10" s="1"/>
  <c r="H7" i="10" l="1"/>
  <c r="F22" i="10"/>
  <c r="E7" i="11" l="1"/>
  <c r="H22" i="10"/>
  <c r="F7" i="11" l="1"/>
  <c r="E22" i="11"/>
  <c r="H7" i="11" l="1"/>
  <c r="F22" i="11"/>
  <c r="H22" i="11" l="1"/>
  <c r="E7" i="12"/>
  <c r="E22" i="12" l="1"/>
  <c r="F7" i="12"/>
  <c r="H7" i="12" l="1"/>
  <c r="F22" i="12"/>
  <c r="E7" i="13" l="1"/>
  <c r="H22" i="12"/>
  <c r="E22" i="13" l="1"/>
  <c r="F7" i="13"/>
  <c r="F22" i="13" l="1"/>
  <c r="H7" i="13"/>
  <c r="H22" i="13" l="1"/>
  <c r="E22" i="14" s="1"/>
  <c r="E7" i="14"/>
  <c r="F7" i="14" s="1"/>
  <c r="H7" i="14" l="1"/>
  <c r="E7" i="15" s="1"/>
  <c r="F7" i="15" s="1"/>
  <c r="F22" i="14"/>
  <c r="H22" i="14" s="1"/>
  <c r="E22" i="15" s="1"/>
  <c r="F22" i="15" l="1"/>
  <c r="H7" i="15"/>
  <c r="H22" i="15" l="1"/>
  <c r="E7" i="16"/>
  <c r="F7" i="16" l="1"/>
  <c r="E22" i="16"/>
  <c r="H7" i="16" l="1"/>
  <c r="H22" i="16" s="1"/>
  <c r="F22" i="16"/>
</calcChain>
</file>

<file path=xl/sharedStrings.xml><?xml version="1.0" encoding="utf-8"?>
<sst xmlns="http://schemas.openxmlformats.org/spreadsheetml/2006/main" count="868" uniqueCount="146">
  <si>
    <t>RENT STATEMENT</t>
  </si>
  <si>
    <t>FOR THE MONTH OF SEPTEMBER 2020</t>
  </si>
  <si>
    <t>NAME</t>
  </si>
  <si>
    <t>DEPOSIT</t>
  </si>
  <si>
    <t>RENT</t>
  </si>
  <si>
    <t>B/F</t>
  </si>
  <si>
    <t>TOTAL DUE</t>
  </si>
  <si>
    <t xml:space="preserve">PAID </t>
  </si>
  <si>
    <t>BALANCE</t>
  </si>
  <si>
    <t>ARREARS PAID</t>
  </si>
  <si>
    <t>TOTAL</t>
  </si>
  <si>
    <t>SUMMARY</t>
  </si>
  <si>
    <t xml:space="preserve">DETAILS </t>
  </si>
  <si>
    <t xml:space="preserve">CR </t>
  </si>
  <si>
    <t>DR</t>
  </si>
  <si>
    <t>BAL</t>
  </si>
  <si>
    <t>DETAILS</t>
  </si>
  <si>
    <t>SEPTEMBER</t>
  </si>
  <si>
    <t>BF</t>
  </si>
  <si>
    <t>ARREARS</t>
  </si>
  <si>
    <t>COMMISION</t>
  </si>
  <si>
    <t>PAYMENTS</t>
  </si>
  <si>
    <t>WANJIKU LASITI</t>
  </si>
  <si>
    <t>FAITH AKINYI</t>
  </si>
  <si>
    <t>SAMUEL KIMANI</t>
  </si>
  <si>
    <t>NAMELESS</t>
  </si>
  <si>
    <t>LILIAN MWENDE</t>
  </si>
  <si>
    <t>VIOLET ADHIAMBO</t>
  </si>
  <si>
    <t>PATRICK OTIENO</t>
  </si>
  <si>
    <t>PETER MULENGE</t>
  </si>
  <si>
    <t>AMOS WEKESA</t>
  </si>
  <si>
    <t>CR</t>
  </si>
  <si>
    <t>PAID LL</t>
  </si>
  <si>
    <t>NO.1 PAID LL</t>
  </si>
  <si>
    <t>TIMOTHY MWANGI</t>
  </si>
  <si>
    <t>ISAAC ONYANGO</t>
  </si>
  <si>
    <t>PAID ON 10/9</t>
  </si>
  <si>
    <t>THOMAS AMBELE</t>
  </si>
  <si>
    <t>VACCANT</t>
  </si>
  <si>
    <t>LL</t>
  </si>
  <si>
    <t>PAID ON 21/9</t>
  </si>
  <si>
    <t>FOR THE MONTH OF OCTOBER 2020</t>
  </si>
  <si>
    <t>0CTOBER</t>
  </si>
  <si>
    <t>OCTOBER</t>
  </si>
  <si>
    <t>PAID ON 4/10</t>
  </si>
  <si>
    <t>PETER OSONDO</t>
  </si>
  <si>
    <t>FARDOSAH WARUHAHI</t>
  </si>
  <si>
    <t>PAID ON 13/10</t>
  </si>
  <si>
    <t>FOR THE MONTH OF NOVEMBER 2020</t>
  </si>
  <si>
    <t>NOVEMBER</t>
  </si>
  <si>
    <t>PAID ON 29/10</t>
  </si>
  <si>
    <t>ON DEPOSIT</t>
  </si>
  <si>
    <t>FAITH AKINYI ON DEP</t>
  </si>
  <si>
    <t xml:space="preserve"> </t>
  </si>
  <si>
    <t>PAID ON 9/11</t>
  </si>
  <si>
    <t>EDWARD MURSOI</t>
  </si>
  <si>
    <t>OSONDO EVICTED</t>
  </si>
  <si>
    <t>PAID ON 25/11</t>
  </si>
  <si>
    <t>EVICTED</t>
  </si>
  <si>
    <t>FOR THE MONTH OF DECEMBER 2020</t>
  </si>
  <si>
    <t>DECEMBER</t>
  </si>
  <si>
    <t>VACCATED</t>
  </si>
  <si>
    <t>EDWARD NO.7VACCATED</t>
  </si>
  <si>
    <t>PAID ON 1/12</t>
  </si>
  <si>
    <t>JARED ODERA</t>
  </si>
  <si>
    <t>NEW</t>
  </si>
  <si>
    <t>HABILI WASWA</t>
  </si>
  <si>
    <t>PAID ON 11/12</t>
  </si>
  <si>
    <t>FOR THE MONTH OF JANUARY 2021</t>
  </si>
  <si>
    <t>PAID ON 29/12</t>
  </si>
  <si>
    <t>PAID</t>
  </si>
  <si>
    <t>PAID ON 11/11</t>
  </si>
  <si>
    <t>PAID ON11/11</t>
  </si>
  <si>
    <t>TOTAL FROM SEPT TO DEC</t>
  </si>
  <si>
    <t>COMM</t>
  </si>
  <si>
    <t>BAL+TOTAL DEPOSITS</t>
  </si>
  <si>
    <t>BAL DUE</t>
  </si>
  <si>
    <t>PAID BY ASSETFLOW</t>
  </si>
  <si>
    <t>BAL AFTER COMM</t>
  </si>
  <si>
    <t>DEPOSITS</t>
  </si>
  <si>
    <t>PAID ON  2/12</t>
  </si>
  <si>
    <t>PAID ON  2/1</t>
  </si>
  <si>
    <t>PAID ON 11/1</t>
  </si>
  <si>
    <t>WILSON KARANI</t>
  </si>
  <si>
    <t>PAID ON 25/1</t>
  </si>
  <si>
    <t>PAID ON 23/1</t>
  </si>
  <si>
    <t>FOR THE MONTH OF FEBRUARY 2021</t>
  </si>
  <si>
    <t>FEBRUARY</t>
  </si>
  <si>
    <t>PAID ON 1/2</t>
  </si>
  <si>
    <t>PAID ON 11/2</t>
  </si>
  <si>
    <t>PAID ON 25/2</t>
  </si>
  <si>
    <t>PAID ON 27/2</t>
  </si>
  <si>
    <t>PAID ON 10/3</t>
  </si>
  <si>
    <t>STEPHEN NDIRITU</t>
  </si>
  <si>
    <t>PAID ON 16/3</t>
  </si>
  <si>
    <t>PAID ON 22/3</t>
  </si>
  <si>
    <t>MARCH</t>
  </si>
  <si>
    <t>APRIL</t>
  </si>
  <si>
    <t>FOR THE MONTH OF APRIL 2021</t>
  </si>
  <si>
    <t>STANLEY NGUU</t>
  </si>
  <si>
    <t>WILSON NO.7 EVICTED</t>
  </si>
  <si>
    <t>PAUL BUHIGA</t>
  </si>
  <si>
    <t>PAID ON 12/4</t>
  </si>
  <si>
    <t>THOMAS NO.4VACCATED</t>
  </si>
  <si>
    <t>BROKE PADLOCK &amp; VACCATED</t>
  </si>
  <si>
    <t>PAID ON 21/4</t>
  </si>
  <si>
    <t>FOR THE MONTH OF MAY 2021</t>
  </si>
  <si>
    <t>MAY</t>
  </si>
  <si>
    <t>PAID ON 30/4</t>
  </si>
  <si>
    <t>PAID ON 11/5</t>
  </si>
  <si>
    <t>VIOLET ADHIAMBO VACCATED</t>
  </si>
  <si>
    <t>MORRIS OMBOMA</t>
  </si>
  <si>
    <t>FOR THE MONTH OF JUNE 2021</t>
  </si>
  <si>
    <t>JUNE</t>
  </si>
  <si>
    <t>PAID ON 27/5</t>
  </si>
  <si>
    <t>PAID ON 10/6</t>
  </si>
  <si>
    <t>PAID ON 18/6</t>
  </si>
  <si>
    <t>KEN</t>
  </si>
  <si>
    <t>FOR THE MONTH OF JULY 2021</t>
  </si>
  <si>
    <t>JULY</t>
  </si>
  <si>
    <t>ELECTRICAL+WINDOW REPAIRS</t>
  </si>
  <si>
    <t>LORIN</t>
  </si>
  <si>
    <t>PAID ON 10/7</t>
  </si>
  <si>
    <t>PAID ON 19/7</t>
  </si>
  <si>
    <t>FOR THE MONTH OF AUGUST 2021</t>
  </si>
  <si>
    <t>AUGUST</t>
  </si>
  <si>
    <t>PAID ON 11/8</t>
  </si>
  <si>
    <t>PAID ON 30/8</t>
  </si>
  <si>
    <t>FOR THE MONTH OF SEPTEMBER  2021</t>
  </si>
  <si>
    <t>PAID ON 11/9</t>
  </si>
  <si>
    <t>FOR THE MONTH OF OCTOBER   2021</t>
  </si>
  <si>
    <t xml:space="preserve">OCTOBER </t>
  </si>
  <si>
    <t>PAID ON 30/9</t>
  </si>
  <si>
    <t>PAID ON 11/10</t>
  </si>
  <si>
    <t>PAID ON 23/10</t>
  </si>
  <si>
    <t>vaccated</t>
  </si>
  <si>
    <t>amos vaccated</t>
  </si>
  <si>
    <t>FOR THE MONTH OF NOVEMBER   2021</t>
  </si>
  <si>
    <t>PAID ON 1/11</t>
  </si>
  <si>
    <t>PAID ON 13/11</t>
  </si>
  <si>
    <t>MWITA SARAH</t>
  </si>
  <si>
    <t>FOR THE MONTH OF DECEMBER   2021</t>
  </si>
  <si>
    <t xml:space="preserve">GEOFREY </t>
  </si>
  <si>
    <t>SAMUEL TWASI WEROBA</t>
  </si>
  <si>
    <t>PAID  ON 4/12</t>
  </si>
  <si>
    <t>PAID ON 13/12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</si>
</sst>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A8600"/>
      <name val="Times New Roman"/>
      <family val="1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0" fillId="0" borderId="2" xfId="0" applyFill="1" applyBorder="1"/>
    <xf numFmtId="0" fontId="6" fillId="0" borderId="1" xfId="0" applyFont="1" applyBorder="1"/>
    <xf numFmtId="0" fontId="2" fillId="0" borderId="1" xfId="0" applyFont="1" applyBorder="1" applyAlignment="1">
      <alignment horizontal="right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/>
    <xf numFmtId="0" fontId="8" fillId="0" borderId="1" xfId="0" applyFont="1" applyBorder="1"/>
    <xf numFmtId="3" fontId="6" fillId="0" borderId="1" xfId="0" applyNumberFormat="1" applyFont="1" applyBorder="1"/>
    <xf numFmtId="9" fontId="6" fillId="0" borderId="1" xfId="0" applyNumberFormat="1" applyFont="1" applyBorder="1"/>
    <xf numFmtId="4" fontId="6" fillId="0" borderId="1" xfId="0" applyNumberFormat="1" applyFont="1" applyBorder="1"/>
    <xf numFmtId="0" fontId="9" fillId="0" borderId="1" xfId="0" applyFont="1" applyFill="1" applyBorder="1"/>
    <xf numFmtId="14" fontId="6" fillId="0" borderId="1" xfId="0" applyNumberFormat="1" applyFont="1" applyBorder="1"/>
    <xf numFmtId="9" fontId="0" fillId="0" borderId="1" xfId="0" applyNumberFormat="1" applyBorder="1"/>
    <xf numFmtId="0" fontId="9" fillId="0" borderId="1" xfId="0" applyFont="1" applyBorder="1"/>
    <xf numFmtId="3" fontId="9" fillId="0" borderId="1" xfId="0" applyNumberFormat="1" applyFont="1" applyBorder="1"/>
    <xf numFmtId="4" fontId="9" fillId="0" borderId="1" xfId="0" applyNumberFormat="1" applyFont="1" applyBorder="1"/>
    <xf numFmtId="9" fontId="9" fillId="0" borderId="1" xfId="0" applyNumberFormat="1" applyFont="1" applyBorder="1"/>
    <xf numFmtId="3" fontId="0" fillId="0" borderId="0" xfId="0" applyNumberFormat="1"/>
    <xf numFmtId="0" fontId="1" fillId="0" borderId="0" xfId="0" applyFont="1"/>
    <xf numFmtId="3" fontId="6" fillId="0" borderId="0" xfId="0" applyNumberFormat="1" applyFont="1"/>
    <xf numFmtId="0" fontId="9" fillId="0" borderId="0" xfId="0" applyFont="1"/>
    <xf numFmtId="0" fontId="2" fillId="0" borderId="3" xfId="0" applyFont="1" applyFill="1" applyBorder="1"/>
    <xf numFmtId="0" fontId="1" fillId="0" borderId="2" xfId="0" applyFont="1" applyFill="1" applyBorder="1"/>
    <xf numFmtId="0" fontId="6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7" workbookViewId="0">
      <selection activeCell="D36" sqref="D36"/>
    </sheetView>
  </sheetViews>
  <sheetFormatPr defaultRowHeight="15" x14ac:dyDescent="0.25"/>
  <cols>
    <col min="2" max="2" width="18.85546875" customWidth="1"/>
    <col min="3" max="3" width="9.5703125" bestFit="1" customWidth="1"/>
    <col min="10" max="10" width="10" bestFit="1" customWidth="1"/>
  </cols>
  <sheetData>
    <row r="1" spans="1:14" x14ac:dyDescent="0.25">
      <c r="L1">
        <f>1576</f>
        <v>1576</v>
      </c>
    </row>
    <row r="3" spans="1:14" ht="18.75" x14ac:dyDescent="0.25">
      <c r="D3" s="1" t="s">
        <v>22</v>
      </c>
      <c r="E3" s="2"/>
      <c r="F3" s="3"/>
      <c r="G3" s="4"/>
    </row>
    <row r="4" spans="1:14" ht="18.75" x14ac:dyDescent="0.25">
      <c r="D4" s="1" t="s">
        <v>0</v>
      </c>
      <c r="E4" s="1"/>
      <c r="F4" s="5"/>
      <c r="G4" s="5"/>
    </row>
    <row r="5" spans="1:14" ht="18.75" x14ac:dyDescent="0.25">
      <c r="D5" s="1" t="s">
        <v>1</v>
      </c>
      <c r="E5" s="1"/>
      <c r="F5" s="5"/>
      <c r="G5" s="5"/>
    </row>
    <row r="6" spans="1:14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14" x14ac:dyDescent="0.25">
      <c r="A7" s="6">
        <v>1</v>
      </c>
      <c r="B7" s="8" t="s">
        <v>25</v>
      </c>
      <c r="C7" s="6"/>
      <c r="D7" s="6"/>
      <c r="E7" s="6"/>
      <c r="F7" s="6">
        <f>C7+D7+E7</f>
        <v>0</v>
      </c>
      <c r="G7" s="6"/>
      <c r="H7" s="6">
        <f>F7-G7</f>
        <v>0</v>
      </c>
      <c r="I7" s="6"/>
      <c r="J7" t="s">
        <v>32</v>
      </c>
    </row>
    <row r="8" spans="1:14" x14ac:dyDescent="0.25">
      <c r="A8" s="6">
        <v>2</v>
      </c>
      <c r="B8" s="6" t="s">
        <v>23</v>
      </c>
      <c r="C8" s="6"/>
      <c r="D8" s="6">
        <v>2300</v>
      </c>
      <c r="E8" s="6"/>
      <c r="F8" s="6">
        <f t="shared" ref="F8:F21" si="0">C8+D8+E8</f>
        <v>2300</v>
      </c>
      <c r="G8" s="6">
        <f>2300</f>
        <v>2300</v>
      </c>
      <c r="H8" s="6">
        <f t="shared" ref="H8:H21" si="1">F8-G8</f>
        <v>0</v>
      </c>
      <c r="I8" s="6"/>
    </row>
    <row r="9" spans="1:14" x14ac:dyDescent="0.25">
      <c r="A9" s="6">
        <v>3</v>
      </c>
      <c r="B9" s="6" t="s">
        <v>24</v>
      </c>
      <c r="C9" s="6"/>
      <c r="D9" s="6">
        <v>2500</v>
      </c>
      <c r="E9" s="6"/>
      <c r="F9" s="6">
        <f t="shared" si="0"/>
        <v>2500</v>
      </c>
      <c r="G9" s="6">
        <v>2500</v>
      </c>
      <c r="H9" s="6">
        <f t="shared" si="1"/>
        <v>0</v>
      </c>
      <c r="I9" s="6"/>
      <c r="N9">
        <v>10957</v>
      </c>
    </row>
    <row r="10" spans="1:14" x14ac:dyDescent="0.25">
      <c r="A10" s="6">
        <v>4</v>
      </c>
      <c r="B10" s="6" t="s">
        <v>37</v>
      </c>
      <c r="C10" s="6"/>
      <c r="D10" s="6">
        <v>2500</v>
      </c>
      <c r="E10" s="6"/>
      <c r="F10" s="6">
        <f t="shared" si="0"/>
        <v>2500</v>
      </c>
      <c r="G10" s="6">
        <v>2500</v>
      </c>
      <c r="H10" s="6">
        <f t="shared" si="1"/>
        <v>0</v>
      </c>
      <c r="I10" s="6"/>
      <c r="J10">
        <v>746689518</v>
      </c>
      <c r="N10">
        <v>966</v>
      </c>
    </row>
    <row r="11" spans="1:14" x14ac:dyDescent="0.25">
      <c r="A11" s="6">
        <v>5</v>
      </c>
      <c r="B11" s="10" t="s">
        <v>30</v>
      </c>
      <c r="C11" s="6"/>
      <c r="D11" s="6">
        <v>2500</v>
      </c>
      <c r="E11" s="6"/>
      <c r="F11" s="6">
        <f t="shared" si="0"/>
        <v>2500</v>
      </c>
      <c r="G11" s="6">
        <f>2500</f>
        <v>2500</v>
      </c>
      <c r="H11" s="6">
        <f t="shared" si="1"/>
        <v>0</v>
      </c>
      <c r="I11" s="6"/>
      <c r="N11">
        <v>93400</v>
      </c>
    </row>
    <row r="12" spans="1:14" x14ac:dyDescent="0.25">
      <c r="A12" s="6">
        <v>6</v>
      </c>
      <c r="B12" s="6" t="s">
        <v>26</v>
      </c>
      <c r="C12" s="6"/>
      <c r="D12" s="6">
        <v>2500</v>
      </c>
      <c r="E12" s="6"/>
      <c r="F12" s="6">
        <f t="shared" si="0"/>
        <v>2500</v>
      </c>
      <c r="G12" s="6">
        <f>1500+1000</f>
        <v>2500</v>
      </c>
      <c r="H12" s="6">
        <f>F12-G12</f>
        <v>0</v>
      </c>
      <c r="I12" s="6"/>
      <c r="N12">
        <v>4169</v>
      </c>
    </row>
    <row r="13" spans="1:14" x14ac:dyDescent="0.25">
      <c r="A13" s="6">
        <v>7</v>
      </c>
      <c r="B13" s="10" t="s">
        <v>34</v>
      </c>
      <c r="C13" s="6"/>
      <c r="D13" s="6">
        <v>2000</v>
      </c>
      <c r="E13" s="6"/>
      <c r="F13" s="6">
        <f t="shared" si="0"/>
        <v>2000</v>
      </c>
      <c r="G13" s="8">
        <v>2000</v>
      </c>
      <c r="H13" s="6">
        <f t="shared" si="1"/>
        <v>0</v>
      </c>
      <c r="I13" s="6"/>
      <c r="J13">
        <v>703494551</v>
      </c>
      <c r="N13">
        <v>13820</v>
      </c>
    </row>
    <row r="14" spans="1:14" x14ac:dyDescent="0.25">
      <c r="A14" s="6">
        <v>8</v>
      </c>
      <c r="B14" s="9" t="s">
        <v>27</v>
      </c>
      <c r="C14" s="6"/>
      <c r="D14" s="6">
        <v>2000</v>
      </c>
      <c r="E14" s="6"/>
      <c r="F14" s="6">
        <f t="shared" si="0"/>
        <v>2000</v>
      </c>
      <c r="G14" s="6">
        <v>1000</v>
      </c>
      <c r="H14" s="6">
        <f>F14-G14</f>
        <v>1000</v>
      </c>
      <c r="I14" s="6"/>
      <c r="N14">
        <v>8046</v>
      </c>
    </row>
    <row r="15" spans="1:14" x14ac:dyDescent="0.25">
      <c r="A15" s="6">
        <v>9</v>
      </c>
      <c r="B15" s="6" t="s">
        <v>28</v>
      </c>
      <c r="C15" s="6"/>
      <c r="D15" s="6">
        <v>4000</v>
      </c>
      <c r="E15" s="6"/>
      <c r="F15" s="6">
        <f t="shared" si="0"/>
        <v>4000</v>
      </c>
      <c r="G15" s="6">
        <f>4000</f>
        <v>4000</v>
      </c>
      <c r="H15" s="6">
        <f t="shared" si="1"/>
        <v>0</v>
      </c>
      <c r="I15" s="6"/>
      <c r="N15">
        <v>6623</v>
      </c>
    </row>
    <row r="16" spans="1:14" x14ac:dyDescent="0.25">
      <c r="A16" s="6">
        <v>10</v>
      </c>
      <c r="B16" s="6" t="s">
        <v>29</v>
      </c>
      <c r="C16" s="6"/>
      <c r="D16" s="6">
        <v>4000</v>
      </c>
      <c r="E16" s="6"/>
      <c r="F16" s="6">
        <f t="shared" si="0"/>
        <v>4000</v>
      </c>
      <c r="G16" s="6">
        <f>2000</f>
        <v>2000</v>
      </c>
      <c r="H16" s="6">
        <f t="shared" si="1"/>
        <v>2000</v>
      </c>
      <c r="I16" s="6"/>
      <c r="J16" t="s">
        <v>39</v>
      </c>
      <c r="N16">
        <v>44050</v>
      </c>
    </row>
    <row r="17" spans="1:16" x14ac:dyDescent="0.25">
      <c r="A17" s="6">
        <v>11</v>
      </c>
      <c r="B17" s="6" t="s">
        <v>38</v>
      </c>
      <c r="C17" s="6"/>
      <c r="D17" s="6"/>
      <c r="E17" s="6"/>
      <c r="F17" s="6">
        <f t="shared" si="0"/>
        <v>0</v>
      </c>
      <c r="G17" s="6"/>
      <c r="H17" s="6">
        <f t="shared" si="1"/>
        <v>0</v>
      </c>
      <c r="I17" s="6"/>
      <c r="N17">
        <v>28726</v>
      </c>
    </row>
    <row r="18" spans="1:16" x14ac:dyDescent="0.25">
      <c r="A18" s="6">
        <v>12</v>
      </c>
      <c r="B18" s="6"/>
      <c r="C18" s="6"/>
      <c r="D18" s="6"/>
      <c r="E18" s="6"/>
      <c r="F18" s="6">
        <f t="shared" si="0"/>
        <v>0</v>
      </c>
      <c r="G18" s="6"/>
      <c r="H18" s="6">
        <f t="shared" si="1"/>
        <v>0</v>
      </c>
      <c r="I18" s="6"/>
      <c r="N18">
        <v>4539</v>
      </c>
    </row>
    <row r="19" spans="1:16" x14ac:dyDescent="0.25">
      <c r="A19" s="6">
        <v>13</v>
      </c>
      <c r="B19" s="10" t="s">
        <v>45</v>
      </c>
      <c r="C19" s="6"/>
      <c r="D19" s="6"/>
      <c r="E19" s="6"/>
      <c r="F19" s="6">
        <f t="shared" si="0"/>
        <v>0</v>
      </c>
      <c r="G19" s="6"/>
      <c r="H19" s="6">
        <f t="shared" si="1"/>
        <v>0</v>
      </c>
      <c r="I19" s="6"/>
      <c r="J19">
        <v>724712698</v>
      </c>
      <c r="N19">
        <v>14312</v>
      </c>
    </row>
    <row r="20" spans="1:16" x14ac:dyDescent="0.25">
      <c r="A20" s="6">
        <v>14</v>
      </c>
      <c r="B20" s="6" t="s">
        <v>35</v>
      </c>
      <c r="C20" s="6"/>
      <c r="D20" s="6">
        <v>3000</v>
      </c>
      <c r="E20" s="6"/>
      <c r="F20" s="6">
        <f t="shared" si="0"/>
        <v>3000</v>
      </c>
      <c r="G20" s="6">
        <v>3000</v>
      </c>
      <c r="H20" s="6">
        <f t="shared" si="1"/>
        <v>0</v>
      </c>
      <c r="I20" s="6"/>
      <c r="N20">
        <f>SUM(N9:N19)+5280+17613</f>
        <v>252501</v>
      </c>
    </row>
    <row r="21" spans="1:16" x14ac:dyDescent="0.25">
      <c r="A21" s="6"/>
      <c r="B21" s="10"/>
      <c r="C21" s="6"/>
      <c r="D21" s="6"/>
      <c r="E21" s="6"/>
      <c r="F21" s="6">
        <f t="shared" si="0"/>
        <v>0</v>
      </c>
      <c r="G21" s="6"/>
      <c r="H21" s="6">
        <f t="shared" si="1"/>
        <v>0</v>
      </c>
      <c r="I21" s="6"/>
    </row>
    <row r="22" spans="1:16" x14ac:dyDescent="0.25">
      <c r="A22" s="6"/>
      <c r="B22" s="11" t="s">
        <v>10</v>
      </c>
      <c r="C22" s="11">
        <f t="shared" ref="C22:H22" si="2">SUM(C7:C21)</f>
        <v>0</v>
      </c>
      <c r="D22" s="7">
        <f>SUM(D7:D21)</f>
        <v>27300</v>
      </c>
      <c r="E22" s="6">
        <f t="shared" si="2"/>
        <v>0</v>
      </c>
      <c r="F22" s="6">
        <f t="shared" si="2"/>
        <v>27300</v>
      </c>
      <c r="G22" s="7">
        <f t="shared" si="2"/>
        <v>24300</v>
      </c>
      <c r="H22" s="7">
        <f t="shared" si="2"/>
        <v>3000</v>
      </c>
      <c r="I22" s="7">
        <f>SUM(I7:I21)</f>
        <v>0</v>
      </c>
    </row>
    <row r="23" spans="1:16" x14ac:dyDescent="0.25">
      <c r="A23" s="9">
        <v>15</v>
      </c>
      <c r="D23">
        <f>D22-D19</f>
        <v>27300</v>
      </c>
    </row>
    <row r="24" spans="1:16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16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16" x14ac:dyDescent="0.25">
      <c r="B26" s="10" t="s">
        <v>17</v>
      </c>
      <c r="C26">
        <f>D22</f>
        <v>27300</v>
      </c>
      <c r="D26" s="17"/>
      <c r="E26" s="16"/>
      <c r="F26" s="18" t="s">
        <v>17</v>
      </c>
      <c r="G26" s="16">
        <f>G22</f>
        <v>24300</v>
      </c>
      <c r="H26" s="17"/>
      <c r="I26" s="10"/>
    </row>
    <row r="27" spans="1:16" x14ac:dyDescent="0.25">
      <c r="B27" s="10" t="s">
        <v>18</v>
      </c>
      <c r="C27" s="10"/>
      <c r="D27" s="10"/>
      <c r="E27" s="10"/>
      <c r="F27" s="10" t="s">
        <v>18</v>
      </c>
      <c r="G27" s="16"/>
      <c r="H27" s="10"/>
      <c r="I27" s="10"/>
      <c r="P27" s="25"/>
    </row>
    <row r="28" spans="1:16" x14ac:dyDescent="0.25">
      <c r="B28" s="10" t="s">
        <v>3</v>
      </c>
      <c r="C28" s="10"/>
      <c r="D28" s="10"/>
      <c r="E28" s="10"/>
      <c r="F28" s="10"/>
      <c r="G28" s="16"/>
      <c r="H28" s="16"/>
      <c r="I28" s="10"/>
      <c r="N28" s="21"/>
    </row>
    <row r="29" spans="1:16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</row>
    <row r="30" spans="1:16" x14ac:dyDescent="0.25">
      <c r="B30" s="10" t="s">
        <v>20</v>
      </c>
      <c r="C30" s="17">
        <v>0.1</v>
      </c>
      <c r="D30" s="10">
        <f>C30*C26</f>
        <v>2730</v>
      </c>
      <c r="E30" s="10"/>
      <c r="F30" s="10" t="s">
        <v>20</v>
      </c>
      <c r="G30" s="17">
        <v>0.1</v>
      </c>
      <c r="H30" s="10">
        <f>C30*C26</f>
        <v>2730</v>
      </c>
      <c r="I30" s="10"/>
    </row>
    <row r="31" spans="1:16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  <c r="K31">
        <v>1576</v>
      </c>
    </row>
    <row r="32" spans="1:16" x14ac:dyDescent="0.25">
      <c r="B32" s="20" t="s">
        <v>33</v>
      </c>
      <c r="C32" s="17"/>
      <c r="D32" s="10"/>
      <c r="E32" s="10"/>
      <c r="F32" s="20" t="s">
        <v>33</v>
      </c>
      <c r="G32" s="17"/>
      <c r="H32" s="10"/>
      <c r="I32" s="10"/>
    </row>
    <row r="33" spans="2:12" x14ac:dyDescent="0.25">
      <c r="B33" s="6" t="s">
        <v>36</v>
      </c>
      <c r="C33" s="6"/>
      <c r="D33" s="6">
        <v>15000</v>
      </c>
      <c r="E33" s="6"/>
      <c r="F33" s="6" t="s">
        <v>36</v>
      </c>
      <c r="G33" s="6"/>
      <c r="H33" s="6">
        <v>15097</v>
      </c>
      <c r="I33" s="10"/>
    </row>
    <row r="34" spans="2:12" x14ac:dyDescent="0.25">
      <c r="B34" s="20"/>
      <c r="C34" s="10"/>
      <c r="D34" s="10"/>
      <c r="E34" s="10"/>
      <c r="F34" s="20"/>
      <c r="G34" s="10"/>
      <c r="H34" s="10"/>
      <c r="I34" s="10"/>
      <c r="L34">
        <f>D33+D35</f>
        <v>18500</v>
      </c>
    </row>
    <row r="35" spans="2:12" x14ac:dyDescent="0.25">
      <c r="B35" s="20" t="s">
        <v>40</v>
      </c>
      <c r="C35" s="10"/>
      <c r="D35" s="10">
        <v>3500</v>
      </c>
      <c r="E35" s="10"/>
      <c r="F35" s="20" t="s">
        <v>40</v>
      </c>
      <c r="G35" s="10"/>
      <c r="H35" s="10">
        <v>3556</v>
      </c>
      <c r="I35" s="10"/>
      <c r="L35" s="26"/>
    </row>
    <row r="36" spans="2:12" x14ac:dyDescent="0.25">
      <c r="B36" s="20"/>
      <c r="C36" s="16"/>
      <c r="D36" s="16"/>
      <c r="E36" s="16"/>
      <c r="F36" s="20"/>
      <c r="G36" s="10"/>
      <c r="H36" s="16"/>
      <c r="I36" s="10"/>
    </row>
    <row r="37" spans="2:12" x14ac:dyDescent="0.25">
      <c r="B37" s="22" t="s">
        <v>10</v>
      </c>
      <c r="C37">
        <f>C26+C27+C28-D30</f>
        <v>24570</v>
      </c>
      <c r="D37" s="22">
        <f>SUM(D32:D36)</f>
        <v>18500</v>
      </c>
      <c r="E37" s="23">
        <f>C37-D37</f>
        <v>6070</v>
      </c>
      <c r="F37" s="24"/>
      <c r="G37" s="23">
        <f>G26+G27-H30</f>
        <v>21570</v>
      </c>
      <c r="H37" s="23">
        <f>SUM(H32:H36)</f>
        <v>18653</v>
      </c>
      <c r="I37" s="23">
        <f>G37-H37</f>
        <v>2917</v>
      </c>
    </row>
    <row r="41" spans="2:12" x14ac:dyDescent="0.25">
      <c r="F41">
        <f>C26-D30</f>
        <v>24570</v>
      </c>
    </row>
    <row r="42" spans="2:12" x14ac:dyDescent="0.25">
      <c r="F42">
        <f>F41-D33-D35</f>
        <v>6070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0"/>
  <sheetViews>
    <sheetView topLeftCell="A4" zoomScaleNormal="100" workbookViewId="0">
      <selection activeCell="J37" sqref="J37"/>
    </sheetView>
  </sheetViews>
  <sheetFormatPr defaultRowHeight="15" x14ac:dyDescent="0.25"/>
  <cols>
    <col min="2" max="2" width="22.85546875" customWidth="1"/>
  </cols>
  <sheetData>
    <row r="3" spans="1:9" ht="18.75" x14ac:dyDescent="0.25">
      <c r="D3" s="1" t="s">
        <v>22</v>
      </c>
      <c r="E3" s="2"/>
      <c r="F3" s="3"/>
      <c r="G3" s="4"/>
    </row>
    <row r="4" spans="1:9" ht="18.75" x14ac:dyDescent="0.25">
      <c r="D4" s="1" t="s">
        <v>0</v>
      </c>
      <c r="E4" s="1"/>
      <c r="F4" s="5"/>
      <c r="G4" s="5"/>
    </row>
    <row r="5" spans="1:9" ht="18.75" x14ac:dyDescent="0.25">
      <c r="D5" s="1" t="s">
        <v>112</v>
      </c>
      <c r="E5" s="1"/>
      <c r="F5" s="5"/>
      <c r="G5" s="5"/>
    </row>
    <row r="6" spans="1:9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9" x14ac:dyDescent="0.25">
      <c r="A7" s="6">
        <v>1</v>
      </c>
      <c r="B7" s="10" t="s">
        <v>46</v>
      </c>
      <c r="C7" s="6"/>
      <c r="D7" s="6">
        <v>3000</v>
      </c>
      <c r="E7" s="6">
        <f>'MAY 21'!H7:H22</f>
        <v>0</v>
      </c>
      <c r="F7" s="6">
        <f>C7+D7+E7</f>
        <v>3000</v>
      </c>
      <c r="G7" s="6">
        <f>3000</f>
        <v>3000</v>
      </c>
      <c r="H7" s="6">
        <f>F7-G7</f>
        <v>0</v>
      </c>
      <c r="I7" s="6"/>
    </row>
    <row r="8" spans="1:9" x14ac:dyDescent="0.25">
      <c r="A8" s="6">
        <v>2</v>
      </c>
      <c r="B8" s="6" t="s">
        <v>64</v>
      </c>
      <c r="C8" s="6"/>
      <c r="D8" s="6">
        <v>2300</v>
      </c>
      <c r="E8" s="6">
        <f>'MAY 21'!H8:H23</f>
        <v>300</v>
      </c>
      <c r="F8" s="6">
        <f t="shared" ref="F8:F21" si="0">C8+D8+E8</f>
        <v>2600</v>
      </c>
      <c r="G8" s="6">
        <f>2300</f>
        <v>2300</v>
      </c>
      <c r="H8" s="6">
        <f>F8-G8</f>
        <v>300</v>
      </c>
      <c r="I8" s="6"/>
    </row>
    <row r="9" spans="1:9" x14ac:dyDescent="0.25">
      <c r="A9" s="6">
        <v>3</v>
      </c>
      <c r="B9" s="6" t="s">
        <v>24</v>
      </c>
      <c r="C9" s="6"/>
      <c r="D9" s="6">
        <v>2500</v>
      </c>
      <c r="E9" s="6">
        <f>'MAY 21'!H9:H24</f>
        <v>0</v>
      </c>
      <c r="F9" s="6">
        <f t="shared" si="0"/>
        <v>2500</v>
      </c>
      <c r="G9" s="6">
        <v>2500</v>
      </c>
      <c r="H9" s="6">
        <f t="shared" ref="H9:H21" si="1">F9-G9</f>
        <v>0</v>
      </c>
      <c r="I9" s="6"/>
    </row>
    <row r="10" spans="1:9" x14ac:dyDescent="0.25">
      <c r="A10" s="6">
        <v>4</v>
      </c>
      <c r="B10" s="6" t="s">
        <v>99</v>
      </c>
      <c r="C10" s="6"/>
      <c r="D10" s="6">
        <v>2500</v>
      </c>
      <c r="E10" s="6">
        <f>'MAY 21'!H10:H25</f>
        <v>0</v>
      </c>
      <c r="F10" s="6">
        <f t="shared" si="0"/>
        <v>2500</v>
      </c>
      <c r="G10" s="6">
        <f>2500</f>
        <v>2500</v>
      </c>
      <c r="H10" s="6">
        <f t="shared" si="1"/>
        <v>0</v>
      </c>
      <c r="I10" s="6"/>
    </row>
    <row r="11" spans="1:9" x14ac:dyDescent="0.25">
      <c r="A11" s="6">
        <v>5</v>
      </c>
      <c r="B11" s="10" t="s">
        <v>30</v>
      </c>
      <c r="C11" s="6"/>
      <c r="D11" s="6">
        <v>2500</v>
      </c>
      <c r="E11" s="6">
        <f>'MAY 21'!H11:H26</f>
        <v>0</v>
      </c>
      <c r="F11" s="6">
        <f t="shared" si="0"/>
        <v>2500</v>
      </c>
      <c r="G11" s="6">
        <v>2500</v>
      </c>
      <c r="H11" s="6">
        <f t="shared" si="1"/>
        <v>0</v>
      </c>
      <c r="I11" s="6"/>
    </row>
    <row r="12" spans="1:9" x14ac:dyDescent="0.25">
      <c r="A12" s="6">
        <v>6</v>
      </c>
      <c r="B12" s="6" t="s">
        <v>26</v>
      </c>
      <c r="C12" s="6"/>
      <c r="D12" s="6">
        <v>2500</v>
      </c>
      <c r="E12" s="6">
        <f>'MAY 21'!H12:H27</f>
        <v>0</v>
      </c>
      <c r="F12" s="6">
        <f t="shared" si="0"/>
        <v>2500</v>
      </c>
      <c r="G12" s="6">
        <f>2500</f>
        <v>2500</v>
      </c>
      <c r="H12" s="6">
        <f>F12-G12</f>
        <v>0</v>
      </c>
      <c r="I12" s="6"/>
    </row>
    <row r="13" spans="1:9" x14ac:dyDescent="0.25">
      <c r="A13" s="6">
        <v>7</v>
      </c>
      <c r="B13" s="10" t="s">
        <v>101</v>
      </c>
      <c r="C13" s="6"/>
      <c r="D13" s="6">
        <v>2300</v>
      </c>
      <c r="E13" s="6">
        <f>'MAY 21'!H13:H28</f>
        <v>0</v>
      </c>
      <c r="F13" s="6">
        <f t="shared" si="0"/>
        <v>2300</v>
      </c>
      <c r="G13" s="8">
        <v>2300</v>
      </c>
      <c r="H13" s="6">
        <f>F13-G13</f>
        <v>0</v>
      </c>
      <c r="I13" s="6"/>
    </row>
    <row r="14" spans="1:9" x14ac:dyDescent="0.25">
      <c r="A14" s="6">
        <v>8</v>
      </c>
      <c r="B14" s="31" t="s">
        <v>117</v>
      </c>
      <c r="C14" s="6"/>
      <c r="D14" s="6">
        <v>1200</v>
      </c>
      <c r="E14" s="6"/>
      <c r="F14" s="6">
        <f t="shared" si="0"/>
        <v>1200</v>
      </c>
      <c r="G14" s="6">
        <v>1200</v>
      </c>
      <c r="H14" s="6">
        <f>F14-G14</f>
        <v>0</v>
      </c>
      <c r="I14" s="6"/>
    </row>
    <row r="15" spans="1:9" x14ac:dyDescent="0.25">
      <c r="A15" s="6">
        <v>9</v>
      </c>
      <c r="B15" s="10" t="s">
        <v>111</v>
      </c>
      <c r="C15" s="6">
        <v>1000</v>
      </c>
      <c r="D15" s="6">
        <v>4000</v>
      </c>
      <c r="E15" s="6"/>
      <c r="F15" s="6">
        <f t="shared" si="0"/>
        <v>5000</v>
      </c>
      <c r="G15" s="6">
        <f>2000+1000</f>
        <v>3000</v>
      </c>
      <c r="H15" s="6">
        <f t="shared" si="1"/>
        <v>2000</v>
      </c>
      <c r="I15" s="6"/>
    </row>
    <row r="16" spans="1:9" x14ac:dyDescent="0.25">
      <c r="A16" s="6">
        <v>10</v>
      </c>
      <c r="B16" s="6" t="s">
        <v>29</v>
      </c>
      <c r="C16" s="6"/>
      <c r="D16" s="6">
        <v>4000</v>
      </c>
      <c r="E16" s="6">
        <f>'MAY 21'!H16:H31</f>
        <v>0</v>
      </c>
      <c r="F16" s="6">
        <f t="shared" si="0"/>
        <v>4000</v>
      </c>
      <c r="G16" s="6">
        <v>4000</v>
      </c>
      <c r="H16" s="6">
        <f t="shared" si="1"/>
        <v>0</v>
      </c>
      <c r="I16" s="6"/>
    </row>
    <row r="17" spans="1:11" x14ac:dyDescent="0.25">
      <c r="A17" s="6">
        <v>11</v>
      </c>
      <c r="B17" s="6" t="s">
        <v>66</v>
      </c>
      <c r="C17" s="6"/>
      <c r="D17" s="6">
        <v>2500</v>
      </c>
      <c r="E17" s="6">
        <f>'MAY 21'!H17:H32</f>
        <v>2000</v>
      </c>
      <c r="F17" s="6">
        <f t="shared" si="0"/>
        <v>4500</v>
      </c>
      <c r="G17" s="6">
        <f>2500+1000</f>
        <v>3500</v>
      </c>
      <c r="H17" s="6">
        <f t="shared" si="1"/>
        <v>1000</v>
      </c>
      <c r="I17" s="6"/>
    </row>
    <row r="18" spans="1:11" x14ac:dyDescent="0.25">
      <c r="A18" s="6">
        <v>12</v>
      </c>
      <c r="B18" s="6" t="s">
        <v>93</v>
      </c>
      <c r="C18" s="6"/>
      <c r="D18" s="6">
        <v>4000</v>
      </c>
      <c r="E18" s="6">
        <f>'MAY 21'!H18:H33</f>
        <v>500</v>
      </c>
      <c r="F18" s="6">
        <f t="shared" si="0"/>
        <v>4500</v>
      </c>
      <c r="G18" s="6">
        <f>4000+500</f>
        <v>4500</v>
      </c>
      <c r="H18" s="6">
        <f t="shared" si="1"/>
        <v>0</v>
      </c>
      <c r="I18" s="6"/>
    </row>
    <row r="19" spans="1:11" x14ac:dyDescent="0.25">
      <c r="A19" s="6">
        <v>13</v>
      </c>
      <c r="B19" s="8" t="s">
        <v>38</v>
      </c>
      <c r="C19" s="6"/>
      <c r="D19" s="6"/>
      <c r="E19" s="6">
        <f>'MAY 21'!H19:H34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11" x14ac:dyDescent="0.25">
      <c r="A20" s="6">
        <v>14</v>
      </c>
      <c r="B20" s="6" t="s">
        <v>35</v>
      </c>
      <c r="C20" s="6"/>
      <c r="D20" s="6">
        <v>3000</v>
      </c>
      <c r="E20" s="6">
        <f>'MAY 21'!H20:H35</f>
        <v>0</v>
      </c>
      <c r="F20" s="6">
        <f t="shared" si="0"/>
        <v>3000</v>
      </c>
      <c r="G20" s="6">
        <f>1500+300</f>
        <v>1800</v>
      </c>
      <c r="H20" s="6">
        <f>F20-G20</f>
        <v>1200</v>
      </c>
      <c r="I20" s="6"/>
    </row>
    <row r="21" spans="1:11" x14ac:dyDescent="0.25">
      <c r="A21" s="6"/>
      <c r="B21" s="10"/>
      <c r="C21" s="6"/>
      <c r="D21" s="6"/>
      <c r="E21" s="6">
        <f>'MAY 21'!H21:H36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11" x14ac:dyDescent="0.25">
      <c r="A22" s="6"/>
      <c r="B22" s="11" t="s">
        <v>10</v>
      </c>
      <c r="C22" s="11">
        <f t="shared" ref="C22:H22" si="2">SUM(C7:C21)</f>
        <v>1000</v>
      </c>
      <c r="D22" s="7">
        <f t="shared" si="2"/>
        <v>36300</v>
      </c>
      <c r="E22" s="6">
        <f>'MAY 21'!H22:H37</f>
        <v>5800</v>
      </c>
      <c r="F22" s="6">
        <f t="shared" si="2"/>
        <v>40100</v>
      </c>
      <c r="G22" s="7">
        <f>SUM(G7:G21)</f>
        <v>35600</v>
      </c>
      <c r="H22" s="7">
        <f t="shared" si="2"/>
        <v>4500</v>
      </c>
      <c r="I22" s="7">
        <f>SUM(I7:I21)</f>
        <v>0</v>
      </c>
    </row>
    <row r="23" spans="1:11" x14ac:dyDescent="0.25">
      <c r="A23" s="9">
        <v>15</v>
      </c>
      <c r="E23" s="6">
        <f>'MAY 21'!H23:H38</f>
        <v>0</v>
      </c>
      <c r="H23" s="9"/>
    </row>
    <row r="24" spans="1:11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11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11" x14ac:dyDescent="0.25">
      <c r="B26" s="10" t="s">
        <v>113</v>
      </c>
      <c r="C26">
        <f>D22</f>
        <v>36300</v>
      </c>
      <c r="D26" s="17"/>
      <c r="E26" s="16"/>
      <c r="F26" s="18" t="s">
        <v>113</v>
      </c>
      <c r="G26" s="16">
        <f>G22+H23</f>
        <v>35600</v>
      </c>
      <c r="H26" s="17"/>
      <c r="I26" s="10"/>
    </row>
    <row r="27" spans="1:11" x14ac:dyDescent="0.25">
      <c r="B27" s="10" t="s">
        <v>18</v>
      </c>
      <c r="C27" s="16">
        <f>'MAY 21'!E37</f>
        <v>320</v>
      </c>
      <c r="D27" s="10"/>
      <c r="E27" s="10"/>
      <c r="F27" s="10" t="s">
        <v>18</v>
      </c>
      <c r="G27" s="16">
        <f>'MAY 21'!I37</f>
        <v>-2580</v>
      </c>
      <c r="H27" s="10"/>
      <c r="I27" s="10"/>
    </row>
    <row r="28" spans="1:11" x14ac:dyDescent="0.25">
      <c r="B28" s="10" t="s">
        <v>3</v>
      </c>
      <c r="C28" s="10">
        <f>1000</f>
        <v>1000</v>
      </c>
      <c r="D28" s="10"/>
      <c r="E28" s="10"/>
      <c r="F28" s="10"/>
      <c r="G28" s="16"/>
      <c r="H28" s="16"/>
      <c r="I28" s="10"/>
    </row>
    <row r="29" spans="1:11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</row>
    <row r="30" spans="1:11" x14ac:dyDescent="0.25">
      <c r="B30" s="10" t="s">
        <v>20</v>
      </c>
      <c r="C30" s="17">
        <v>0.1</v>
      </c>
      <c r="D30" s="10">
        <f>C30*C26</f>
        <v>3630</v>
      </c>
      <c r="E30" s="10"/>
      <c r="F30" s="10" t="s">
        <v>20</v>
      </c>
      <c r="G30" s="17">
        <v>0.1</v>
      </c>
      <c r="H30" s="10">
        <f>C30*C26</f>
        <v>3630</v>
      </c>
      <c r="I30" s="10"/>
      <c r="K30" s="26"/>
    </row>
    <row r="31" spans="1:11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</row>
    <row r="32" spans="1:11" x14ac:dyDescent="0.25">
      <c r="B32" s="20" t="s">
        <v>115</v>
      </c>
      <c r="C32" s="17"/>
      <c r="D32" s="10">
        <v>20000</v>
      </c>
      <c r="E32" s="10"/>
      <c r="F32" s="20" t="s">
        <v>115</v>
      </c>
      <c r="G32" s="17"/>
      <c r="H32" s="10">
        <v>20000</v>
      </c>
      <c r="I32" s="10"/>
    </row>
    <row r="33" spans="2:11" x14ac:dyDescent="0.25">
      <c r="B33" s="6" t="s">
        <v>116</v>
      </c>
      <c r="C33" s="6"/>
      <c r="D33" s="6">
        <v>12500</v>
      </c>
      <c r="E33" s="6"/>
      <c r="F33" s="6" t="s">
        <v>116</v>
      </c>
      <c r="G33" s="6"/>
      <c r="H33" s="6">
        <v>12500</v>
      </c>
      <c r="I33" s="10"/>
      <c r="J33" s="26"/>
      <c r="K33" s="26"/>
    </row>
    <row r="34" spans="2:11" x14ac:dyDescent="0.25">
      <c r="B34" s="20" t="s">
        <v>120</v>
      </c>
      <c r="C34" s="17"/>
      <c r="D34" s="10">
        <v>1080</v>
      </c>
      <c r="E34" s="10"/>
      <c r="F34" s="20" t="s">
        <v>120</v>
      </c>
      <c r="G34" s="17"/>
      <c r="H34" s="10">
        <v>1080</v>
      </c>
      <c r="I34" s="10"/>
      <c r="K34" s="26"/>
    </row>
    <row r="35" spans="2:11" x14ac:dyDescent="0.25">
      <c r="B35" s="20"/>
      <c r="C35" s="10"/>
      <c r="D35" s="10"/>
      <c r="E35" s="10"/>
      <c r="F35" s="20"/>
      <c r="G35" s="10"/>
      <c r="H35" s="10"/>
      <c r="I35" s="10"/>
    </row>
    <row r="36" spans="2:11" x14ac:dyDescent="0.25">
      <c r="B36" s="20"/>
      <c r="C36" s="16"/>
      <c r="D36" s="16"/>
      <c r="E36" s="16"/>
      <c r="F36" s="20"/>
      <c r="G36" s="16"/>
      <c r="H36" s="16"/>
      <c r="I36" s="10"/>
      <c r="J36" s="26"/>
    </row>
    <row r="37" spans="2:11" x14ac:dyDescent="0.25">
      <c r="B37" s="22" t="s">
        <v>10</v>
      </c>
      <c r="C37" s="26">
        <f>C26+C27+C28-D30</f>
        <v>33990</v>
      </c>
      <c r="D37" s="22">
        <f>SUM(D32:D36)</f>
        <v>33580</v>
      </c>
      <c r="E37" s="23">
        <f>C37-D37</f>
        <v>410</v>
      </c>
      <c r="F37" s="24"/>
      <c r="G37" s="23">
        <f>G26+G27-H30</f>
        <v>29390</v>
      </c>
      <c r="H37" s="23">
        <f>SUM(H32:H36)</f>
        <v>33580</v>
      </c>
      <c r="I37" s="23">
        <f>G37-H37</f>
        <v>-4190</v>
      </c>
      <c r="J37" s="26"/>
    </row>
    <row r="38" spans="2:11" x14ac:dyDescent="0.25">
      <c r="J38" s="26"/>
    </row>
    <row r="40" spans="2:11" x14ac:dyDescent="0.25">
      <c r="H40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0"/>
  <sheetViews>
    <sheetView topLeftCell="A7" workbookViewId="0">
      <selection activeCell="H17" sqref="H17"/>
    </sheetView>
  </sheetViews>
  <sheetFormatPr defaultRowHeight="15" x14ac:dyDescent="0.25"/>
  <cols>
    <col min="2" max="2" width="16.42578125" customWidth="1"/>
  </cols>
  <sheetData>
    <row r="3" spans="1:9" ht="18.75" x14ac:dyDescent="0.25">
      <c r="D3" s="1" t="s">
        <v>22</v>
      </c>
      <c r="E3" s="2"/>
      <c r="F3" s="3"/>
      <c r="G3" s="4"/>
    </row>
    <row r="4" spans="1:9" ht="18.75" x14ac:dyDescent="0.25">
      <c r="D4" s="1" t="s">
        <v>0</v>
      </c>
      <c r="E4" s="1"/>
      <c r="F4" s="5"/>
      <c r="G4" s="5"/>
    </row>
    <row r="5" spans="1:9" ht="18.75" x14ac:dyDescent="0.25">
      <c r="D5" s="1" t="s">
        <v>118</v>
      </c>
      <c r="E5" s="1"/>
      <c r="F5" s="5"/>
      <c r="G5" s="5"/>
    </row>
    <row r="6" spans="1:9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9" x14ac:dyDescent="0.25">
      <c r="A7" s="6">
        <v>1</v>
      </c>
      <c r="B7" s="10" t="s">
        <v>46</v>
      </c>
      <c r="C7" s="6"/>
      <c r="D7" s="6">
        <v>3000</v>
      </c>
      <c r="E7" s="6">
        <f>'JUNE 21'!H7:H21</f>
        <v>0</v>
      </c>
      <c r="F7" s="6">
        <f>C7+D7+E7</f>
        <v>3000</v>
      </c>
      <c r="G7" s="6">
        <v>3000</v>
      </c>
      <c r="H7" s="6">
        <f>F7-G7</f>
        <v>0</v>
      </c>
      <c r="I7" s="6"/>
    </row>
    <row r="8" spans="1:9" x14ac:dyDescent="0.25">
      <c r="A8" s="6">
        <v>2</v>
      </c>
      <c r="B8" s="6" t="s">
        <v>64</v>
      </c>
      <c r="C8" s="6"/>
      <c r="D8" s="6">
        <v>2300</v>
      </c>
      <c r="E8" s="6">
        <f>'JUNE 21'!H8:H22</f>
        <v>300</v>
      </c>
      <c r="F8" s="6">
        <f t="shared" ref="F8:F21" si="0">C8+D8+E8</f>
        <v>2600</v>
      </c>
      <c r="G8" s="6">
        <f>2300</f>
        <v>2300</v>
      </c>
      <c r="H8" s="6">
        <f>F8-G8</f>
        <v>300</v>
      </c>
      <c r="I8" s="6"/>
    </row>
    <row r="9" spans="1:9" x14ac:dyDescent="0.25">
      <c r="A9" s="6">
        <v>3</v>
      </c>
      <c r="B9" s="6" t="s">
        <v>121</v>
      </c>
      <c r="C9" s="6">
        <v>2500</v>
      </c>
      <c r="D9" s="6">
        <v>2500</v>
      </c>
      <c r="E9" s="6">
        <f>'JUNE 21'!H9:H23</f>
        <v>0</v>
      </c>
      <c r="F9" s="6">
        <f t="shared" si="0"/>
        <v>5000</v>
      </c>
      <c r="G9" s="6">
        <v>5000</v>
      </c>
      <c r="H9" s="6">
        <f t="shared" ref="H9:H21" si="1">F9-G9</f>
        <v>0</v>
      </c>
      <c r="I9" s="6"/>
    </row>
    <row r="10" spans="1:9" x14ac:dyDescent="0.25">
      <c r="A10" s="6">
        <v>4</v>
      </c>
      <c r="B10" s="6" t="s">
        <v>99</v>
      </c>
      <c r="C10" s="6"/>
      <c r="D10" s="6">
        <v>2500</v>
      </c>
      <c r="E10" s="6">
        <f>'JUNE 21'!H10:H24</f>
        <v>0</v>
      </c>
      <c r="F10" s="6">
        <f t="shared" si="0"/>
        <v>2500</v>
      </c>
      <c r="G10" s="6">
        <v>2500</v>
      </c>
      <c r="H10" s="6">
        <f t="shared" si="1"/>
        <v>0</v>
      </c>
      <c r="I10" s="6"/>
    </row>
    <row r="11" spans="1:9" x14ac:dyDescent="0.25">
      <c r="A11" s="6">
        <v>5</v>
      </c>
      <c r="B11" s="10" t="s">
        <v>30</v>
      </c>
      <c r="C11" s="6"/>
      <c r="D11" s="6">
        <v>2500</v>
      </c>
      <c r="E11" s="6">
        <f>'JUNE 21'!H11:H25</f>
        <v>0</v>
      </c>
      <c r="F11" s="6">
        <f>C11+D11+E11</f>
        <v>2500</v>
      </c>
      <c r="G11" s="6">
        <v>2500</v>
      </c>
      <c r="H11" s="6">
        <f t="shared" si="1"/>
        <v>0</v>
      </c>
      <c r="I11" s="6"/>
    </row>
    <row r="12" spans="1:9" x14ac:dyDescent="0.25">
      <c r="A12" s="6">
        <v>6</v>
      </c>
      <c r="B12" s="6" t="s">
        <v>26</v>
      </c>
      <c r="C12" s="6"/>
      <c r="D12" s="6">
        <v>2500</v>
      </c>
      <c r="E12" s="6">
        <f>'JUNE 21'!H12:H26</f>
        <v>0</v>
      </c>
      <c r="F12" s="6">
        <f t="shared" si="0"/>
        <v>2500</v>
      </c>
      <c r="G12" s="6">
        <v>2500</v>
      </c>
      <c r="H12" s="6">
        <f>F12-G12</f>
        <v>0</v>
      </c>
      <c r="I12" s="6"/>
    </row>
    <row r="13" spans="1:9" x14ac:dyDescent="0.25">
      <c r="A13" s="6">
        <v>7</v>
      </c>
      <c r="B13" s="10" t="s">
        <v>101</v>
      </c>
      <c r="C13" s="6"/>
      <c r="D13" s="6">
        <v>2300</v>
      </c>
      <c r="E13" s="6">
        <f>'JUNE 21'!H13:H27</f>
        <v>0</v>
      </c>
      <c r="F13" s="6">
        <f t="shared" si="0"/>
        <v>2300</v>
      </c>
      <c r="G13" s="8">
        <f>2300</f>
        <v>2300</v>
      </c>
      <c r="H13" s="6">
        <f>F13-G13</f>
        <v>0</v>
      </c>
      <c r="I13" s="6"/>
    </row>
    <row r="14" spans="1:9" x14ac:dyDescent="0.25">
      <c r="A14" s="6">
        <v>8</v>
      </c>
      <c r="B14" s="31" t="s">
        <v>117</v>
      </c>
      <c r="C14" s="6">
        <v>4000</v>
      </c>
      <c r="D14" s="6">
        <v>4000</v>
      </c>
      <c r="E14" s="6">
        <f>'JUNE 21'!H14:H28</f>
        <v>0</v>
      </c>
      <c r="F14" s="6">
        <f t="shared" si="0"/>
        <v>8000</v>
      </c>
      <c r="G14" s="6">
        <f>4000+4000</f>
        <v>8000</v>
      </c>
      <c r="H14" s="6">
        <f>F14-G14</f>
        <v>0</v>
      </c>
      <c r="I14" s="6"/>
    </row>
    <row r="15" spans="1:9" x14ac:dyDescent="0.25">
      <c r="A15" s="6">
        <v>9</v>
      </c>
      <c r="B15" s="10" t="s">
        <v>111</v>
      </c>
      <c r="C15" s="6"/>
      <c r="D15" s="6">
        <v>4000</v>
      </c>
      <c r="E15" s="6">
        <f>'JUNE 21'!H15:H29</f>
        <v>2000</v>
      </c>
      <c r="F15" s="6">
        <f t="shared" si="0"/>
        <v>6000</v>
      </c>
      <c r="G15" s="6">
        <f>3000+1000</f>
        <v>4000</v>
      </c>
      <c r="H15" s="6">
        <f t="shared" si="1"/>
        <v>2000</v>
      </c>
      <c r="I15" s="6"/>
    </row>
    <row r="16" spans="1:9" x14ac:dyDescent="0.25">
      <c r="A16" s="6">
        <v>10</v>
      </c>
      <c r="B16" s="6" t="s">
        <v>29</v>
      </c>
      <c r="C16" s="6"/>
      <c r="D16" s="6">
        <v>4000</v>
      </c>
      <c r="E16" s="6">
        <f>'JUNE 21'!H16:H30</f>
        <v>0</v>
      </c>
      <c r="F16" s="6">
        <f t="shared" si="0"/>
        <v>4000</v>
      </c>
      <c r="G16" s="6">
        <v>4000</v>
      </c>
      <c r="H16" s="6">
        <f t="shared" si="1"/>
        <v>0</v>
      </c>
      <c r="I16" s="6"/>
    </row>
    <row r="17" spans="1:12" x14ac:dyDescent="0.25">
      <c r="A17" s="6">
        <v>11</v>
      </c>
      <c r="B17" s="6" t="s">
        <v>66</v>
      </c>
      <c r="C17" s="6"/>
      <c r="D17" s="6">
        <v>2500</v>
      </c>
      <c r="E17" s="6">
        <f>'JUNE 21'!H17:H31</f>
        <v>1000</v>
      </c>
      <c r="F17" s="6">
        <f t="shared" si="0"/>
        <v>3500</v>
      </c>
      <c r="G17" s="6">
        <f>2500</f>
        <v>2500</v>
      </c>
      <c r="H17" s="6">
        <f t="shared" si="1"/>
        <v>1000</v>
      </c>
      <c r="I17" s="6"/>
    </row>
    <row r="18" spans="1:12" x14ac:dyDescent="0.25">
      <c r="A18" s="6">
        <v>12</v>
      </c>
      <c r="B18" s="6" t="s">
        <v>24</v>
      </c>
      <c r="C18" s="6">
        <v>1500</v>
      </c>
      <c r="D18" s="6">
        <v>4000</v>
      </c>
      <c r="E18" s="6"/>
      <c r="F18" s="6">
        <f t="shared" si="0"/>
        <v>5500</v>
      </c>
      <c r="G18" s="6">
        <v>5500</v>
      </c>
      <c r="H18" s="6">
        <f t="shared" si="1"/>
        <v>0</v>
      </c>
      <c r="I18" s="6"/>
    </row>
    <row r="19" spans="1:12" x14ac:dyDescent="0.25">
      <c r="A19" s="6">
        <v>13</v>
      </c>
      <c r="B19" s="8" t="s">
        <v>38</v>
      </c>
      <c r="C19" s="6"/>
      <c r="D19" s="6"/>
      <c r="E19" s="6">
        <f>'JUNE 21'!H19:H33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12" x14ac:dyDescent="0.25">
      <c r="A20" s="6">
        <v>14</v>
      </c>
      <c r="B20" s="6" t="s">
        <v>35</v>
      </c>
      <c r="C20" s="6"/>
      <c r="D20" s="6">
        <v>3000</v>
      </c>
      <c r="E20" s="6">
        <f>'JUNE 21'!H20:H34</f>
        <v>1200</v>
      </c>
      <c r="F20" s="6">
        <f t="shared" si="0"/>
        <v>4200</v>
      </c>
      <c r="G20" s="6">
        <f>2000+400</f>
        <v>2400</v>
      </c>
      <c r="H20" s="6">
        <f>F20-G20</f>
        <v>1800</v>
      </c>
      <c r="I20" s="6"/>
    </row>
    <row r="21" spans="1:12" x14ac:dyDescent="0.25">
      <c r="A21" s="6"/>
      <c r="B21" s="10"/>
      <c r="C21" s="6"/>
      <c r="D21" s="6"/>
      <c r="E21" s="6">
        <f>'JUNE 21'!H21:H35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12" x14ac:dyDescent="0.25">
      <c r="A22" s="6"/>
      <c r="B22" s="11" t="s">
        <v>10</v>
      </c>
      <c r="C22" s="11">
        <f t="shared" ref="C22:H22" si="2">SUM(C7:C21)</f>
        <v>8000</v>
      </c>
      <c r="D22" s="7">
        <f t="shared" si="2"/>
        <v>39100</v>
      </c>
      <c r="E22" s="6">
        <f>SUM(E7:E21)</f>
        <v>4500</v>
      </c>
      <c r="F22" s="6">
        <f t="shared" si="2"/>
        <v>51600</v>
      </c>
      <c r="G22" s="7">
        <f>SUM(G7:G21)</f>
        <v>46500</v>
      </c>
      <c r="H22" s="7">
        <f t="shared" si="2"/>
        <v>5100</v>
      </c>
      <c r="I22" s="7">
        <f>SUM(I7:I21)</f>
        <v>0</v>
      </c>
    </row>
    <row r="23" spans="1:12" x14ac:dyDescent="0.25">
      <c r="A23" s="9">
        <v>15</v>
      </c>
      <c r="E23" s="6">
        <f>'MAY 21'!H23:H38</f>
        <v>0</v>
      </c>
      <c r="H23" s="9"/>
    </row>
    <row r="24" spans="1:12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12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12" x14ac:dyDescent="0.25">
      <c r="B26" s="10" t="s">
        <v>119</v>
      </c>
      <c r="C26">
        <f>D22</f>
        <v>39100</v>
      </c>
      <c r="D26" s="17"/>
      <c r="E26" s="16"/>
      <c r="F26" s="18" t="s">
        <v>119</v>
      </c>
      <c r="G26" s="16">
        <f>G22+H23</f>
        <v>46500</v>
      </c>
      <c r="H26" s="17"/>
      <c r="I26" s="10"/>
      <c r="L26">
        <f>D22</f>
        <v>39100</v>
      </c>
    </row>
    <row r="27" spans="1:12" x14ac:dyDescent="0.25">
      <c r="B27" s="10" t="s">
        <v>18</v>
      </c>
      <c r="C27" s="16">
        <f>'JUNE 21'!E37</f>
        <v>410</v>
      </c>
      <c r="D27" s="10"/>
      <c r="E27" s="10"/>
      <c r="F27" s="10" t="s">
        <v>18</v>
      </c>
      <c r="G27" s="16">
        <f>'JUNE 21'!I37</f>
        <v>-4190</v>
      </c>
      <c r="H27" s="10"/>
      <c r="I27" s="10"/>
      <c r="L27">
        <f>D30</f>
        <v>3910</v>
      </c>
    </row>
    <row r="28" spans="1:12" x14ac:dyDescent="0.25">
      <c r="B28" s="10" t="s">
        <v>3</v>
      </c>
      <c r="C28" s="10">
        <f>C22</f>
        <v>8000</v>
      </c>
      <c r="D28" s="10"/>
      <c r="E28" s="10"/>
      <c r="F28" s="10"/>
      <c r="G28" s="16"/>
      <c r="H28" s="16"/>
      <c r="I28" s="10"/>
      <c r="L28">
        <f>L26-L27</f>
        <v>35190</v>
      </c>
    </row>
    <row r="29" spans="1:12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  <c r="L29">
        <f>C28</f>
        <v>8000</v>
      </c>
    </row>
    <row r="30" spans="1:12" x14ac:dyDescent="0.25">
      <c r="B30" s="10" t="s">
        <v>20</v>
      </c>
      <c r="C30" s="17">
        <v>0.1</v>
      </c>
      <c r="D30" s="10">
        <f>C30*C26</f>
        <v>3910</v>
      </c>
      <c r="E30" s="10"/>
      <c r="F30" s="10" t="s">
        <v>20</v>
      </c>
      <c r="G30" s="17">
        <v>0.1</v>
      </c>
      <c r="H30" s="10">
        <f>C30*C26</f>
        <v>3910</v>
      </c>
      <c r="I30" s="10"/>
      <c r="K30" s="26"/>
      <c r="L30">
        <f>L28+L29</f>
        <v>43190</v>
      </c>
    </row>
    <row r="31" spans="1:12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  <c r="L31">
        <f>D33</f>
        <v>20000</v>
      </c>
    </row>
    <row r="32" spans="1:12" x14ac:dyDescent="0.25">
      <c r="B32" s="20"/>
      <c r="C32" s="17"/>
      <c r="D32" s="10"/>
      <c r="E32" s="10"/>
      <c r="F32" s="20" t="s">
        <v>120</v>
      </c>
      <c r="G32" s="17"/>
      <c r="H32" s="10"/>
      <c r="I32" s="10"/>
      <c r="L32">
        <f>L30-L31</f>
        <v>23190</v>
      </c>
    </row>
    <row r="33" spans="2:12" x14ac:dyDescent="0.25">
      <c r="B33" s="6" t="s">
        <v>122</v>
      </c>
      <c r="C33" s="6"/>
      <c r="D33" s="6">
        <v>20000</v>
      </c>
      <c r="E33" s="6"/>
      <c r="F33" s="6" t="s">
        <v>122</v>
      </c>
      <c r="G33" s="6"/>
      <c r="H33" s="6">
        <v>20000</v>
      </c>
      <c r="I33" s="10"/>
      <c r="J33" s="26"/>
      <c r="K33" s="26"/>
    </row>
    <row r="34" spans="2:12" x14ac:dyDescent="0.25">
      <c r="B34" s="20"/>
      <c r="C34" s="10"/>
      <c r="D34" s="10">
        <v>3600</v>
      </c>
      <c r="E34" s="10"/>
      <c r="F34" s="20"/>
      <c r="G34" s="10"/>
      <c r="H34" s="10">
        <v>3600</v>
      </c>
      <c r="I34" s="10"/>
      <c r="K34" s="26"/>
    </row>
    <row r="35" spans="2:12" x14ac:dyDescent="0.25">
      <c r="B35" s="20" t="s">
        <v>123</v>
      </c>
      <c r="C35" s="10"/>
      <c r="D35" s="10">
        <v>20000</v>
      </c>
      <c r="E35" s="10"/>
      <c r="F35" s="20" t="s">
        <v>123</v>
      </c>
      <c r="G35" s="10"/>
      <c r="H35" s="10">
        <v>20000</v>
      </c>
      <c r="I35" s="10"/>
      <c r="K35" s="26"/>
    </row>
    <row r="36" spans="2:12" x14ac:dyDescent="0.25">
      <c r="B36" s="20"/>
      <c r="C36" s="16"/>
      <c r="D36" s="16"/>
      <c r="E36" s="16"/>
      <c r="F36" s="20"/>
      <c r="G36" s="16"/>
      <c r="H36" s="16"/>
      <c r="I36" s="10"/>
      <c r="J36" s="26"/>
    </row>
    <row r="37" spans="2:12" x14ac:dyDescent="0.25">
      <c r="B37" s="22" t="s">
        <v>10</v>
      </c>
      <c r="C37" s="26">
        <f>C26+C27+C28-D30</f>
        <v>43600</v>
      </c>
      <c r="D37" s="22">
        <f>SUM(D32:D36)</f>
        <v>43600</v>
      </c>
      <c r="E37" s="23">
        <f>C37-D37</f>
        <v>0</v>
      </c>
      <c r="F37" s="24"/>
      <c r="G37" s="23">
        <f>G26+G27-H30</f>
        <v>38400</v>
      </c>
      <c r="H37" s="23">
        <f>SUM(H32:H36)</f>
        <v>43600</v>
      </c>
      <c r="I37" s="23">
        <f>G37-H37</f>
        <v>-5200</v>
      </c>
      <c r="J37" s="26"/>
      <c r="L37">
        <f>3</f>
        <v>3</v>
      </c>
    </row>
    <row r="38" spans="2:12" x14ac:dyDescent="0.25">
      <c r="J38" s="26"/>
    </row>
    <row r="40" spans="2:12" x14ac:dyDescent="0.25">
      <c r="H40" s="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0"/>
  <sheetViews>
    <sheetView topLeftCell="A7" workbookViewId="0">
      <selection activeCell="H34" sqref="H34"/>
    </sheetView>
  </sheetViews>
  <sheetFormatPr defaultRowHeight="15" x14ac:dyDescent="0.25"/>
  <cols>
    <col min="2" max="2" width="18.140625" customWidth="1"/>
  </cols>
  <sheetData>
    <row r="3" spans="1:9" ht="18.75" x14ac:dyDescent="0.25">
      <c r="D3" s="1" t="s">
        <v>22</v>
      </c>
      <c r="E3" s="2"/>
      <c r="F3" s="3"/>
      <c r="G3" s="4"/>
    </row>
    <row r="4" spans="1:9" ht="18.75" x14ac:dyDescent="0.25">
      <c r="D4" s="1" t="s">
        <v>0</v>
      </c>
      <c r="E4" s="1"/>
      <c r="F4" s="5"/>
      <c r="G4" s="5"/>
    </row>
    <row r="5" spans="1:9" ht="18.75" x14ac:dyDescent="0.25">
      <c r="D5" s="1" t="s">
        <v>124</v>
      </c>
      <c r="E5" s="1"/>
      <c r="F5" s="5"/>
      <c r="G5" s="5"/>
    </row>
    <row r="6" spans="1:9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9" x14ac:dyDescent="0.25">
      <c r="A7" s="6">
        <v>1</v>
      </c>
      <c r="B7" s="10" t="s">
        <v>46</v>
      </c>
      <c r="C7" s="6"/>
      <c r="D7" s="6">
        <v>3000</v>
      </c>
      <c r="E7" s="6">
        <f>'JULY 21'!H7:H21</f>
        <v>0</v>
      </c>
      <c r="F7" s="6">
        <f>C7+D7+E7</f>
        <v>3000</v>
      </c>
      <c r="G7" s="6">
        <f>3000</f>
        <v>3000</v>
      </c>
      <c r="H7" s="6">
        <f>F7-G7</f>
        <v>0</v>
      </c>
      <c r="I7" s="6"/>
    </row>
    <row r="8" spans="1:9" x14ac:dyDescent="0.25">
      <c r="A8" s="6">
        <v>2</v>
      </c>
      <c r="B8" s="6" t="s">
        <v>64</v>
      </c>
      <c r="C8" s="6"/>
      <c r="D8" s="6">
        <v>2300</v>
      </c>
      <c r="E8" s="6">
        <f>'JULY 21'!H8:H22</f>
        <v>300</v>
      </c>
      <c r="F8" s="6">
        <f t="shared" ref="F8:F21" si="0">C8+D8+E8</f>
        <v>2600</v>
      </c>
      <c r="G8" s="6">
        <v>2300</v>
      </c>
      <c r="H8" s="6">
        <f>F8-G8</f>
        <v>300</v>
      </c>
      <c r="I8" s="6"/>
    </row>
    <row r="9" spans="1:9" x14ac:dyDescent="0.25">
      <c r="A9" s="6">
        <v>3</v>
      </c>
      <c r="B9" s="6" t="s">
        <v>121</v>
      </c>
      <c r="C9" s="6"/>
      <c r="D9" s="6">
        <v>2500</v>
      </c>
      <c r="E9" s="6">
        <f>'JULY 21'!H9:H23</f>
        <v>0</v>
      </c>
      <c r="F9" s="6">
        <f t="shared" si="0"/>
        <v>2500</v>
      </c>
      <c r="G9" s="6">
        <v>2500</v>
      </c>
      <c r="H9" s="6">
        <f t="shared" ref="H9:H21" si="1">F9-G9</f>
        <v>0</v>
      </c>
      <c r="I9" s="6"/>
    </row>
    <row r="10" spans="1:9" x14ac:dyDescent="0.25">
      <c r="A10" s="6">
        <v>4</v>
      </c>
      <c r="B10" s="6" t="s">
        <v>99</v>
      </c>
      <c r="C10" s="6"/>
      <c r="D10" s="6">
        <v>2500</v>
      </c>
      <c r="E10" s="6">
        <f>'JULY 21'!H10:H24</f>
        <v>0</v>
      </c>
      <c r="F10" s="6">
        <f t="shared" si="0"/>
        <v>2500</v>
      </c>
      <c r="G10" s="6">
        <f>1000+1500</f>
        <v>2500</v>
      </c>
      <c r="H10" s="6">
        <f t="shared" si="1"/>
        <v>0</v>
      </c>
      <c r="I10" s="6"/>
    </row>
    <row r="11" spans="1:9" x14ac:dyDescent="0.25">
      <c r="A11" s="6">
        <v>5</v>
      </c>
      <c r="B11" s="10" t="s">
        <v>30</v>
      </c>
      <c r="C11" s="6"/>
      <c r="D11" s="6">
        <v>2500</v>
      </c>
      <c r="E11" s="6">
        <f>'JULY 21'!H11:H25</f>
        <v>0</v>
      </c>
      <c r="F11" s="6">
        <f>C11+D11+E11</f>
        <v>2500</v>
      </c>
      <c r="G11" s="6">
        <v>2500</v>
      </c>
      <c r="H11" s="6">
        <f t="shared" si="1"/>
        <v>0</v>
      </c>
      <c r="I11" s="6"/>
    </row>
    <row r="12" spans="1:9" x14ac:dyDescent="0.25">
      <c r="A12" s="6">
        <v>6</v>
      </c>
      <c r="B12" s="6" t="s">
        <v>26</v>
      </c>
      <c r="C12" s="6"/>
      <c r="D12" s="6">
        <v>2500</v>
      </c>
      <c r="E12" s="6">
        <f>'JULY 21'!H12:H26</f>
        <v>0</v>
      </c>
      <c r="F12" s="6">
        <f t="shared" si="0"/>
        <v>2500</v>
      </c>
      <c r="G12" s="6">
        <v>2500</v>
      </c>
      <c r="H12" s="6">
        <f>F12-G12</f>
        <v>0</v>
      </c>
      <c r="I12" s="6"/>
    </row>
    <row r="13" spans="1:9" x14ac:dyDescent="0.25">
      <c r="A13" s="6">
        <v>7</v>
      </c>
      <c r="B13" s="10" t="s">
        <v>101</v>
      </c>
      <c r="C13" s="6"/>
      <c r="D13" s="6">
        <v>2300</v>
      </c>
      <c r="E13" s="6">
        <f>'JULY 21'!H13:H27</f>
        <v>0</v>
      </c>
      <c r="F13" s="6">
        <f t="shared" si="0"/>
        <v>2300</v>
      </c>
      <c r="G13" s="8">
        <v>2300</v>
      </c>
      <c r="H13" s="6">
        <f>F13-G13</f>
        <v>0</v>
      </c>
      <c r="I13" s="6"/>
    </row>
    <row r="14" spans="1:9" x14ac:dyDescent="0.25">
      <c r="A14" s="6">
        <v>8</v>
      </c>
      <c r="B14" s="31" t="s">
        <v>117</v>
      </c>
      <c r="C14" s="6"/>
      <c r="D14" s="6">
        <v>4000</v>
      </c>
      <c r="E14" s="6">
        <f>'JULY 21'!H14:H28</f>
        <v>0</v>
      </c>
      <c r="F14" s="6">
        <f t="shared" si="0"/>
        <v>4000</v>
      </c>
      <c r="G14" s="6">
        <v>4000</v>
      </c>
      <c r="H14" s="6">
        <f>F14-G14</f>
        <v>0</v>
      </c>
      <c r="I14" s="6"/>
    </row>
    <row r="15" spans="1:9" x14ac:dyDescent="0.25">
      <c r="A15" s="6">
        <v>9</v>
      </c>
      <c r="B15" s="10" t="s">
        <v>111</v>
      </c>
      <c r="C15" s="6"/>
      <c r="D15" s="6">
        <v>4000</v>
      </c>
      <c r="E15" s="6">
        <f>'JULY 21'!H15:H29</f>
        <v>2000</v>
      </c>
      <c r="F15" s="6">
        <f t="shared" si="0"/>
        <v>6000</v>
      </c>
      <c r="G15" s="6">
        <v>5000</v>
      </c>
      <c r="H15" s="6">
        <f t="shared" si="1"/>
        <v>1000</v>
      </c>
      <c r="I15" s="6"/>
    </row>
    <row r="16" spans="1:9" x14ac:dyDescent="0.25">
      <c r="A16" s="6">
        <v>10</v>
      </c>
      <c r="B16" s="6" t="s">
        <v>29</v>
      </c>
      <c r="C16" s="6"/>
      <c r="D16" s="6">
        <v>4000</v>
      </c>
      <c r="E16" s="6">
        <f>'JULY 21'!H16:H30</f>
        <v>0</v>
      </c>
      <c r="F16" s="6">
        <f t="shared" si="0"/>
        <v>4000</v>
      </c>
      <c r="G16" s="6">
        <v>4000</v>
      </c>
      <c r="H16" s="6">
        <f t="shared" si="1"/>
        <v>0</v>
      </c>
      <c r="I16" s="6"/>
    </row>
    <row r="17" spans="1:11" x14ac:dyDescent="0.25">
      <c r="A17" s="6">
        <v>11</v>
      </c>
      <c r="B17" s="6" t="s">
        <v>66</v>
      </c>
      <c r="C17" s="6"/>
      <c r="D17" s="6">
        <v>2500</v>
      </c>
      <c r="E17" s="6">
        <f>'JULY 21'!H17:H31</f>
        <v>1000</v>
      </c>
      <c r="F17" s="6">
        <f t="shared" si="0"/>
        <v>3500</v>
      </c>
      <c r="G17" s="6">
        <f>2000</f>
        <v>2000</v>
      </c>
      <c r="H17" s="6">
        <f t="shared" si="1"/>
        <v>1500</v>
      </c>
      <c r="I17" s="6"/>
    </row>
    <row r="18" spans="1:11" x14ac:dyDescent="0.25">
      <c r="A18" s="6">
        <v>12</v>
      </c>
      <c r="B18" s="6" t="s">
        <v>24</v>
      </c>
      <c r="C18" s="6"/>
      <c r="D18" s="6">
        <v>4000</v>
      </c>
      <c r="E18" s="6">
        <f>'JULY 21'!H18:H32</f>
        <v>0</v>
      </c>
      <c r="F18" s="6">
        <f t="shared" si="0"/>
        <v>4000</v>
      </c>
      <c r="G18" s="6">
        <v>4000</v>
      </c>
      <c r="H18" s="6">
        <f t="shared" si="1"/>
        <v>0</v>
      </c>
      <c r="I18" s="6"/>
    </row>
    <row r="19" spans="1:11" x14ac:dyDescent="0.25">
      <c r="A19" s="6">
        <v>13</v>
      </c>
      <c r="B19" s="8" t="s">
        <v>38</v>
      </c>
      <c r="C19" s="6"/>
      <c r="D19" s="6"/>
      <c r="E19" s="6">
        <f>'JULY 21'!H19:H33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11" x14ac:dyDescent="0.25">
      <c r="A20" s="6">
        <v>14</v>
      </c>
      <c r="B20" s="6" t="s">
        <v>35</v>
      </c>
      <c r="C20" s="6"/>
      <c r="D20" s="6">
        <v>3000</v>
      </c>
      <c r="E20" s="6">
        <f>'JULY 21'!H20:H34</f>
        <v>1800</v>
      </c>
      <c r="F20" s="6">
        <f t="shared" si="0"/>
        <v>4800</v>
      </c>
      <c r="G20" s="6">
        <f>2000+2800</f>
        <v>4800</v>
      </c>
      <c r="H20" s="6">
        <f>F20-G20</f>
        <v>0</v>
      </c>
      <c r="I20" s="6"/>
    </row>
    <row r="21" spans="1:11" x14ac:dyDescent="0.25">
      <c r="A21" s="6"/>
      <c r="B21" s="10"/>
      <c r="C21" s="6"/>
      <c r="D21" s="6"/>
      <c r="E21" s="6">
        <f>'JULY 21'!H21:H35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11" x14ac:dyDescent="0.25">
      <c r="A22" s="6"/>
      <c r="B22" s="11" t="s">
        <v>10</v>
      </c>
      <c r="C22" s="11">
        <f t="shared" ref="C22:H22" si="2">SUM(C7:C21)</f>
        <v>0</v>
      </c>
      <c r="D22" s="7">
        <f t="shared" si="2"/>
        <v>39100</v>
      </c>
      <c r="E22" s="6">
        <f>SUM(E7:E21)</f>
        <v>5100</v>
      </c>
      <c r="F22" s="6">
        <f t="shared" si="2"/>
        <v>44200</v>
      </c>
      <c r="G22" s="7">
        <f>SUM(G7:G21)</f>
        <v>41400</v>
      </c>
      <c r="H22" s="7">
        <f t="shared" si="2"/>
        <v>2800</v>
      </c>
      <c r="I22" s="7">
        <f>SUM(I7:I21)</f>
        <v>0</v>
      </c>
    </row>
    <row r="23" spans="1:11" x14ac:dyDescent="0.25">
      <c r="A23" s="9">
        <v>15</v>
      </c>
      <c r="E23" s="6">
        <f>'MAY 21'!H23:H38</f>
        <v>0</v>
      </c>
      <c r="H23" s="9"/>
    </row>
    <row r="24" spans="1:11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11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11" x14ac:dyDescent="0.25">
      <c r="B26" s="10" t="s">
        <v>125</v>
      </c>
      <c r="C26">
        <f>D22</f>
        <v>39100</v>
      </c>
      <c r="D26" s="17"/>
      <c r="E26" s="16"/>
      <c r="F26" s="18" t="s">
        <v>125</v>
      </c>
      <c r="G26" s="16">
        <f>G22+H23</f>
        <v>41400</v>
      </c>
      <c r="H26" s="17"/>
      <c r="I26" s="10"/>
    </row>
    <row r="27" spans="1:11" x14ac:dyDescent="0.25">
      <c r="B27" s="10" t="s">
        <v>18</v>
      </c>
      <c r="C27" s="16">
        <f>'JULY 21'!E37</f>
        <v>0</v>
      </c>
      <c r="D27" s="10"/>
      <c r="E27" s="10"/>
      <c r="F27" s="10" t="s">
        <v>18</v>
      </c>
      <c r="G27" s="16">
        <f>'JULY 21'!I37</f>
        <v>-5200</v>
      </c>
      <c r="H27" s="10"/>
      <c r="I27" s="10"/>
    </row>
    <row r="28" spans="1:11" x14ac:dyDescent="0.25">
      <c r="B28" s="10" t="s">
        <v>3</v>
      </c>
      <c r="C28" s="10">
        <f>C22</f>
        <v>0</v>
      </c>
      <c r="D28" s="10"/>
      <c r="E28" s="10"/>
      <c r="F28" s="10"/>
      <c r="G28" s="16"/>
      <c r="H28" s="16"/>
      <c r="I28" s="10"/>
    </row>
    <row r="29" spans="1:11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</row>
    <row r="30" spans="1:11" x14ac:dyDescent="0.25">
      <c r="B30" s="10" t="s">
        <v>20</v>
      </c>
      <c r="C30" s="17">
        <v>0.1</v>
      </c>
      <c r="D30" s="10">
        <f>C30*C26</f>
        <v>3910</v>
      </c>
      <c r="E30" s="10"/>
      <c r="F30" s="10" t="s">
        <v>20</v>
      </c>
      <c r="G30" s="17">
        <v>0.1</v>
      </c>
      <c r="H30" s="10">
        <f>C30*C26</f>
        <v>3910</v>
      </c>
      <c r="I30" s="10"/>
      <c r="K30" s="26"/>
    </row>
    <row r="31" spans="1:11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</row>
    <row r="32" spans="1:11" x14ac:dyDescent="0.25">
      <c r="B32" s="20"/>
      <c r="C32" s="17"/>
      <c r="D32" s="10"/>
      <c r="E32" s="10"/>
      <c r="F32" s="20"/>
      <c r="G32" s="17"/>
      <c r="H32" s="10"/>
      <c r="I32" s="10"/>
    </row>
    <row r="33" spans="2:11" x14ac:dyDescent="0.25">
      <c r="B33" s="6" t="s">
        <v>126</v>
      </c>
      <c r="C33" s="6"/>
      <c r="D33" s="6">
        <v>20093</v>
      </c>
      <c r="E33" s="6"/>
      <c r="F33" s="6" t="s">
        <v>126</v>
      </c>
      <c r="G33" s="6"/>
      <c r="H33" s="6">
        <v>20093</v>
      </c>
      <c r="I33" s="10"/>
      <c r="J33" s="26"/>
      <c r="K33" s="26"/>
    </row>
    <row r="34" spans="2:11" x14ac:dyDescent="0.25">
      <c r="B34" s="20" t="s">
        <v>127</v>
      </c>
      <c r="C34" s="10"/>
      <c r="D34" s="10">
        <v>15097</v>
      </c>
      <c r="E34" s="10"/>
      <c r="F34" s="20" t="s">
        <v>127</v>
      </c>
      <c r="G34" s="10"/>
      <c r="H34" s="10">
        <v>15097</v>
      </c>
      <c r="I34" s="10"/>
      <c r="K34" s="26"/>
    </row>
    <row r="35" spans="2:11" x14ac:dyDescent="0.25">
      <c r="B35" s="20"/>
      <c r="C35" s="10"/>
      <c r="D35" s="10"/>
      <c r="E35" s="10"/>
      <c r="F35" s="20"/>
      <c r="G35" s="10"/>
      <c r="H35" s="10"/>
      <c r="I35" s="10"/>
      <c r="K35" s="26"/>
    </row>
    <row r="36" spans="2:11" x14ac:dyDescent="0.25">
      <c r="B36" s="20"/>
      <c r="C36" s="16"/>
      <c r="D36" s="16"/>
      <c r="E36" s="16"/>
      <c r="F36" s="20"/>
      <c r="G36" s="16"/>
      <c r="H36" s="16"/>
      <c r="I36" s="10"/>
      <c r="J36" s="26"/>
    </row>
    <row r="37" spans="2:11" x14ac:dyDescent="0.25">
      <c r="B37" s="22" t="s">
        <v>10</v>
      </c>
      <c r="C37" s="26">
        <f>C26+C27+C28-D30</f>
        <v>35190</v>
      </c>
      <c r="D37" s="22">
        <f>SUM(D32:D36)</f>
        <v>35190</v>
      </c>
      <c r="E37" s="23">
        <f>C37-D37</f>
        <v>0</v>
      </c>
      <c r="F37" s="24"/>
      <c r="G37" s="23">
        <f>G26+G27-H30</f>
        <v>32290</v>
      </c>
      <c r="H37" s="23">
        <f>SUM(H32:H36)</f>
        <v>35190</v>
      </c>
      <c r="I37" s="23">
        <f>G37-H37</f>
        <v>-2900</v>
      </c>
      <c r="J37" s="26"/>
    </row>
    <row r="38" spans="2:11" x14ac:dyDescent="0.25">
      <c r="J38" s="26"/>
    </row>
    <row r="40" spans="2:11" x14ac:dyDescent="0.25">
      <c r="H40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8"/>
  <sheetViews>
    <sheetView topLeftCell="A5" workbookViewId="0">
      <selection activeCell="B18" sqref="B18"/>
    </sheetView>
  </sheetViews>
  <sheetFormatPr defaultRowHeight="15" x14ac:dyDescent="0.25"/>
  <cols>
    <col min="2" max="2" width="16.140625" customWidth="1"/>
    <col min="3" max="3" width="13.28515625" customWidth="1"/>
    <col min="6" max="6" width="11.42578125" customWidth="1"/>
  </cols>
  <sheetData>
    <row r="3" spans="1:9" ht="18.75" x14ac:dyDescent="0.25">
      <c r="D3" s="1" t="s">
        <v>22</v>
      </c>
      <c r="E3" s="2"/>
      <c r="F3" s="3"/>
      <c r="G3" s="4"/>
    </row>
    <row r="4" spans="1:9" ht="18.75" x14ac:dyDescent="0.25">
      <c r="D4" s="1" t="s">
        <v>0</v>
      </c>
      <c r="E4" s="1"/>
      <c r="F4" s="5"/>
      <c r="G4" s="5"/>
    </row>
    <row r="5" spans="1:9" ht="18.75" x14ac:dyDescent="0.25">
      <c r="D5" s="1" t="s">
        <v>128</v>
      </c>
      <c r="E5" s="1"/>
      <c r="F5" s="5"/>
      <c r="G5" s="5"/>
    </row>
    <row r="6" spans="1:9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9" x14ac:dyDescent="0.25">
      <c r="A7" s="6">
        <v>1</v>
      </c>
      <c r="B7" s="10" t="s">
        <v>46</v>
      </c>
      <c r="C7" s="6"/>
      <c r="D7" s="6">
        <v>3000</v>
      </c>
      <c r="E7" s="6">
        <f>'AUGUST 21'!H7:H21</f>
        <v>0</v>
      </c>
      <c r="F7" s="6">
        <f>C7+D7+E7</f>
        <v>3000</v>
      </c>
      <c r="G7" s="6">
        <f>3000</f>
        <v>3000</v>
      </c>
      <c r="H7" s="6">
        <f>F7-G7</f>
        <v>0</v>
      </c>
      <c r="I7" s="6"/>
    </row>
    <row r="8" spans="1:9" x14ac:dyDescent="0.25">
      <c r="A8" s="6">
        <v>2</v>
      </c>
      <c r="B8" s="6" t="s">
        <v>64</v>
      </c>
      <c r="C8" s="6"/>
      <c r="D8" s="6">
        <v>2300</v>
      </c>
      <c r="E8" s="6">
        <f>'AUGUST 21'!H8:H22</f>
        <v>300</v>
      </c>
      <c r="F8" s="6">
        <f t="shared" ref="F8:F21" si="0">C8+D8+E8</f>
        <v>2600</v>
      </c>
      <c r="G8" s="6">
        <v>2300</v>
      </c>
      <c r="H8" s="6">
        <f>F8-G8</f>
        <v>300</v>
      </c>
      <c r="I8" s="6"/>
    </row>
    <row r="9" spans="1:9" x14ac:dyDescent="0.25">
      <c r="A9" s="6">
        <v>3</v>
      </c>
      <c r="B9" s="6" t="s">
        <v>121</v>
      </c>
      <c r="C9" s="6"/>
      <c r="D9" s="6">
        <v>2500</v>
      </c>
      <c r="E9" s="6">
        <f>'AUGUST 21'!H9:H23</f>
        <v>0</v>
      </c>
      <c r="F9" s="6">
        <f t="shared" si="0"/>
        <v>2500</v>
      </c>
      <c r="G9" s="6">
        <v>2500</v>
      </c>
      <c r="H9" s="6">
        <f t="shared" ref="H9:H21" si="1">F9-G9</f>
        <v>0</v>
      </c>
      <c r="I9" s="6"/>
    </row>
    <row r="10" spans="1:9" x14ac:dyDescent="0.25">
      <c r="A10" s="6">
        <v>4</v>
      </c>
      <c r="B10" s="6" t="s">
        <v>99</v>
      </c>
      <c r="C10" s="6"/>
      <c r="D10" s="6">
        <v>2500</v>
      </c>
      <c r="E10" s="6">
        <f>'AUGUST 21'!H10:H24</f>
        <v>0</v>
      </c>
      <c r="F10" s="6">
        <f t="shared" si="0"/>
        <v>2500</v>
      </c>
      <c r="G10" s="6">
        <v>2500</v>
      </c>
      <c r="H10" s="6">
        <f t="shared" si="1"/>
        <v>0</v>
      </c>
      <c r="I10" s="6"/>
    </row>
    <row r="11" spans="1:9" x14ac:dyDescent="0.25">
      <c r="A11" s="6">
        <v>5</v>
      </c>
      <c r="B11" s="10" t="s">
        <v>30</v>
      </c>
      <c r="C11" s="6"/>
      <c r="D11" s="6">
        <v>2500</v>
      </c>
      <c r="E11" s="6">
        <f>'AUGUST 21'!H11:H25</f>
        <v>0</v>
      </c>
      <c r="F11" s="6">
        <f>C11+D11+E11</f>
        <v>2500</v>
      </c>
      <c r="G11" s="6"/>
      <c r="H11" s="6">
        <f t="shared" si="1"/>
        <v>2500</v>
      </c>
      <c r="I11" s="6"/>
    </row>
    <row r="12" spans="1:9" x14ac:dyDescent="0.25">
      <c r="A12" s="6">
        <v>6</v>
      </c>
      <c r="B12" s="6" t="s">
        <v>26</v>
      </c>
      <c r="C12" s="6"/>
      <c r="D12" s="6">
        <v>2500</v>
      </c>
      <c r="E12" s="6">
        <f>'AUGUST 21'!H12:H26</f>
        <v>0</v>
      </c>
      <c r="F12" s="6">
        <f t="shared" si="0"/>
        <v>2500</v>
      </c>
      <c r="G12" s="6">
        <f>2500</f>
        <v>2500</v>
      </c>
      <c r="H12" s="6">
        <f>F12-G12</f>
        <v>0</v>
      </c>
      <c r="I12" s="6"/>
    </row>
    <row r="13" spans="1:9" x14ac:dyDescent="0.25">
      <c r="A13" s="6">
        <v>7</v>
      </c>
      <c r="B13" s="10" t="s">
        <v>101</v>
      </c>
      <c r="C13" s="6"/>
      <c r="D13" s="6">
        <v>2300</v>
      </c>
      <c r="E13" s="6">
        <f>'AUGUST 21'!H13:H27</f>
        <v>0</v>
      </c>
      <c r="F13" s="6">
        <f t="shared" si="0"/>
        <v>2300</v>
      </c>
      <c r="G13" s="8">
        <v>2300</v>
      </c>
      <c r="H13" s="6">
        <f>F13-G13</f>
        <v>0</v>
      </c>
      <c r="I13" s="6"/>
    </row>
    <row r="14" spans="1:9" x14ac:dyDescent="0.25">
      <c r="A14" s="6">
        <v>8</v>
      </c>
      <c r="B14" s="31" t="s">
        <v>117</v>
      </c>
      <c r="C14" s="6"/>
      <c r="D14" s="6">
        <v>4000</v>
      </c>
      <c r="E14" s="6">
        <f>'AUGUST 21'!H14:H28</f>
        <v>0</v>
      </c>
      <c r="F14" s="6">
        <f t="shared" si="0"/>
        <v>4000</v>
      </c>
      <c r="G14" s="6">
        <v>4000</v>
      </c>
      <c r="H14" s="6">
        <f>F14-G14</f>
        <v>0</v>
      </c>
      <c r="I14" s="6"/>
    </row>
    <row r="15" spans="1:9" x14ac:dyDescent="0.25">
      <c r="A15" s="6">
        <v>9</v>
      </c>
      <c r="B15" s="10" t="s">
        <v>111</v>
      </c>
      <c r="C15" s="6"/>
      <c r="D15" s="6">
        <v>4000</v>
      </c>
      <c r="E15" s="6">
        <f>'AUGUST 21'!H15:H29</f>
        <v>1000</v>
      </c>
      <c r="F15" s="6">
        <f t="shared" si="0"/>
        <v>5000</v>
      </c>
      <c r="G15" s="6">
        <v>4000</v>
      </c>
      <c r="H15" s="6">
        <f t="shared" si="1"/>
        <v>1000</v>
      </c>
      <c r="I15" s="6"/>
    </row>
    <row r="16" spans="1:9" x14ac:dyDescent="0.25">
      <c r="A16" s="6">
        <v>10</v>
      </c>
      <c r="B16" s="6" t="s">
        <v>29</v>
      </c>
      <c r="C16" s="6"/>
      <c r="D16" s="6">
        <v>4000</v>
      </c>
      <c r="E16" s="6">
        <f>'AUGUST 21'!H16:H30</f>
        <v>0</v>
      </c>
      <c r="F16" s="6">
        <f t="shared" si="0"/>
        <v>4000</v>
      </c>
      <c r="G16" s="6">
        <v>4000</v>
      </c>
      <c r="H16" s="6">
        <f t="shared" si="1"/>
        <v>0</v>
      </c>
      <c r="I16" s="6"/>
    </row>
    <row r="17" spans="1:11" x14ac:dyDescent="0.25">
      <c r="A17" s="6">
        <v>11</v>
      </c>
      <c r="B17" s="6" t="s">
        <v>66</v>
      </c>
      <c r="C17" s="6"/>
      <c r="D17" s="6">
        <v>2500</v>
      </c>
      <c r="E17" s="6">
        <f>'AUGUST 21'!H17:H31</f>
        <v>1500</v>
      </c>
      <c r="F17" s="6">
        <f t="shared" si="0"/>
        <v>4000</v>
      </c>
      <c r="G17" s="6"/>
      <c r="H17" s="6">
        <f t="shared" si="1"/>
        <v>4000</v>
      </c>
      <c r="I17" s="6"/>
    </row>
    <row r="18" spans="1:11" x14ac:dyDescent="0.25">
      <c r="A18" s="6">
        <v>12</v>
      </c>
      <c r="B18" s="6" t="s">
        <v>24</v>
      </c>
      <c r="C18" s="6"/>
      <c r="D18" s="6">
        <v>4000</v>
      </c>
      <c r="E18" s="6">
        <f>'AUGUST 21'!H18:H32</f>
        <v>0</v>
      </c>
      <c r="F18" s="6">
        <f t="shared" si="0"/>
        <v>4000</v>
      </c>
      <c r="G18" s="6">
        <v>4000</v>
      </c>
      <c r="H18" s="6">
        <f t="shared" si="1"/>
        <v>0</v>
      </c>
      <c r="I18" s="6"/>
    </row>
    <row r="19" spans="1:11" x14ac:dyDescent="0.25">
      <c r="A19" s="6">
        <v>13</v>
      </c>
      <c r="B19" s="8" t="s">
        <v>38</v>
      </c>
      <c r="C19" s="6"/>
      <c r="D19" s="6"/>
      <c r="E19" s="6">
        <f>'AUGUST 21'!H19:H33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11" x14ac:dyDescent="0.25">
      <c r="A20" s="6">
        <v>14</v>
      </c>
      <c r="B20" s="6" t="s">
        <v>35</v>
      </c>
      <c r="C20" s="6"/>
      <c r="D20" s="6">
        <v>3000</v>
      </c>
      <c r="E20" s="6">
        <f>'AUGUST 21'!H20:H34</f>
        <v>0</v>
      </c>
      <c r="F20" s="6">
        <f t="shared" si="0"/>
        <v>3000</v>
      </c>
      <c r="G20" s="6">
        <f>2000+1000</f>
        <v>3000</v>
      </c>
      <c r="H20" s="6">
        <f>F20-G20</f>
        <v>0</v>
      </c>
      <c r="I20" s="6"/>
    </row>
    <row r="21" spans="1:11" x14ac:dyDescent="0.25">
      <c r="A21" s="6"/>
      <c r="B21" s="10"/>
      <c r="C21" s="6"/>
      <c r="D21" s="6"/>
      <c r="E21" s="6">
        <f>'AUGUST 21'!H21:H35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11" x14ac:dyDescent="0.25">
      <c r="A22" s="6"/>
      <c r="B22" s="11" t="s">
        <v>10</v>
      </c>
      <c r="C22" s="11">
        <f t="shared" ref="C22:H22" si="2">SUM(C7:C21)</f>
        <v>0</v>
      </c>
      <c r="D22" s="7">
        <f t="shared" si="2"/>
        <v>39100</v>
      </c>
      <c r="E22" s="6">
        <f>SUM(E7:E21)</f>
        <v>2800</v>
      </c>
      <c r="F22" s="6">
        <f t="shared" si="2"/>
        <v>41900</v>
      </c>
      <c r="G22" s="7">
        <f>SUM(G7:G21)</f>
        <v>34100</v>
      </c>
      <c r="H22" s="7">
        <f t="shared" si="2"/>
        <v>7800</v>
      </c>
      <c r="I22" s="7">
        <f>SUM(I7:I21)</f>
        <v>0</v>
      </c>
    </row>
    <row r="23" spans="1:11" x14ac:dyDescent="0.25">
      <c r="A23" s="9">
        <v>15</v>
      </c>
      <c r="E23" s="6">
        <f>'MAY 21'!H23:H38</f>
        <v>0</v>
      </c>
      <c r="H23" s="9"/>
    </row>
    <row r="24" spans="1:11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11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11" x14ac:dyDescent="0.25">
      <c r="B26" s="10" t="s">
        <v>17</v>
      </c>
      <c r="C26">
        <f>D22</f>
        <v>39100</v>
      </c>
      <c r="D26" s="17"/>
      <c r="E26" s="16"/>
      <c r="F26" s="18" t="s">
        <v>17</v>
      </c>
      <c r="G26" s="16">
        <f>G22+H23</f>
        <v>34100</v>
      </c>
      <c r="H26" s="17"/>
      <c r="I26" s="10"/>
    </row>
    <row r="27" spans="1:11" x14ac:dyDescent="0.25">
      <c r="B27" s="10" t="s">
        <v>18</v>
      </c>
      <c r="C27" s="16">
        <f>'AUGUST 21'!E37</f>
        <v>0</v>
      </c>
      <c r="D27" s="10"/>
      <c r="E27" s="10"/>
      <c r="F27" s="10" t="s">
        <v>18</v>
      </c>
      <c r="G27" s="16">
        <f>'AUGUST 21'!I37</f>
        <v>-2900</v>
      </c>
      <c r="H27" s="10"/>
      <c r="I27" s="10"/>
    </row>
    <row r="28" spans="1:11" x14ac:dyDescent="0.25">
      <c r="B28" s="10" t="s">
        <v>3</v>
      </c>
      <c r="C28" s="10">
        <f>C22</f>
        <v>0</v>
      </c>
      <c r="D28" s="10"/>
      <c r="E28" s="10"/>
      <c r="F28" s="10"/>
      <c r="G28" s="16"/>
      <c r="H28" s="16"/>
      <c r="I28" s="10"/>
    </row>
    <row r="29" spans="1:11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</row>
    <row r="30" spans="1:11" x14ac:dyDescent="0.25">
      <c r="B30" s="10" t="s">
        <v>20</v>
      </c>
      <c r="C30" s="17">
        <v>0.1</v>
      </c>
      <c r="D30" s="10">
        <f>C30*C26</f>
        <v>3910</v>
      </c>
      <c r="E30" s="10"/>
      <c r="F30" s="10" t="s">
        <v>20</v>
      </c>
      <c r="G30" s="17">
        <v>0.1</v>
      </c>
      <c r="H30" s="10">
        <f>C30*C26</f>
        <v>3910</v>
      </c>
      <c r="I30" s="10"/>
      <c r="K30" s="26"/>
    </row>
    <row r="31" spans="1:11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</row>
    <row r="32" spans="1:11" x14ac:dyDescent="0.25">
      <c r="B32" s="20" t="s">
        <v>129</v>
      </c>
      <c r="C32" s="17"/>
      <c r="D32" s="10">
        <v>20000</v>
      </c>
      <c r="E32" s="10"/>
      <c r="F32" s="20" t="s">
        <v>129</v>
      </c>
      <c r="G32" s="17"/>
      <c r="H32" s="10">
        <v>20000</v>
      </c>
      <c r="I32" s="10"/>
    </row>
    <row r="33" spans="2:11" x14ac:dyDescent="0.25">
      <c r="B33" s="6" t="s">
        <v>132</v>
      </c>
      <c r="C33" s="6"/>
      <c r="D33" s="6">
        <v>15190</v>
      </c>
      <c r="E33" s="6"/>
      <c r="F33" s="6" t="s">
        <v>132</v>
      </c>
      <c r="G33" s="6"/>
      <c r="H33" s="6">
        <v>15190</v>
      </c>
      <c r="I33" s="10"/>
      <c r="J33" s="26"/>
      <c r="K33" s="26"/>
    </row>
    <row r="34" spans="2:11" x14ac:dyDescent="0.25">
      <c r="B34" s="20"/>
      <c r="C34" s="10"/>
      <c r="D34" s="10"/>
      <c r="E34" s="10"/>
      <c r="F34" s="20"/>
      <c r="G34" s="10"/>
      <c r="H34" s="10"/>
      <c r="I34" s="10"/>
      <c r="K34" s="26"/>
    </row>
    <row r="35" spans="2:11" x14ac:dyDescent="0.25">
      <c r="B35" s="20"/>
      <c r="C35" s="10"/>
      <c r="D35" s="10"/>
      <c r="E35" s="10"/>
      <c r="F35" s="20"/>
      <c r="G35" s="10"/>
      <c r="H35" s="10"/>
      <c r="I35" s="10"/>
      <c r="K35" s="26"/>
    </row>
    <row r="36" spans="2:11" x14ac:dyDescent="0.25">
      <c r="B36" s="20"/>
      <c r="C36" s="16"/>
      <c r="D36" s="16"/>
      <c r="E36" s="16"/>
      <c r="F36" s="20"/>
      <c r="G36" s="16"/>
      <c r="H36" s="16"/>
      <c r="I36" s="10"/>
      <c r="J36" s="26"/>
    </row>
    <row r="37" spans="2:11" x14ac:dyDescent="0.25">
      <c r="B37" s="22" t="s">
        <v>10</v>
      </c>
      <c r="C37" s="26">
        <f>C26+C27+C28-D30</f>
        <v>35190</v>
      </c>
      <c r="D37" s="22">
        <f>SUM(D32:D36)</f>
        <v>35190</v>
      </c>
      <c r="E37" s="23">
        <f>C37-D37</f>
        <v>0</v>
      </c>
      <c r="F37" s="24"/>
      <c r="G37" s="23">
        <f>G26+G27-H30</f>
        <v>27290</v>
      </c>
      <c r="H37" s="23">
        <f>SUM(H32:H36)</f>
        <v>35190</v>
      </c>
      <c r="I37" s="23">
        <f>G37-H37</f>
        <v>-7900</v>
      </c>
      <c r="J37" s="26"/>
    </row>
    <row r="38" spans="2:11" x14ac:dyDescent="0.25">
      <c r="J38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topLeftCell="A7" workbookViewId="0">
      <selection activeCell="H17" sqref="H17"/>
    </sheetView>
  </sheetViews>
  <sheetFormatPr defaultRowHeight="15" x14ac:dyDescent="0.25"/>
  <cols>
    <col min="2" max="2" width="21.85546875" customWidth="1"/>
  </cols>
  <sheetData>
    <row r="3" spans="1:10" ht="18.75" x14ac:dyDescent="0.25">
      <c r="D3" s="1" t="s">
        <v>22</v>
      </c>
      <c r="E3" s="2"/>
      <c r="F3" s="3"/>
      <c r="G3" s="4"/>
    </row>
    <row r="4" spans="1:10" ht="18.75" x14ac:dyDescent="0.25">
      <c r="D4" s="1" t="s">
        <v>0</v>
      </c>
      <c r="E4" s="1"/>
      <c r="F4" s="5"/>
      <c r="G4" s="5"/>
    </row>
    <row r="5" spans="1:10" ht="18.75" x14ac:dyDescent="0.25">
      <c r="D5" s="1" t="s">
        <v>130</v>
      </c>
      <c r="E5" s="1"/>
      <c r="F5" s="5"/>
      <c r="G5" s="5"/>
    </row>
    <row r="6" spans="1:10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10" x14ac:dyDescent="0.25">
      <c r="A7" s="6">
        <v>1</v>
      </c>
      <c r="B7" s="10" t="s">
        <v>46</v>
      </c>
      <c r="C7" s="6"/>
      <c r="D7" s="6">
        <v>3000</v>
      </c>
      <c r="E7" s="6">
        <f>'SEPTEMBER 21'!H7:H22</f>
        <v>0</v>
      </c>
      <c r="F7" s="6">
        <f>C7+D7+E7</f>
        <v>3000</v>
      </c>
      <c r="G7" s="6">
        <f>3000</f>
        <v>3000</v>
      </c>
      <c r="H7" s="6">
        <f>F7-G7</f>
        <v>0</v>
      </c>
      <c r="I7" s="6"/>
    </row>
    <row r="8" spans="1:10" x14ac:dyDescent="0.25">
      <c r="A8" s="6">
        <v>2</v>
      </c>
      <c r="B8" s="6" t="s">
        <v>64</v>
      </c>
      <c r="C8" s="6"/>
      <c r="D8" s="6">
        <v>2300</v>
      </c>
      <c r="E8" s="6">
        <f>'SEPTEMBER 21'!H8:H23</f>
        <v>300</v>
      </c>
      <c r="F8" s="6">
        <f t="shared" ref="F8:F21" si="0">C8+D8+E8</f>
        <v>2600</v>
      </c>
      <c r="G8" s="6">
        <v>2300</v>
      </c>
      <c r="H8" s="6">
        <f t="shared" ref="H8:H22" si="1">F8-G8</f>
        <v>300</v>
      </c>
      <c r="I8" s="6"/>
    </row>
    <row r="9" spans="1:10" x14ac:dyDescent="0.25">
      <c r="A9" s="6">
        <v>3</v>
      </c>
      <c r="B9" s="6" t="s">
        <v>121</v>
      </c>
      <c r="C9" s="6"/>
      <c r="D9" s="6">
        <v>2500</v>
      </c>
      <c r="E9" s="6">
        <f>'SEPTEMBER 21'!H9:H24</f>
        <v>0</v>
      </c>
      <c r="F9" s="6">
        <f t="shared" si="0"/>
        <v>2500</v>
      </c>
      <c r="G9" s="6">
        <v>2500</v>
      </c>
      <c r="H9" s="6">
        <f t="shared" si="1"/>
        <v>0</v>
      </c>
      <c r="I9" s="6"/>
    </row>
    <row r="10" spans="1:10" x14ac:dyDescent="0.25">
      <c r="A10" s="6">
        <v>4</v>
      </c>
      <c r="B10" s="6" t="s">
        <v>99</v>
      </c>
      <c r="C10" s="6"/>
      <c r="D10" s="6">
        <v>2500</v>
      </c>
      <c r="E10" s="6">
        <f>'SEPTEMBER 21'!H10:H25</f>
        <v>0</v>
      </c>
      <c r="F10" s="6">
        <f t="shared" si="0"/>
        <v>2500</v>
      </c>
      <c r="G10" s="6">
        <v>2500</v>
      </c>
      <c r="H10" s="6">
        <f t="shared" si="1"/>
        <v>0</v>
      </c>
      <c r="I10" s="6"/>
    </row>
    <row r="11" spans="1:10" x14ac:dyDescent="0.25">
      <c r="A11" s="6">
        <v>5</v>
      </c>
      <c r="B11" s="10" t="s">
        <v>30</v>
      </c>
      <c r="C11" s="6"/>
      <c r="D11" s="6">
        <v>2500</v>
      </c>
      <c r="E11" s="6">
        <f>'SEPTEMBER 21'!H11:H26</f>
        <v>2500</v>
      </c>
      <c r="F11" s="6">
        <f>C11+D11+E11</f>
        <v>5000</v>
      </c>
      <c r="G11" s="6">
        <f>3000</f>
        <v>3000</v>
      </c>
      <c r="H11" s="6">
        <f t="shared" si="1"/>
        <v>2000</v>
      </c>
      <c r="I11" s="6"/>
      <c r="J11" t="s">
        <v>135</v>
      </c>
    </row>
    <row r="12" spans="1:10" x14ac:dyDescent="0.25">
      <c r="A12" s="6">
        <v>6</v>
      </c>
      <c r="B12" s="6" t="s">
        <v>26</v>
      </c>
      <c r="C12" s="6"/>
      <c r="D12" s="6">
        <v>2500</v>
      </c>
      <c r="E12" s="6">
        <f>'SEPTEMBER 21'!H12:H27</f>
        <v>0</v>
      </c>
      <c r="F12" s="6">
        <f t="shared" si="0"/>
        <v>2500</v>
      </c>
      <c r="G12" s="6">
        <f>2500</f>
        <v>2500</v>
      </c>
      <c r="H12" s="6">
        <f t="shared" si="1"/>
        <v>0</v>
      </c>
      <c r="I12" s="6"/>
    </row>
    <row r="13" spans="1:10" x14ac:dyDescent="0.25">
      <c r="A13" s="6">
        <v>7</v>
      </c>
      <c r="B13" s="10" t="s">
        <v>101</v>
      </c>
      <c r="C13" s="6"/>
      <c r="D13" s="6">
        <v>2300</v>
      </c>
      <c r="E13" s="6">
        <f>'SEPTEMBER 21'!H13:H28</f>
        <v>0</v>
      </c>
      <c r="F13" s="6">
        <f t="shared" si="0"/>
        <v>2300</v>
      </c>
      <c r="G13" s="8">
        <v>2300</v>
      </c>
      <c r="H13" s="6">
        <f t="shared" si="1"/>
        <v>0</v>
      </c>
      <c r="I13" s="6"/>
    </row>
    <row r="14" spans="1:10" x14ac:dyDescent="0.25">
      <c r="A14" s="6">
        <v>8</v>
      </c>
      <c r="B14" s="31" t="s">
        <v>117</v>
      </c>
      <c r="C14" s="6"/>
      <c r="D14" s="6">
        <v>4000</v>
      </c>
      <c r="E14" s="6">
        <f>'SEPTEMBER 21'!H14:H29</f>
        <v>0</v>
      </c>
      <c r="F14" s="6">
        <f t="shared" si="0"/>
        <v>4000</v>
      </c>
      <c r="G14" s="6">
        <v>4000</v>
      </c>
      <c r="H14" s="6">
        <f t="shared" si="1"/>
        <v>0</v>
      </c>
      <c r="I14" s="6"/>
    </row>
    <row r="15" spans="1:10" x14ac:dyDescent="0.25">
      <c r="A15" s="6">
        <v>9</v>
      </c>
      <c r="B15" s="10" t="s">
        <v>111</v>
      </c>
      <c r="C15" s="6"/>
      <c r="D15" s="6">
        <v>4000</v>
      </c>
      <c r="E15" s="6">
        <f>'SEPTEMBER 21'!H15:H30</f>
        <v>1000</v>
      </c>
      <c r="F15" s="6">
        <f t="shared" si="0"/>
        <v>5000</v>
      </c>
      <c r="G15" s="6">
        <f>4000</f>
        <v>4000</v>
      </c>
      <c r="H15" s="6">
        <f t="shared" si="1"/>
        <v>1000</v>
      </c>
      <c r="I15" s="6"/>
    </row>
    <row r="16" spans="1:10" x14ac:dyDescent="0.25">
      <c r="A16" s="6">
        <v>10</v>
      </c>
      <c r="B16" s="6" t="s">
        <v>29</v>
      </c>
      <c r="C16" s="6"/>
      <c r="D16" s="6">
        <v>4000</v>
      </c>
      <c r="E16" s="6">
        <f>'SEPTEMBER 21'!H16:H31</f>
        <v>0</v>
      </c>
      <c r="F16" s="6">
        <f t="shared" si="0"/>
        <v>4000</v>
      </c>
      <c r="G16" s="6">
        <v>4000</v>
      </c>
      <c r="H16" s="6">
        <f t="shared" si="1"/>
        <v>0</v>
      </c>
      <c r="I16" s="6"/>
    </row>
    <row r="17" spans="1:9" x14ac:dyDescent="0.25">
      <c r="A17" s="6">
        <v>11</v>
      </c>
      <c r="B17" s="6" t="s">
        <v>66</v>
      </c>
      <c r="C17" s="6"/>
      <c r="D17" s="6">
        <v>2500</v>
      </c>
      <c r="E17" s="6">
        <f>'SEPTEMBER 21'!H17:H32</f>
        <v>4000</v>
      </c>
      <c r="F17" s="6">
        <f t="shared" si="0"/>
        <v>6500</v>
      </c>
      <c r="G17" s="6">
        <f>2500+1500</f>
        <v>4000</v>
      </c>
      <c r="H17" s="6">
        <f t="shared" si="1"/>
        <v>2500</v>
      </c>
      <c r="I17" s="6"/>
    </row>
    <row r="18" spans="1:9" x14ac:dyDescent="0.25">
      <c r="A18" s="6">
        <v>12</v>
      </c>
      <c r="B18" s="6"/>
      <c r="C18" s="6"/>
      <c r="D18" s="6"/>
      <c r="E18" s="6">
        <f>'SEPTEMBER 21'!H18:H33</f>
        <v>0</v>
      </c>
      <c r="F18" s="6">
        <f t="shared" si="0"/>
        <v>0</v>
      </c>
      <c r="G18" s="6"/>
      <c r="H18" s="6">
        <f t="shared" si="1"/>
        <v>0</v>
      </c>
      <c r="I18" s="6"/>
    </row>
    <row r="19" spans="1:9" x14ac:dyDescent="0.25">
      <c r="A19" s="6">
        <v>13</v>
      </c>
      <c r="B19" s="8" t="s">
        <v>38</v>
      </c>
      <c r="C19" s="6"/>
      <c r="D19" s="6"/>
      <c r="E19" s="6">
        <f>'SEPTEMBER 21'!H19:H34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9" x14ac:dyDescent="0.25">
      <c r="A20" s="6">
        <v>14</v>
      </c>
      <c r="B20" s="6" t="s">
        <v>35</v>
      </c>
      <c r="C20" s="6"/>
      <c r="D20" s="6">
        <v>3000</v>
      </c>
      <c r="E20" s="6">
        <f>'SEPTEMBER 21'!H20:H35</f>
        <v>0</v>
      </c>
      <c r="F20" s="6">
        <f t="shared" si="0"/>
        <v>3000</v>
      </c>
      <c r="G20" s="6">
        <v>2200</v>
      </c>
      <c r="H20" s="6">
        <f t="shared" si="1"/>
        <v>800</v>
      </c>
      <c r="I20" s="6"/>
    </row>
    <row r="21" spans="1:9" x14ac:dyDescent="0.25">
      <c r="A21" s="6"/>
      <c r="B21" s="10"/>
      <c r="C21" s="6"/>
      <c r="D21" s="6"/>
      <c r="E21" s="6">
        <f>'SEPTEMBER 21'!H21:H36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9" x14ac:dyDescent="0.25">
      <c r="A22" s="6"/>
      <c r="B22" s="11" t="s">
        <v>10</v>
      </c>
      <c r="C22" s="11">
        <f t="shared" ref="C22:F22" si="2">SUM(C7:C21)</f>
        <v>0</v>
      </c>
      <c r="D22" s="7">
        <f t="shared" si="2"/>
        <v>35100</v>
      </c>
      <c r="E22" s="6">
        <f>'SEPTEMBER 21'!H22:H37</f>
        <v>7800</v>
      </c>
      <c r="F22" s="6">
        <f t="shared" si="2"/>
        <v>42900</v>
      </c>
      <c r="G22" s="7">
        <f>SUM(G7:G21)</f>
        <v>36300</v>
      </c>
      <c r="H22" s="6">
        <f t="shared" si="1"/>
        <v>6600</v>
      </c>
      <c r="I22" s="7">
        <f>SUM(I7:I21)</f>
        <v>0</v>
      </c>
    </row>
    <row r="23" spans="1:9" x14ac:dyDescent="0.25">
      <c r="A23" s="9">
        <v>15</v>
      </c>
      <c r="E23" s="6">
        <f>'MAY 21'!H23:H38</f>
        <v>0</v>
      </c>
      <c r="H23" s="9"/>
    </row>
    <row r="24" spans="1:9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9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9" x14ac:dyDescent="0.25">
      <c r="B26" s="10" t="s">
        <v>131</v>
      </c>
      <c r="C26">
        <f>D22</f>
        <v>35100</v>
      </c>
      <c r="D26" s="17"/>
      <c r="E26" s="16"/>
      <c r="F26" s="18" t="s">
        <v>131</v>
      </c>
      <c r="G26" s="16">
        <f>G22+H23</f>
        <v>36300</v>
      </c>
      <c r="H26" s="17"/>
      <c r="I26" s="10"/>
    </row>
    <row r="27" spans="1:9" x14ac:dyDescent="0.25">
      <c r="B27" s="10" t="s">
        <v>18</v>
      </c>
      <c r="C27" s="16">
        <f>'SEPTEMBER 21'!E37</f>
        <v>0</v>
      </c>
      <c r="D27" s="10"/>
      <c r="E27" s="10"/>
      <c r="F27" s="10" t="s">
        <v>18</v>
      </c>
      <c r="G27" s="16">
        <f>'SEPTEMBER 21'!I37</f>
        <v>-7900</v>
      </c>
      <c r="H27" s="10"/>
      <c r="I27" s="10"/>
    </row>
    <row r="28" spans="1:9" x14ac:dyDescent="0.25">
      <c r="B28" s="10" t="s">
        <v>3</v>
      </c>
      <c r="C28" s="10">
        <f>C22</f>
        <v>0</v>
      </c>
      <c r="D28" s="10"/>
      <c r="E28" s="10"/>
      <c r="F28" s="10"/>
      <c r="G28" s="16"/>
      <c r="H28" s="16"/>
      <c r="I28" s="10"/>
    </row>
    <row r="29" spans="1:9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</row>
    <row r="30" spans="1:9" x14ac:dyDescent="0.25">
      <c r="B30" s="10" t="s">
        <v>20</v>
      </c>
      <c r="C30" s="17">
        <v>0.1</v>
      </c>
      <c r="D30" s="10">
        <f>C30*C26</f>
        <v>3510</v>
      </c>
      <c r="E30" s="10"/>
      <c r="F30" s="10" t="s">
        <v>20</v>
      </c>
      <c r="G30" s="17">
        <v>0.1</v>
      </c>
      <c r="H30" s="10">
        <f>C30*C26</f>
        <v>3510</v>
      </c>
      <c r="I30" s="10"/>
    </row>
    <row r="31" spans="1:9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</row>
    <row r="32" spans="1:9" x14ac:dyDescent="0.25">
      <c r="B32" s="20" t="s">
        <v>133</v>
      </c>
      <c r="C32" s="17"/>
      <c r="D32" s="10">
        <v>20000</v>
      </c>
      <c r="E32" s="10"/>
      <c r="F32" s="20" t="s">
        <v>133</v>
      </c>
      <c r="G32" s="17"/>
      <c r="H32" s="10">
        <v>20000</v>
      </c>
      <c r="I32" s="10"/>
    </row>
    <row r="33" spans="2:10" x14ac:dyDescent="0.25">
      <c r="B33" s="6" t="s">
        <v>134</v>
      </c>
      <c r="C33" s="6"/>
      <c r="D33" s="6">
        <v>9000</v>
      </c>
      <c r="E33" s="6"/>
      <c r="F33" s="6" t="s">
        <v>134</v>
      </c>
      <c r="G33" s="6"/>
      <c r="H33" s="6">
        <v>9000</v>
      </c>
      <c r="I33" s="10"/>
      <c r="J33" s="26"/>
    </row>
    <row r="34" spans="2:10" x14ac:dyDescent="0.25">
      <c r="B34" s="20" t="s">
        <v>136</v>
      </c>
      <c r="C34" s="10"/>
      <c r="D34" s="10">
        <v>2000</v>
      </c>
      <c r="E34" s="10"/>
      <c r="F34" s="20"/>
      <c r="G34" s="10"/>
      <c r="H34" s="10"/>
      <c r="I34" s="10"/>
    </row>
    <row r="35" spans="2:10" x14ac:dyDescent="0.25">
      <c r="B35" s="20"/>
      <c r="C35" s="10"/>
      <c r="D35" s="10"/>
      <c r="E35" s="10"/>
      <c r="F35" s="20"/>
      <c r="G35" s="10"/>
      <c r="H35" s="10"/>
      <c r="I35" s="10"/>
    </row>
    <row r="36" spans="2:10" x14ac:dyDescent="0.25">
      <c r="B36" s="20"/>
      <c r="C36" s="16"/>
      <c r="D36" s="16"/>
      <c r="E36" s="16"/>
      <c r="F36" s="20"/>
      <c r="G36" s="16"/>
      <c r="H36" s="16"/>
      <c r="I36" s="10"/>
      <c r="J36" s="26"/>
    </row>
    <row r="37" spans="2:10" x14ac:dyDescent="0.25">
      <c r="B37" s="22" t="s">
        <v>10</v>
      </c>
      <c r="C37" s="26">
        <f>C26+C27+C28-D30</f>
        <v>31590</v>
      </c>
      <c r="D37" s="22">
        <f>SUM(D32:D36)</f>
        <v>31000</v>
      </c>
      <c r="E37" s="23">
        <f>C37-D37</f>
        <v>590</v>
      </c>
      <c r="F37" s="24"/>
      <c r="G37" s="23">
        <f>G26+G27-H30</f>
        <v>24890</v>
      </c>
      <c r="H37" s="23">
        <f>SUM(H32:H36)</f>
        <v>29000</v>
      </c>
      <c r="I37" s="23">
        <f>G37-H37</f>
        <v>-4110</v>
      </c>
      <c r="J37" s="2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topLeftCell="A4" workbookViewId="0">
      <selection activeCell="N40" sqref="N40"/>
    </sheetView>
  </sheetViews>
  <sheetFormatPr defaultRowHeight="15" x14ac:dyDescent="0.25"/>
  <cols>
    <col min="2" max="2" width="21.85546875" customWidth="1"/>
    <col min="6" max="6" width="13.42578125" customWidth="1"/>
  </cols>
  <sheetData>
    <row r="3" spans="1:9" ht="18.75" x14ac:dyDescent="0.25">
      <c r="D3" s="1" t="s">
        <v>22</v>
      </c>
      <c r="E3" s="2"/>
      <c r="F3" s="3"/>
      <c r="G3" s="4"/>
    </row>
    <row r="4" spans="1:9" ht="18.75" x14ac:dyDescent="0.25">
      <c r="D4" s="1" t="s">
        <v>0</v>
      </c>
      <c r="E4" s="1"/>
      <c r="F4" s="5"/>
      <c r="G4" s="5"/>
    </row>
    <row r="5" spans="1:9" ht="18.75" x14ac:dyDescent="0.25">
      <c r="D5" s="1" t="s">
        <v>137</v>
      </c>
      <c r="E5" s="1"/>
      <c r="F5" s="5"/>
      <c r="G5" s="5"/>
    </row>
    <row r="6" spans="1:9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9" x14ac:dyDescent="0.25">
      <c r="A7" s="6">
        <v>1</v>
      </c>
      <c r="B7" s="10" t="s">
        <v>46</v>
      </c>
      <c r="C7" s="6"/>
      <c r="D7" s="6">
        <v>3000</v>
      </c>
      <c r="E7" s="6">
        <f>'OCTOBER 21'!H7</f>
        <v>0</v>
      </c>
      <c r="F7" s="6">
        <f>C7+D7+E7</f>
        <v>3000</v>
      </c>
      <c r="G7" s="6">
        <v>3000</v>
      </c>
      <c r="H7" s="6">
        <f>F7-G7</f>
        <v>0</v>
      </c>
      <c r="I7" s="6"/>
    </row>
    <row r="8" spans="1:9" x14ac:dyDescent="0.25">
      <c r="A8" s="6">
        <v>2</v>
      </c>
      <c r="B8" s="8" t="s">
        <v>38</v>
      </c>
      <c r="C8" s="6"/>
      <c r="D8" s="6"/>
      <c r="E8" s="6"/>
      <c r="F8" s="6">
        <f t="shared" ref="F8:F21" si="0">C8+D8+E8</f>
        <v>0</v>
      </c>
      <c r="G8" s="6"/>
      <c r="H8" s="6">
        <f>F8-G8</f>
        <v>0</v>
      </c>
      <c r="I8" s="6"/>
    </row>
    <row r="9" spans="1:9" x14ac:dyDescent="0.25">
      <c r="A9" s="6">
        <v>3</v>
      </c>
      <c r="B9" s="6" t="s">
        <v>121</v>
      </c>
      <c r="C9" s="6"/>
      <c r="D9" s="6">
        <v>2500</v>
      </c>
      <c r="E9" s="6">
        <f>'OCTOBER 21'!H9</f>
        <v>0</v>
      </c>
      <c r="F9" s="6">
        <f t="shared" si="0"/>
        <v>2500</v>
      </c>
      <c r="G9" s="6">
        <v>2500</v>
      </c>
      <c r="H9" s="6">
        <f t="shared" ref="H9:H21" si="1">F9-G9</f>
        <v>0</v>
      </c>
      <c r="I9" s="6"/>
    </row>
    <row r="10" spans="1:9" x14ac:dyDescent="0.25">
      <c r="A10" s="6">
        <v>4</v>
      </c>
      <c r="B10" s="6" t="s">
        <v>99</v>
      </c>
      <c r="C10" s="6"/>
      <c r="D10" s="6">
        <v>2500</v>
      </c>
      <c r="E10" s="6">
        <f>'OCTOBER 21'!H10</f>
        <v>0</v>
      </c>
      <c r="F10" s="6">
        <f t="shared" si="0"/>
        <v>2500</v>
      </c>
      <c r="G10" s="6">
        <v>2500</v>
      </c>
      <c r="H10" s="6">
        <f t="shared" si="1"/>
        <v>0</v>
      </c>
      <c r="I10" s="6"/>
    </row>
    <row r="11" spans="1:9" x14ac:dyDescent="0.25">
      <c r="A11" s="6">
        <v>5</v>
      </c>
      <c r="B11" s="10" t="s">
        <v>64</v>
      </c>
      <c r="C11" s="6"/>
      <c r="D11" s="6">
        <v>2500</v>
      </c>
      <c r="E11" s="6">
        <v>300</v>
      </c>
      <c r="F11" s="6">
        <f>C11+D11+E11</f>
        <v>2800</v>
      </c>
      <c r="G11" s="6">
        <v>2500</v>
      </c>
      <c r="H11" s="6">
        <f t="shared" si="1"/>
        <v>300</v>
      </c>
      <c r="I11" s="6"/>
    </row>
    <row r="12" spans="1:9" x14ac:dyDescent="0.25">
      <c r="A12" s="6">
        <v>6</v>
      </c>
      <c r="B12" s="6" t="s">
        <v>26</v>
      </c>
      <c r="C12" s="6"/>
      <c r="D12" s="6">
        <v>2500</v>
      </c>
      <c r="E12" s="6">
        <f>'OCTOBER 21'!H12</f>
        <v>0</v>
      </c>
      <c r="F12" s="6">
        <f t="shared" si="0"/>
        <v>2500</v>
      </c>
      <c r="G12" s="6">
        <v>2500</v>
      </c>
      <c r="H12" s="6">
        <f>F12-G12</f>
        <v>0</v>
      </c>
      <c r="I12" s="6"/>
    </row>
    <row r="13" spans="1:9" x14ac:dyDescent="0.25">
      <c r="A13" s="6">
        <v>7</v>
      </c>
      <c r="B13" s="8" t="s">
        <v>38</v>
      </c>
      <c r="C13" s="6"/>
      <c r="D13" s="6"/>
      <c r="E13" s="6">
        <f>'OCTOBER 21'!H13</f>
        <v>0</v>
      </c>
      <c r="F13" s="6">
        <f t="shared" si="0"/>
        <v>0</v>
      </c>
      <c r="G13" s="6"/>
      <c r="H13" s="6">
        <f>F13-G13</f>
        <v>0</v>
      </c>
      <c r="I13" s="6"/>
    </row>
    <row r="14" spans="1:9" x14ac:dyDescent="0.25">
      <c r="A14" s="6">
        <v>8</v>
      </c>
      <c r="B14" s="32" t="s">
        <v>117</v>
      </c>
      <c r="C14" s="6"/>
      <c r="D14" s="6">
        <v>4000</v>
      </c>
      <c r="E14" s="6">
        <f>'OCTOBER 21'!H14</f>
        <v>0</v>
      </c>
      <c r="F14" s="6">
        <f t="shared" si="0"/>
        <v>4000</v>
      </c>
      <c r="G14" s="6">
        <v>4000</v>
      </c>
      <c r="H14" s="6">
        <f>F14-G14</f>
        <v>0</v>
      </c>
      <c r="I14" s="6"/>
    </row>
    <row r="15" spans="1:9" x14ac:dyDescent="0.25">
      <c r="A15" s="6">
        <v>9</v>
      </c>
      <c r="B15" s="10" t="s">
        <v>111</v>
      </c>
      <c r="C15" s="6"/>
      <c r="D15" s="6">
        <v>4000</v>
      </c>
      <c r="E15" s="6">
        <f>'OCTOBER 21'!H15</f>
        <v>1000</v>
      </c>
      <c r="F15" s="6">
        <f t="shared" si="0"/>
        <v>5000</v>
      </c>
      <c r="G15" s="6">
        <f>1000+3000</f>
        <v>4000</v>
      </c>
      <c r="H15" s="6">
        <f t="shared" si="1"/>
        <v>1000</v>
      </c>
      <c r="I15" s="6"/>
    </row>
    <row r="16" spans="1:9" x14ac:dyDescent="0.25">
      <c r="A16" s="6">
        <v>10</v>
      </c>
      <c r="B16" s="6" t="s">
        <v>29</v>
      </c>
      <c r="C16" s="6"/>
      <c r="D16" s="6">
        <v>4000</v>
      </c>
      <c r="E16" s="6">
        <f>'OCTOBER 21'!H16</f>
        <v>0</v>
      </c>
      <c r="F16" s="6">
        <f t="shared" si="0"/>
        <v>4000</v>
      </c>
      <c r="G16" s="6">
        <v>4000</v>
      </c>
      <c r="H16" s="6">
        <f t="shared" si="1"/>
        <v>0</v>
      </c>
      <c r="I16" s="6"/>
    </row>
    <row r="17" spans="1:9" x14ac:dyDescent="0.25">
      <c r="A17" s="6">
        <v>11</v>
      </c>
      <c r="B17" s="6" t="s">
        <v>66</v>
      </c>
      <c r="C17" s="6"/>
      <c r="D17" s="6">
        <v>2500</v>
      </c>
      <c r="E17" s="6">
        <f>'OCTOBER 21'!H17</f>
        <v>2500</v>
      </c>
      <c r="F17" s="6">
        <f t="shared" si="0"/>
        <v>5000</v>
      </c>
      <c r="G17" s="6">
        <f>2500</f>
        <v>2500</v>
      </c>
      <c r="H17" s="6">
        <f t="shared" si="1"/>
        <v>2500</v>
      </c>
      <c r="I17" s="6"/>
    </row>
    <row r="18" spans="1:9" x14ac:dyDescent="0.25">
      <c r="A18" s="6">
        <v>12</v>
      </c>
      <c r="B18" s="10" t="s">
        <v>140</v>
      </c>
      <c r="C18" s="6">
        <v>4000</v>
      </c>
      <c r="D18" s="6">
        <v>2000</v>
      </c>
      <c r="E18" s="6">
        <f>'OCTOBER 21'!H18</f>
        <v>0</v>
      </c>
      <c r="F18" s="6">
        <f t="shared" si="0"/>
        <v>6000</v>
      </c>
      <c r="G18" s="6">
        <v>4000</v>
      </c>
      <c r="H18" s="6">
        <f t="shared" si="1"/>
        <v>2000</v>
      </c>
      <c r="I18" s="6"/>
    </row>
    <row r="19" spans="1:9" x14ac:dyDescent="0.25">
      <c r="A19" s="6">
        <v>13</v>
      </c>
      <c r="B19" s="8" t="s">
        <v>38</v>
      </c>
      <c r="C19" s="6"/>
      <c r="D19" s="6"/>
      <c r="E19" s="6">
        <f>'OCTOBER 21'!H19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9" x14ac:dyDescent="0.25">
      <c r="A20" s="6">
        <v>14</v>
      </c>
      <c r="B20" s="6" t="s">
        <v>35</v>
      </c>
      <c r="C20" s="6"/>
      <c r="D20" s="6">
        <v>3000</v>
      </c>
      <c r="E20" s="6">
        <f>'OCTOBER 21'!H20</f>
        <v>800</v>
      </c>
      <c r="F20" s="6">
        <f t="shared" si="0"/>
        <v>3800</v>
      </c>
      <c r="G20" s="6">
        <v>1500</v>
      </c>
      <c r="H20" s="6">
        <f>F20-G20</f>
        <v>2300</v>
      </c>
      <c r="I20" s="6"/>
    </row>
    <row r="21" spans="1:9" x14ac:dyDescent="0.25">
      <c r="A21" s="6"/>
      <c r="B21" s="10"/>
      <c r="C21" s="6"/>
      <c r="D21" s="6"/>
      <c r="E21" s="6">
        <f>'OCTOBER 21'!H21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9" x14ac:dyDescent="0.25">
      <c r="A22" s="6"/>
      <c r="B22" s="11" t="s">
        <v>10</v>
      </c>
      <c r="C22" s="11">
        <f t="shared" ref="C22:H22" si="2">SUM(C7:C21)</f>
        <v>4000</v>
      </c>
      <c r="D22" s="7">
        <f t="shared" si="2"/>
        <v>32500</v>
      </c>
      <c r="E22" s="6">
        <f>'OCTOBER 21'!H22</f>
        <v>6600</v>
      </c>
      <c r="F22" s="6">
        <f t="shared" si="2"/>
        <v>41100</v>
      </c>
      <c r="G22" s="7">
        <f>SUM(G7:G21)</f>
        <v>33000</v>
      </c>
      <c r="H22" s="7">
        <f t="shared" si="2"/>
        <v>8100</v>
      </c>
      <c r="I22" s="7">
        <f>SUM(I7:I21)</f>
        <v>0</v>
      </c>
    </row>
    <row r="23" spans="1:9" x14ac:dyDescent="0.25">
      <c r="A23" s="9">
        <v>15</v>
      </c>
      <c r="E23" s="6">
        <f>'MAY 21'!H23:H38</f>
        <v>0</v>
      </c>
      <c r="H23" s="9"/>
    </row>
    <row r="24" spans="1:9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9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9" x14ac:dyDescent="0.25">
      <c r="B26" s="10" t="s">
        <v>49</v>
      </c>
      <c r="C26">
        <f>D22</f>
        <v>32500</v>
      </c>
      <c r="D26" s="17"/>
      <c r="E26" s="16"/>
      <c r="F26" s="18" t="s">
        <v>49</v>
      </c>
      <c r="G26" s="16">
        <f>G22+H23</f>
        <v>33000</v>
      </c>
      <c r="H26" s="17"/>
      <c r="I26" s="10"/>
    </row>
    <row r="27" spans="1:9" x14ac:dyDescent="0.25">
      <c r="B27" s="10" t="s">
        <v>18</v>
      </c>
      <c r="C27" s="16">
        <f>'OCTOBER 21'!E37</f>
        <v>590</v>
      </c>
      <c r="D27" s="10"/>
      <c r="E27" s="10"/>
      <c r="F27" s="10" t="s">
        <v>18</v>
      </c>
      <c r="G27" s="16">
        <f>'OCTOBER 21'!I37</f>
        <v>-4110</v>
      </c>
      <c r="H27" s="10"/>
      <c r="I27" s="10"/>
    </row>
    <row r="28" spans="1:9" x14ac:dyDescent="0.25">
      <c r="B28" s="10" t="s">
        <v>3</v>
      </c>
      <c r="C28" s="10">
        <f>C22</f>
        <v>4000</v>
      </c>
      <c r="D28" s="10"/>
      <c r="E28" s="10"/>
      <c r="F28" s="10"/>
      <c r="G28" s="16"/>
      <c r="H28" s="16"/>
      <c r="I28" s="10"/>
    </row>
    <row r="29" spans="1:9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</row>
    <row r="30" spans="1:9" x14ac:dyDescent="0.25">
      <c r="B30" s="10" t="s">
        <v>20</v>
      </c>
      <c r="C30" s="17">
        <v>0.1</v>
      </c>
      <c r="D30" s="10">
        <f>C30*C26</f>
        <v>3250</v>
      </c>
      <c r="E30" s="10"/>
      <c r="F30" s="10" t="s">
        <v>20</v>
      </c>
      <c r="G30" s="17">
        <v>0.1</v>
      </c>
      <c r="H30" s="10">
        <f>C30*C26</f>
        <v>3250</v>
      </c>
      <c r="I30" s="10"/>
    </row>
    <row r="31" spans="1:9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</row>
    <row r="32" spans="1:9" x14ac:dyDescent="0.25">
      <c r="B32" s="20" t="s">
        <v>138</v>
      </c>
      <c r="C32" s="17"/>
      <c r="D32" s="10">
        <v>12000</v>
      </c>
      <c r="E32" s="10"/>
      <c r="F32" s="20" t="s">
        <v>138</v>
      </c>
      <c r="G32" s="17"/>
      <c r="H32" s="10">
        <v>12000</v>
      </c>
      <c r="I32" s="10"/>
    </row>
    <row r="33" spans="2:10" x14ac:dyDescent="0.25">
      <c r="B33" s="6" t="s">
        <v>139</v>
      </c>
      <c r="C33" s="6"/>
      <c r="D33" s="6">
        <v>13097</v>
      </c>
      <c r="E33" s="6"/>
      <c r="F33" s="6" t="s">
        <v>139</v>
      </c>
      <c r="G33" s="6"/>
      <c r="H33" s="6">
        <v>13097</v>
      </c>
      <c r="I33" s="10"/>
      <c r="J33" s="26"/>
    </row>
    <row r="34" spans="2:10" x14ac:dyDescent="0.25">
      <c r="B34" s="20"/>
      <c r="C34" s="10"/>
      <c r="D34" s="10"/>
      <c r="E34" s="10"/>
      <c r="F34" s="20"/>
      <c r="G34" s="10"/>
      <c r="H34" s="10"/>
      <c r="I34" s="10"/>
    </row>
    <row r="35" spans="2:10" x14ac:dyDescent="0.25">
      <c r="B35" s="20"/>
      <c r="C35" s="10"/>
      <c r="D35" s="10"/>
      <c r="E35" s="10"/>
      <c r="F35" s="20"/>
      <c r="G35" s="10"/>
      <c r="H35" s="10"/>
      <c r="I35" s="10"/>
    </row>
    <row r="36" spans="2:10" x14ac:dyDescent="0.25">
      <c r="B36" s="20"/>
      <c r="C36" s="16"/>
      <c r="D36" s="16"/>
      <c r="E36" s="16"/>
      <c r="F36" s="20"/>
      <c r="G36" s="16"/>
      <c r="H36" s="16"/>
      <c r="I36" s="10"/>
      <c r="J36" s="26"/>
    </row>
    <row r="37" spans="2:10" x14ac:dyDescent="0.25">
      <c r="B37" s="22" t="s">
        <v>10</v>
      </c>
      <c r="C37" s="26">
        <f>C26+C27+C28-D30</f>
        <v>33840</v>
      </c>
      <c r="D37" s="22">
        <f>SUM(D32:D36)</f>
        <v>25097</v>
      </c>
      <c r="E37" s="23">
        <f>C37-D37</f>
        <v>8743</v>
      </c>
      <c r="F37" s="24"/>
      <c r="G37" s="23">
        <f>G26+G27-H30</f>
        <v>25640</v>
      </c>
      <c r="H37" s="23">
        <f>SUM(H32:H36)</f>
        <v>25097</v>
      </c>
      <c r="I37" s="23">
        <f>G37-H37</f>
        <v>543</v>
      </c>
      <c r="J37" s="26"/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tabSelected="1" topLeftCell="A13" zoomScaleNormal="100" workbookViewId="0">
      <selection activeCell="F34" sqref="F34:H34"/>
    </sheetView>
  </sheetViews>
  <sheetFormatPr defaultRowHeight="15" x14ac:dyDescent="0.25"/>
  <cols>
    <col min="2" max="2" width="20.7109375" customWidth="1"/>
    <col min="6" max="6" width="13.5703125" customWidth="1"/>
    <col min="8" max="8" width="9.140625" customWidth="1"/>
  </cols>
  <sheetData>
    <row r="3" spans="1:9" ht="18.75" x14ac:dyDescent="0.25">
      <c r="D3" s="1" t="s">
        <v>22</v>
      </c>
      <c r="E3" s="2"/>
      <c r="F3" s="3"/>
      <c r="G3" s="4"/>
    </row>
    <row r="4" spans="1:9" ht="18.75" x14ac:dyDescent="0.25">
      <c r="D4" s="1" t="s">
        <v>0</v>
      </c>
      <c r="E4" s="1"/>
      <c r="F4" s="5"/>
      <c r="G4" s="5"/>
    </row>
    <row r="5" spans="1:9" ht="18.75" x14ac:dyDescent="0.25">
      <c r="D5" s="1" t="s">
        <v>141</v>
      </c>
      <c r="E5" s="1"/>
      <c r="F5" s="5"/>
      <c r="G5" s="5"/>
    </row>
    <row r="6" spans="1:9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9" x14ac:dyDescent="0.25">
      <c r="A7" s="6">
        <v>1</v>
      </c>
      <c r="B7" s="10" t="s">
        <v>46</v>
      </c>
      <c r="C7" s="6"/>
      <c r="D7" s="6">
        <v>3000</v>
      </c>
      <c r="E7" s="6">
        <f>'NOVEMBER 21'!H7</f>
        <v>0</v>
      </c>
      <c r="F7" s="6">
        <f>C7+D7+E7</f>
        <v>3000</v>
      </c>
      <c r="G7" s="6">
        <v>3000</v>
      </c>
      <c r="H7" s="6">
        <f>F7-G7</f>
        <v>0</v>
      </c>
      <c r="I7" s="6"/>
    </row>
    <row r="8" spans="1:9" x14ac:dyDescent="0.25">
      <c r="A8" s="6">
        <v>2</v>
      </c>
      <c r="B8" s="6" t="s">
        <v>142</v>
      </c>
      <c r="C8" s="6">
        <v>2300</v>
      </c>
      <c r="D8" s="6">
        <v>2300</v>
      </c>
      <c r="E8" s="6">
        <f>'NOVEMBER 21'!H8</f>
        <v>0</v>
      </c>
      <c r="F8" s="6">
        <f t="shared" ref="F8:F21" si="0">C8+D8+E8</f>
        <v>4600</v>
      </c>
      <c r="G8" s="6">
        <v>2300</v>
      </c>
      <c r="H8" s="6">
        <f>F8-G8</f>
        <v>2300</v>
      </c>
      <c r="I8" s="6"/>
    </row>
    <row r="9" spans="1:9" x14ac:dyDescent="0.25">
      <c r="A9" s="6">
        <v>3</v>
      </c>
      <c r="B9" s="6" t="s">
        <v>121</v>
      </c>
      <c r="C9" s="6"/>
      <c r="D9" s="6">
        <v>2500</v>
      </c>
      <c r="E9" s="6">
        <f>'NOVEMBER 21'!H9</f>
        <v>0</v>
      </c>
      <c r="F9" s="6">
        <f t="shared" si="0"/>
        <v>2500</v>
      </c>
      <c r="G9" s="6">
        <v>2500</v>
      </c>
      <c r="H9" s="6">
        <f t="shared" ref="H9:H21" si="1">F9-G9</f>
        <v>0</v>
      </c>
      <c r="I9" s="6"/>
    </row>
    <row r="10" spans="1:9" x14ac:dyDescent="0.25">
      <c r="A10" s="6">
        <v>4</v>
      </c>
      <c r="B10" s="6" t="s">
        <v>99</v>
      </c>
      <c r="C10" s="6"/>
      <c r="D10" s="6">
        <v>2500</v>
      </c>
      <c r="E10" s="6">
        <f>'NOVEMBER 21'!H10</f>
        <v>0</v>
      </c>
      <c r="F10" s="6">
        <f t="shared" si="0"/>
        <v>2500</v>
      </c>
      <c r="G10" s="6">
        <v>2500</v>
      </c>
      <c r="H10" s="6">
        <f t="shared" si="1"/>
        <v>0</v>
      </c>
      <c r="I10" s="6"/>
    </row>
    <row r="11" spans="1:9" x14ac:dyDescent="0.25">
      <c r="A11" s="6">
        <v>5</v>
      </c>
      <c r="B11" s="10" t="s">
        <v>64</v>
      </c>
      <c r="C11" s="6"/>
      <c r="D11" s="6">
        <v>2500</v>
      </c>
      <c r="E11" s="6">
        <f>'NOVEMBER 21'!H11</f>
        <v>300</v>
      </c>
      <c r="F11" s="6">
        <f>C11+D11+E11</f>
        <v>2800</v>
      </c>
      <c r="G11" s="6">
        <v>2500</v>
      </c>
      <c r="H11" s="6">
        <f t="shared" si="1"/>
        <v>300</v>
      </c>
      <c r="I11" s="6"/>
    </row>
    <row r="12" spans="1:9" x14ac:dyDescent="0.25">
      <c r="A12" s="6">
        <v>6</v>
      </c>
      <c r="B12" s="6" t="s">
        <v>26</v>
      </c>
      <c r="C12" s="6"/>
      <c r="D12" s="6">
        <v>2500</v>
      </c>
      <c r="E12" s="6">
        <f>'NOVEMBER 21'!H12</f>
        <v>0</v>
      </c>
      <c r="F12" s="6">
        <f t="shared" si="0"/>
        <v>2500</v>
      </c>
      <c r="G12" s="6">
        <v>2300</v>
      </c>
      <c r="H12" s="6">
        <f>F12-G12</f>
        <v>200</v>
      </c>
      <c r="I12" s="6"/>
    </row>
    <row r="13" spans="1:9" x14ac:dyDescent="0.25">
      <c r="A13" s="6">
        <v>7</v>
      </c>
      <c r="B13" s="8" t="s">
        <v>143</v>
      </c>
      <c r="C13" s="6">
        <v>2300</v>
      </c>
      <c r="D13" s="6">
        <v>2300</v>
      </c>
      <c r="E13" s="6">
        <f>'NOVEMBER 21'!H13</f>
        <v>0</v>
      </c>
      <c r="F13" s="6">
        <f t="shared" si="0"/>
        <v>4600</v>
      </c>
      <c r="G13" s="6">
        <v>4600</v>
      </c>
      <c r="H13" s="6">
        <f>F13-G13</f>
        <v>0</v>
      </c>
      <c r="I13" s="6"/>
    </row>
    <row r="14" spans="1:9" x14ac:dyDescent="0.25">
      <c r="A14" s="6">
        <v>8</v>
      </c>
      <c r="B14" s="32" t="s">
        <v>117</v>
      </c>
      <c r="C14" s="6"/>
      <c r="D14" s="6"/>
      <c r="E14" s="6">
        <f>'NOVEMBER 21'!H14</f>
        <v>0</v>
      </c>
      <c r="F14" s="6">
        <f t="shared" si="0"/>
        <v>0</v>
      </c>
      <c r="G14" s="6"/>
      <c r="H14" s="6">
        <f>F14-G14</f>
        <v>0</v>
      </c>
      <c r="I14" s="6"/>
    </row>
    <row r="15" spans="1:9" x14ac:dyDescent="0.25">
      <c r="A15" s="6">
        <v>9</v>
      </c>
      <c r="B15" s="10" t="s">
        <v>111</v>
      </c>
      <c r="C15" s="6"/>
      <c r="D15" s="6">
        <v>4000</v>
      </c>
      <c r="E15" s="6">
        <f>'NOVEMBER 21'!H15</f>
        <v>1000</v>
      </c>
      <c r="F15" s="6">
        <f t="shared" si="0"/>
        <v>5000</v>
      </c>
      <c r="G15" s="6">
        <v>4000</v>
      </c>
      <c r="H15" s="6">
        <f t="shared" si="1"/>
        <v>1000</v>
      </c>
      <c r="I15" s="6"/>
    </row>
    <row r="16" spans="1:9" x14ac:dyDescent="0.25">
      <c r="A16" s="6">
        <v>10</v>
      </c>
      <c r="B16" s="6" t="s">
        <v>29</v>
      </c>
      <c r="C16" s="6"/>
      <c r="D16" s="6">
        <v>4000</v>
      </c>
      <c r="E16" s="6">
        <f>'NOVEMBER 21'!H16</f>
        <v>0</v>
      </c>
      <c r="F16" s="6">
        <f t="shared" si="0"/>
        <v>4000</v>
      </c>
      <c r="G16" s="6">
        <v>4000</v>
      </c>
      <c r="H16" s="6">
        <f t="shared" si="1"/>
        <v>0</v>
      </c>
      <c r="I16" s="6"/>
    </row>
    <row r="17" spans="1:9" x14ac:dyDescent="0.25">
      <c r="A17" s="6">
        <v>11</v>
      </c>
      <c r="B17" s="6" t="s">
        <v>66</v>
      </c>
      <c r="C17" s="6"/>
      <c r="D17" s="6">
        <v>2500</v>
      </c>
      <c r="E17" s="6">
        <f>'NOVEMBER 21'!H17</f>
        <v>2500</v>
      </c>
      <c r="F17" s="6">
        <f t="shared" si="0"/>
        <v>5000</v>
      </c>
      <c r="G17" s="6"/>
      <c r="H17" s="6">
        <f t="shared" si="1"/>
        <v>5000</v>
      </c>
      <c r="I17" s="6"/>
    </row>
    <row r="18" spans="1:9" x14ac:dyDescent="0.25">
      <c r="A18" s="6">
        <v>12</v>
      </c>
      <c r="B18" s="8" t="s">
        <v>140</v>
      </c>
      <c r="C18" s="6"/>
      <c r="D18" s="6">
        <v>4000</v>
      </c>
      <c r="E18" s="6">
        <f>'NOVEMBER 21'!H18</f>
        <v>2000</v>
      </c>
      <c r="F18" s="6">
        <f t="shared" si="0"/>
        <v>6000</v>
      </c>
      <c r="G18" s="6">
        <v>4050</v>
      </c>
      <c r="H18" s="6">
        <f t="shared" si="1"/>
        <v>1950</v>
      </c>
      <c r="I18" s="6"/>
    </row>
    <row r="19" spans="1:9" x14ac:dyDescent="0.25">
      <c r="A19" s="6">
        <v>13</v>
      </c>
      <c r="B19" s="8" t="s">
        <v>38</v>
      </c>
      <c r="C19" s="6"/>
      <c r="D19" s="6"/>
      <c r="E19" s="6">
        <f>'NOVEMBER 21'!H19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9" x14ac:dyDescent="0.25">
      <c r="A20" s="6">
        <v>14</v>
      </c>
      <c r="B20" s="6" t="s">
        <v>35</v>
      </c>
      <c r="C20" s="6"/>
      <c r="D20" s="6">
        <v>3000</v>
      </c>
      <c r="E20" s="6">
        <f>'NOVEMBER 21'!H20</f>
        <v>2300</v>
      </c>
      <c r="F20" s="6">
        <f t="shared" si="0"/>
        <v>5300</v>
      </c>
      <c r="G20" s="6"/>
      <c r="H20" s="6">
        <f>F20-G20</f>
        <v>5300</v>
      </c>
      <c r="I20" s="6"/>
    </row>
    <row r="21" spans="1:9" x14ac:dyDescent="0.25">
      <c r="A21" s="6"/>
      <c r="B21" s="10"/>
      <c r="C21" s="6"/>
      <c r="D21" s="6"/>
      <c r="E21" s="6">
        <f>'NOVEMBER 21'!H21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9" x14ac:dyDescent="0.25">
      <c r="A22" s="6"/>
      <c r="B22" s="11" t="s">
        <v>10</v>
      </c>
      <c r="C22" s="11">
        <f t="shared" ref="C22:H22" si="2">SUM(C7:C21)</f>
        <v>4600</v>
      </c>
      <c r="D22" s="7">
        <f>SUM(D7:D21)</f>
        <v>35100</v>
      </c>
      <c r="E22" s="6">
        <f>SUM(E7:E21)</f>
        <v>8100</v>
      </c>
      <c r="F22" s="6">
        <f t="shared" si="2"/>
        <v>47800</v>
      </c>
      <c r="G22" s="7">
        <f>SUM(G7:G21)</f>
        <v>31750</v>
      </c>
      <c r="H22" s="7">
        <f t="shared" si="2"/>
        <v>16050</v>
      </c>
      <c r="I22" s="7">
        <f>SUM(I7:I21)</f>
        <v>0</v>
      </c>
    </row>
    <row r="23" spans="1:9" x14ac:dyDescent="0.25">
      <c r="A23" s="9">
        <v>15</v>
      </c>
      <c r="E23" s="6">
        <f>'MAY 21'!H23:H38</f>
        <v>0</v>
      </c>
      <c r="H23" s="9"/>
    </row>
    <row r="24" spans="1:9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9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9" x14ac:dyDescent="0.25">
      <c r="B26" s="10" t="s">
        <v>60</v>
      </c>
      <c r="C26">
        <f>D22</f>
        <v>35100</v>
      </c>
      <c r="D26" s="17"/>
      <c r="E26" s="16"/>
      <c r="F26" s="18" t="s">
        <v>60</v>
      </c>
      <c r="G26" s="16">
        <f>G22+H23</f>
        <v>31750</v>
      </c>
      <c r="H26" s="17"/>
      <c r="I26" s="10"/>
    </row>
    <row r="27" spans="1:9" x14ac:dyDescent="0.25">
      <c r="B27" s="10" t="s">
        <v>18</v>
      </c>
      <c r="C27" s="16">
        <f>'NOVEMBER 21'!E37</f>
        <v>8743</v>
      </c>
      <c r="D27" s="10"/>
      <c r="E27" s="10"/>
      <c r="F27" s="10" t="s">
        <v>18</v>
      </c>
      <c r="G27" s="16">
        <f>'NOVEMBER 21'!I37</f>
        <v>543</v>
      </c>
      <c r="H27" s="10"/>
      <c r="I27" s="10"/>
    </row>
    <row r="28" spans="1:9" x14ac:dyDescent="0.25">
      <c r="B28" s="10" t="s">
        <v>3</v>
      </c>
      <c r="C28" s="10">
        <f>C22</f>
        <v>4600</v>
      </c>
      <c r="D28" s="10"/>
      <c r="E28" s="10"/>
      <c r="F28" s="10"/>
      <c r="G28" s="16"/>
      <c r="H28" s="16"/>
      <c r="I28" s="10"/>
    </row>
    <row r="29" spans="1:9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</row>
    <row r="30" spans="1:9" x14ac:dyDescent="0.25">
      <c r="B30" s="10" t="s">
        <v>20</v>
      </c>
      <c r="C30" s="17">
        <v>0.1</v>
      </c>
      <c r="D30" s="10">
        <f>C30*C26</f>
        <v>3510</v>
      </c>
      <c r="E30" s="10"/>
      <c r="F30" s="10" t="s">
        <v>20</v>
      </c>
      <c r="G30" s="17">
        <v>0.1</v>
      </c>
      <c r="H30" s="10">
        <f>C30*C26</f>
        <v>3510</v>
      </c>
      <c r="I30" s="10"/>
    </row>
    <row r="31" spans="1:9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</row>
    <row r="32" spans="1:9" x14ac:dyDescent="0.25">
      <c r="B32" s="20" t="s">
        <v>144</v>
      </c>
      <c r="C32" s="17"/>
      <c r="D32" s="10">
        <v>10000</v>
      </c>
      <c r="E32" s="10"/>
      <c r="F32" s="20" t="s">
        <v>144</v>
      </c>
      <c r="G32" s="17"/>
      <c r="H32" s="10">
        <v>10000</v>
      </c>
      <c r="I32" s="10"/>
    </row>
    <row r="33" spans="2:10" x14ac:dyDescent="0.25">
      <c r="B33" s="6"/>
      <c r="C33" s="6"/>
      <c r="D33" s="6">
        <v>20000</v>
      </c>
      <c r="E33" s="6"/>
      <c r="F33" s="6"/>
      <c r="G33" s="6"/>
      <c r="H33" s="6">
        <v>20000</v>
      </c>
      <c r="I33" s="10"/>
      <c r="J33" s="26"/>
    </row>
    <row r="34" spans="2:10" x14ac:dyDescent="0.25">
      <c r="B34" s="20" t="s">
        <v>145</v>
      </c>
      <c r="C34" s="10"/>
      <c r="D34" s="10">
        <v>20102</v>
      </c>
      <c r="E34" s="10"/>
      <c r="F34" s="20" t="s">
        <v>145</v>
      </c>
      <c r="G34" s="10"/>
      <c r="H34" s="10">
        <v>20102</v>
      </c>
      <c r="I34" s="10"/>
    </row>
    <row r="35" spans="2:10" x14ac:dyDescent="0.25">
      <c r="B35" s="20"/>
      <c r="C35" s="10"/>
      <c r="D35" s="10"/>
      <c r="E35" s="10"/>
      <c r="F35" s="20"/>
      <c r="G35" s="10"/>
      <c r="H35" s="10"/>
      <c r="I35" s="10"/>
    </row>
    <row r="36" spans="2:10" x14ac:dyDescent="0.25">
      <c r="B36" s="20"/>
      <c r="C36" s="16"/>
      <c r="D36" s="16"/>
      <c r="E36" s="16"/>
      <c r="F36" s="20"/>
      <c r="G36" s="16"/>
      <c r="H36" s="16"/>
      <c r="I36" s="10"/>
      <c r="J36" s="26"/>
    </row>
    <row r="37" spans="2:10" x14ac:dyDescent="0.25">
      <c r="B37" s="22" t="s">
        <v>10</v>
      </c>
      <c r="C37" s="26">
        <f>C26+C27+C28-D30</f>
        <v>44933</v>
      </c>
      <c r="D37" s="22">
        <f>SUM(D32:D36)</f>
        <v>50102</v>
      </c>
      <c r="E37" s="23">
        <f>C37-D37</f>
        <v>-5169</v>
      </c>
      <c r="F37" s="24"/>
      <c r="G37" s="23">
        <f>G26+G27-H30</f>
        <v>28783</v>
      </c>
      <c r="H37" s="23">
        <f>SUM(H32:H36)</f>
        <v>50102</v>
      </c>
      <c r="I37" s="23">
        <f>G37-H37</f>
        <v>-21319</v>
      </c>
      <c r="J37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0"/>
  <sheetViews>
    <sheetView workbookViewId="0">
      <selection activeCell="J38" sqref="J38"/>
    </sheetView>
  </sheetViews>
  <sheetFormatPr defaultRowHeight="15" x14ac:dyDescent="0.25"/>
  <cols>
    <col min="2" max="2" width="20.7109375" customWidth="1"/>
    <col min="10" max="10" width="16.5703125" customWidth="1"/>
  </cols>
  <sheetData>
    <row r="3" spans="1:14" ht="18.75" x14ac:dyDescent="0.25">
      <c r="D3" s="1" t="s">
        <v>22</v>
      </c>
      <c r="E3" s="2"/>
      <c r="F3" s="3"/>
      <c r="G3" s="4"/>
    </row>
    <row r="4" spans="1:14" ht="18.75" x14ac:dyDescent="0.25">
      <c r="D4" s="1" t="s">
        <v>0</v>
      </c>
      <c r="E4" s="1"/>
      <c r="F4" s="5"/>
      <c r="G4" s="5"/>
    </row>
    <row r="5" spans="1:14" ht="18.75" x14ac:dyDescent="0.25">
      <c r="D5" s="1" t="s">
        <v>41</v>
      </c>
      <c r="E5" s="1"/>
      <c r="F5" s="5"/>
      <c r="G5" s="5"/>
      <c r="N5">
        <v>3934</v>
      </c>
    </row>
    <row r="6" spans="1:14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  <c r="N6">
        <v>20729</v>
      </c>
    </row>
    <row r="7" spans="1:14" x14ac:dyDescent="0.25">
      <c r="A7" s="6">
        <v>1</v>
      </c>
      <c r="B7" s="10" t="s">
        <v>46</v>
      </c>
      <c r="C7" s="6"/>
      <c r="D7" s="6">
        <v>3000</v>
      </c>
      <c r="E7" s="6">
        <f>'SEPTEMBER 20'!H7:H22</f>
        <v>0</v>
      </c>
      <c r="F7" s="6">
        <f>C7+D7+E7</f>
        <v>3000</v>
      </c>
      <c r="G7" s="6">
        <f>3000</f>
        <v>3000</v>
      </c>
      <c r="H7" s="6">
        <f>F7-G7</f>
        <v>0</v>
      </c>
      <c r="I7" s="6"/>
      <c r="N7">
        <v>93453</v>
      </c>
    </row>
    <row r="8" spans="1:14" x14ac:dyDescent="0.25">
      <c r="A8" s="6">
        <v>2</v>
      </c>
      <c r="B8" s="6" t="s">
        <v>23</v>
      </c>
      <c r="C8" s="6"/>
      <c r="D8" s="6"/>
      <c r="E8" s="6">
        <f>'SEPTEMBER 20'!H8:H23</f>
        <v>0</v>
      </c>
      <c r="F8" s="6">
        <f t="shared" ref="F8:F21" si="0">C8+D8+E8</f>
        <v>0</v>
      </c>
      <c r="G8" s="6"/>
      <c r="H8" s="6">
        <f t="shared" ref="H8:H21" si="1">F8-G8</f>
        <v>0</v>
      </c>
      <c r="I8" s="6"/>
      <c r="J8" t="s">
        <v>51</v>
      </c>
      <c r="N8">
        <v>4751</v>
      </c>
    </row>
    <row r="9" spans="1:14" x14ac:dyDescent="0.25">
      <c r="A9" s="6">
        <v>3</v>
      </c>
      <c r="B9" s="6" t="s">
        <v>24</v>
      </c>
      <c r="C9" s="6"/>
      <c r="D9" s="6">
        <v>2500</v>
      </c>
      <c r="E9" s="6">
        <f>'SEPTEMBER 20'!H9:H24</f>
        <v>0</v>
      </c>
      <c r="F9" s="6">
        <f t="shared" si="0"/>
        <v>2500</v>
      </c>
      <c r="G9" s="6">
        <v>2500</v>
      </c>
      <c r="H9" s="6">
        <f t="shared" si="1"/>
        <v>0</v>
      </c>
      <c r="I9" s="6"/>
      <c r="N9">
        <v>2616</v>
      </c>
    </row>
    <row r="10" spans="1:14" x14ac:dyDescent="0.25">
      <c r="A10" s="6">
        <v>4</v>
      </c>
      <c r="B10" s="6" t="s">
        <v>37</v>
      </c>
      <c r="C10" s="6"/>
      <c r="D10" s="6">
        <v>2500</v>
      </c>
      <c r="E10" s="6">
        <f>'SEPTEMBER 20'!H10:H25</f>
        <v>0</v>
      </c>
      <c r="F10" s="6">
        <f t="shared" si="0"/>
        <v>2500</v>
      </c>
      <c r="G10" s="6">
        <v>2500</v>
      </c>
      <c r="H10" s="6">
        <f t="shared" si="1"/>
        <v>0</v>
      </c>
      <c r="I10" s="6"/>
      <c r="J10">
        <v>746689518</v>
      </c>
      <c r="N10">
        <v>20816</v>
      </c>
    </row>
    <row r="11" spans="1:14" x14ac:dyDescent="0.25">
      <c r="A11" s="6">
        <v>5</v>
      </c>
      <c r="B11" s="10" t="s">
        <v>30</v>
      </c>
      <c r="C11" s="6"/>
      <c r="D11" s="6">
        <v>2500</v>
      </c>
      <c r="E11" s="6">
        <f>'SEPTEMBER 20'!H11:H26</f>
        <v>0</v>
      </c>
      <c r="F11" s="6">
        <f t="shared" si="0"/>
        <v>2500</v>
      </c>
      <c r="G11" s="6">
        <v>2500</v>
      </c>
      <c r="H11" s="6">
        <f t="shared" si="1"/>
        <v>0</v>
      </c>
      <c r="I11" s="6"/>
      <c r="N11">
        <v>23927</v>
      </c>
    </row>
    <row r="12" spans="1:14" x14ac:dyDescent="0.25">
      <c r="A12" s="6">
        <v>6</v>
      </c>
      <c r="B12" s="6" t="s">
        <v>26</v>
      </c>
      <c r="C12" s="6"/>
      <c r="D12" s="6">
        <v>2500</v>
      </c>
      <c r="E12" s="6">
        <f>'SEPTEMBER 20'!H12:H27</f>
        <v>0</v>
      </c>
      <c r="F12" s="6">
        <f t="shared" si="0"/>
        <v>2500</v>
      </c>
      <c r="G12" s="6">
        <f>2000+500</f>
        <v>2500</v>
      </c>
      <c r="H12" s="6">
        <f>F12-G12</f>
        <v>0</v>
      </c>
      <c r="I12" s="6"/>
      <c r="N12">
        <v>10714</v>
      </c>
    </row>
    <row r="13" spans="1:14" x14ac:dyDescent="0.25">
      <c r="A13" s="6">
        <v>7</v>
      </c>
      <c r="B13" s="10" t="s">
        <v>34</v>
      </c>
      <c r="C13" s="6"/>
      <c r="D13" s="6">
        <v>2300</v>
      </c>
      <c r="E13" s="6">
        <f>'SEPTEMBER 20'!H13:H28</f>
        <v>0</v>
      </c>
      <c r="F13" s="6">
        <f t="shared" si="0"/>
        <v>2300</v>
      </c>
      <c r="G13" s="8"/>
      <c r="H13" s="6">
        <f t="shared" si="1"/>
        <v>2300</v>
      </c>
      <c r="I13" s="6"/>
      <c r="J13">
        <v>703494551</v>
      </c>
      <c r="N13">
        <v>8766</v>
      </c>
    </row>
    <row r="14" spans="1:14" x14ac:dyDescent="0.25">
      <c r="A14" s="6">
        <v>8</v>
      </c>
      <c r="B14" s="9" t="s">
        <v>27</v>
      </c>
      <c r="C14" s="6"/>
      <c r="D14" s="6">
        <v>2000</v>
      </c>
      <c r="E14" s="6">
        <f>'SEPTEMBER 20'!H14:H29</f>
        <v>1000</v>
      </c>
      <c r="F14" s="6">
        <f t="shared" si="0"/>
        <v>3000</v>
      </c>
      <c r="G14" s="6">
        <f>500+2000</f>
        <v>2500</v>
      </c>
      <c r="H14" s="6">
        <f>F14-G14</f>
        <v>500</v>
      </c>
      <c r="I14" s="6"/>
      <c r="N14">
        <v>141274</v>
      </c>
    </row>
    <row r="15" spans="1:14" x14ac:dyDescent="0.25">
      <c r="A15" s="6">
        <v>9</v>
      </c>
      <c r="B15" s="6" t="s">
        <v>28</v>
      </c>
      <c r="C15" s="6"/>
      <c r="D15" s="6">
        <v>4000</v>
      </c>
      <c r="E15" s="6">
        <f>'SEPTEMBER 20'!H15:H30</f>
        <v>0</v>
      </c>
      <c r="F15" s="6">
        <f t="shared" si="0"/>
        <v>4000</v>
      </c>
      <c r="G15" s="6">
        <v>4000</v>
      </c>
      <c r="H15" s="6">
        <f t="shared" si="1"/>
        <v>0</v>
      </c>
      <c r="I15" s="6"/>
      <c r="N15">
        <v>3431</v>
      </c>
    </row>
    <row r="16" spans="1:14" x14ac:dyDescent="0.25">
      <c r="A16" s="6">
        <v>10</v>
      </c>
      <c r="B16" s="6" t="s">
        <v>29</v>
      </c>
      <c r="C16" s="6"/>
      <c r="D16" s="6">
        <v>4000</v>
      </c>
      <c r="E16" s="6">
        <f>'SEPTEMBER 20'!H16:H31</f>
        <v>2000</v>
      </c>
      <c r="F16" s="6">
        <f t="shared" si="0"/>
        <v>6000</v>
      </c>
      <c r="G16" s="6">
        <f>2000</f>
        <v>2000</v>
      </c>
      <c r="H16" s="6">
        <f t="shared" si="1"/>
        <v>4000</v>
      </c>
      <c r="I16" s="6"/>
      <c r="N16">
        <v>49280</v>
      </c>
    </row>
    <row r="17" spans="1:14" x14ac:dyDescent="0.25">
      <c r="A17" s="6">
        <v>11</v>
      </c>
      <c r="B17" s="6" t="s">
        <v>38</v>
      </c>
      <c r="C17" s="6"/>
      <c r="D17" s="6"/>
      <c r="E17" s="6">
        <f>'SEPTEMBER 20'!H17:H32</f>
        <v>0</v>
      </c>
      <c r="F17" s="6">
        <f t="shared" si="0"/>
        <v>0</v>
      </c>
      <c r="G17" s="6"/>
      <c r="H17" s="6">
        <f t="shared" si="1"/>
        <v>0</v>
      </c>
      <c r="I17" s="6"/>
      <c r="N17">
        <v>45950</v>
      </c>
    </row>
    <row r="18" spans="1:14" x14ac:dyDescent="0.25">
      <c r="A18" s="6">
        <v>12</v>
      </c>
      <c r="B18" s="6" t="s">
        <v>38</v>
      </c>
      <c r="C18" s="6"/>
      <c r="D18" s="6"/>
      <c r="E18" s="6">
        <f>'SEPTEMBER 20'!H18:H33</f>
        <v>0</v>
      </c>
      <c r="F18" s="6">
        <f t="shared" si="0"/>
        <v>0</v>
      </c>
      <c r="G18" s="6"/>
      <c r="H18" s="6">
        <f t="shared" si="1"/>
        <v>0</v>
      </c>
      <c r="I18" s="6"/>
      <c r="N18">
        <v>10389</v>
      </c>
    </row>
    <row r="19" spans="1:14" x14ac:dyDescent="0.25">
      <c r="A19" s="6">
        <v>13</v>
      </c>
      <c r="B19" s="10" t="s">
        <v>45</v>
      </c>
      <c r="C19" s="6"/>
      <c r="D19" s="6"/>
      <c r="E19" s="6">
        <f>'SEPTEMBER 20'!H19:H34</f>
        <v>0</v>
      </c>
      <c r="F19" s="6">
        <f t="shared" si="0"/>
        <v>0</v>
      </c>
      <c r="G19" s="6"/>
      <c r="H19" s="6">
        <f t="shared" si="1"/>
        <v>0</v>
      </c>
      <c r="I19" s="6"/>
      <c r="J19">
        <v>724712698</v>
      </c>
      <c r="N19">
        <v>7720</v>
      </c>
    </row>
    <row r="20" spans="1:14" x14ac:dyDescent="0.25">
      <c r="A20" s="6">
        <v>14</v>
      </c>
      <c r="B20" s="6" t="s">
        <v>35</v>
      </c>
      <c r="C20" s="6"/>
      <c r="D20" s="6">
        <v>3000</v>
      </c>
      <c r="E20" s="6">
        <f>'SEPTEMBER 20'!H20:H35</f>
        <v>0</v>
      </c>
      <c r="F20" s="6">
        <f t="shared" si="0"/>
        <v>3000</v>
      </c>
      <c r="G20" s="6">
        <f>2000+1000</f>
        <v>3000</v>
      </c>
      <c r="H20" s="6">
        <f t="shared" si="1"/>
        <v>0</v>
      </c>
      <c r="I20" s="6"/>
      <c r="N20">
        <v>4000</v>
      </c>
    </row>
    <row r="21" spans="1:14" x14ac:dyDescent="0.25">
      <c r="A21" s="6"/>
      <c r="B21" s="10"/>
      <c r="C21" s="6"/>
      <c r="D21" s="6"/>
      <c r="E21" s="6">
        <f>'SEPTEMBER 20'!H21:H36</f>
        <v>0</v>
      </c>
      <c r="F21" s="6">
        <f t="shared" si="0"/>
        <v>0</v>
      </c>
      <c r="G21" s="6"/>
      <c r="H21" s="6">
        <f t="shared" si="1"/>
        <v>0</v>
      </c>
      <c r="I21" s="6"/>
      <c r="N21">
        <f>SUM(N5:N20)</f>
        <v>451750</v>
      </c>
    </row>
    <row r="22" spans="1:14" x14ac:dyDescent="0.25">
      <c r="A22" s="6"/>
      <c r="B22" s="11" t="s">
        <v>10</v>
      </c>
      <c r="C22" s="11">
        <f t="shared" ref="C22:H22" si="2">SUM(C7:C21)</f>
        <v>0</v>
      </c>
      <c r="D22" s="7">
        <f>SUM(D7:D21)</f>
        <v>28300</v>
      </c>
      <c r="E22" s="6">
        <f>'SEPTEMBER 20'!H22:H37</f>
        <v>3000</v>
      </c>
      <c r="F22" s="6">
        <f t="shared" si="2"/>
        <v>31300</v>
      </c>
      <c r="G22" s="7">
        <f t="shared" si="2"/>
        <v>24500</v>
      </c>
      <c r="H22" s="7">
        <f t="shared" si="2"/>
        <v>6800</v>
      </c>
      <c r="I22" s="7">
        <f>SUM(I7:I21)</f>
        <v>0</v>
      </c>
    </row>
    <row r="23" spans="1:14" x14ac:dyDescent="0.25">
      <c r="A23" s="9">
        <v>15</v>
      </c>
      <c r="E23" s="6">
        <f>'SEPTEMBER 20'!H23:H38</f>
        <v>0</v>
      </c>
      <c r="H23" s="9">
        <f>H22-H8</f>
        <v>6800</v>
      </c>
    </row>
    <row r="24" spans="1:14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14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14" x14ac:dyDescent="0.25">
      <c r="B26" s="10" t="s">
        <v>42</v>
      </c>
      <c r="C26">
        <f>D22</f>
        <v>28300</v>
      </c>
      <c r="D26" s="17"/>
      <c r="E26" s="16"/>
      <c r="F26" s="18" t="s">
        <v>43</v>
      </c>
      <c r="G26" s="16">
        <f>G22</f>
        <v>24500</v>
      </c>
      <c r="H26" s="17"/>
      <c r="I26" s="10"/>
    </row>
    <row r="27" spans="1:14" x14ac:dyDescent="0.25">
      <c r="B27" s="10" t="s">
        <v>18</v>
      </c>
      <c r="C27" s="16">
        <f>'SEPTEMBER 20'!E37</f>
        <v>6070</v>
      </c>
      <c r="D27" s="10"/>
      <c r="E27" s="10"/>
      <c r="F27" s="10" t="s">
        <v>18</v>
      </c>
      <c r="G27" s="16">
        <f>'SEPTEMBER 20'!I37</f>
        <v>2917</v>
      </c>
      <c r="H27" s="10"/>
      <c r="I27" s="10"/>
    </row>
    <row r="28" spans="1:14" x14ac:dyDescent="0.25">
      <c r="B28" s="10" t="s">
        <v>3</v>
      </c>
      <c r="C28" s="10"/>
      <c r="D28" s="10"/>
      <c r="E28" s="10"/>
      <c r="F28" s="10"/>
      <c r="G28" s="16"/>
      <c r="H28" s="16"/>
      <c r="I28" s="10"/>
    </row>
    <row r="29" spans="1:14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</row>
    <row r="30" spans="1:14" x14ac:dyDescent="0.25">
      <c r="B30" s="10" t="s">
        <v>20</v>
      </c>
      <c r="C30" s="17">
        <v>0.1</v>
      </c>
      <c r="D30" s="10">
        <f>C30*C26</f>
        <v>2830</v>
      </c>
      <c r="E30" s="10"/>
      <c r="F30" s="10" t="s">
        <v>20</v>
      </c>
      <c r="G30" s="17">
        <v>0.1</v>
      </c>
      <c r="H30" s="10">
        <f>C30*C26</f>
        <v>2830</v>
      </c>
      <c r="I30" s="10"/>
    </row>
    <row r="31" spans="1:14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</row>
    <row r="32" spans="1:14" x14ac:dyDescent="0.25">
      <c r="B32" s="20" t="s">
        <v>44</v>
      </c>
      <c r="C32" s="17"/>
      <c r="D32" s="10">
        <v>5000</v>
      </c>
      <c r="E32" s="10"/>
      <c r="F32" s="20" t="s">
        <v>44</v>
      </c>
      <c r="G32" s="17"/>
      <c r="H32" s="10">
        <v>5061</v>
      </c>
      <c r="I32" s="10"/>
    </row>
    <row r="33" spans="2:11" x14ac:dyDescent="0.25">
      <c r="B33" s="6" t="s">
        <v>47</v>
      </c>
      <c r="C33" s="6"/>
      <c r="D33" s="6">
        <v>20000</v>
      </c>
      <c r="E33" s="6"/>
      <c r="F33" s="6" t="s">
        <v>47</v>
      </c>
      <c r="G33" s="6"/>
      <c r="H33" s="6">
        <v>20000</v>
      </c>
      <c r="I33" s="10"/>
    </row>
    <row r="34" spans="2:11" x14ac:dyDescent="0.25">
      <c r="B34" s="20" t="s">
        <v>50</v>
      </c>
      <c r="C34" s="10"/>
      <c r="D34" s="10">
        <v>7000</v>
      </c>
      <c r="E34" s="10"/>
      <c r="F34" s="20" t="s">
        <v>50</v>
      </c>
      <c r="G34" s="10"/>
      <c r="H34" s="10">
        <v>7077</v>
      </c>
      <c r="I34" s="10"/>
      <c r="K34" s="26">
        <f>C27-D32</f>
        <v>1070</v>
      </c>
    </row>
    <row r="35" spans="2:11" x14ac:dyDescent="0.25">
      <c r="B35" s="20" t="s">
        <v>52</v>
      </c>
      <c r="C35" s="10"/>
      <c r="D35" s="10"/>
      <c r="E35" s="10"/>
      <c r="F35" s="20"/>
      <c r="G35" s="10"/>
      <c r="H35" s="10"/>
      <c r="I35" s="10"/>
    </row>
    <row r="36" spans="2:11" x14ac:dyDescent="0.25">
      <c r="B36" s="20"/>
      <c r="C36" s="16"/>
      <c r="D36" s="16"/>
      <c r="E36" s="16"/>
      <c r="F36" s="20"/>
      <c r="G36" s="10"/>
      <c r="H36" s="16"/>
      <c r="I36" s="10"/>
    </row>
    <row r="37" spans="2:11" x14ac:dyDescent="0.25">
      <c r="B37" s="22" t="s">
        <v>10</v>
      </c>
      <c r="C37">
        <f>C26+C27+C28-D30</f>
        <v>31540</v>
      </c>
      <c r="D37" s="22">
        <f>SUM(D32:D36)</f>
        <v>32000</v>
      </c>
      <c r="E37" s="23">
        <f>C37-D37</f>
        <v>-460</v>
      </c>
      <c r="F37" s="24"/>
      <c r="G37" s="23">
        <f>G26+G27-H30</f>
        <v>24587</v>
      </c>
      <c r="H37" s="23">
        <f>SUM(H32:H36)</f>
        <v>32138</v>
      </c>
      <c r="I37" s="23">
        <f>G37-H37</f>
        <v>-7551</v>
      </c>
      <c r="J37">
        <f>1190+28</f>
        <v>1218</v>
      </c>
    </row>
    <row r="40" spans="2:11" x14ac:dyDescent="0.25">
      <c r="D40">
        <f>C26-D35</f>
        <v>28300</v>
      </c>
      <c r="E40" s="26">
        <f>D40+C27</f>
        <v>34370</v>
      </c>
    </row>
    <row r="41" spans="2:11" x14ac:dyDescent="0.25">
      <c r="D41">
        <f>D40-D30</f>
        <v>25470</v>
      </c>
      <c r="E41" s="26">
        <f>E40-D30</f>
        <v>31540</v>
      </c>
      <c r="J41" s="26"/>
    </row>
    <row r="42" spans="2:11" x14ac:dyDescent="0.25">
      <c r="C42" t="s">
        <v>10</v>
      </c>
      <c r="D42" s="26">
        <f>D41+C27</f>
        <v>31540</v>
      </c>
    </row>
    <row r="43" spans="2:11" x14ac:dyDescent="0.25">
      <c r="C43" t="s">
        <v>70</v>
      </c>
      <c r="D43">
        <f>D32+D33+D34</f>
        <v>32000</v>
      </c>
    </row>
    <row r="44" spans="2:11" x14ac:dyDescent="0.25">
      <c r="D44" s="26">
        <f>D42-D43</f>
        <v>-460</v>
      </c>
    </row>
    <row r="50" spans="5:5" x14ac:dyDescent="0.25">
      <c r="E50" t="s">
        <v>53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16" workbookViewId="0">
      <selection activeCell="G16" sqref="G16"/>
    </sheetView>
  </sheetViews>
  <sheetFormatPr defaultRowHeight="15" x14ac:dyDescent="0.25"/>
  <cols>
    <col min="11" max="11" width="10" bestFit="1" customWidth="1"/>
  </cols>
  <sheetData>
    <row r="3" spans="1:10" ht="18.75" x14ac:dyDescent="0.25">
      <c r="D3" s="1" t="s">
        <v>22</v>
      </c>
      <c r="E3" s="2"/>
      <c r="F3" s="3"/>
      <c r="G3" s="4"/>
    </row>
    <row r="4" spans="1:10" ht="18.75" x14ac:dyDescent="0.25">
      <c r="D4" s="1" t="s">
        <v>0</v>
      </c>
      <c r="E4" s="1"/>
      <c r="F4" s="5"/>
      <c r="G4" s="5"/>
    </row>
    <row r="5" spans="1:10" ht="18.75" x14ac:dyDescent="0.25">
      <c r="D5" s="1" t="s">
        <v>48</v>
      </c>
      <c r="E5" s="1"/>
      <c r="F5" s="5"/>
      <c r="G5" s="5"/>
    </row>
    <row r="6" spans="1:10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10" x14ac:dyDescent="0.25">
      <c r="A7" s="6">
        <v>1</v>
      </c>
      <c r="B7" s="10" t="s">
        <v>46</v>
      </c>
      <c r="C7" s="6"/>
      <c r="D7" s="6">
        <v>3000</v>
      </c>
      <c r="E7" s="6">
        <f>'OCTOBER 20'!H7:H22</f>
        <v>0</v>
      </c>
      <c r="F7" s="6">
        <f>C7+D7+E7</f>
        <v>3000</v>
      </c>
      <c r="G7" s="6">
        <v>3000</v>
      </c>
      <c r="H7" s="6">
        <f>F7-G7</f>
        <v>0</v>
      </c>
      <c r="I7" s="6"/>
    </row>
    <row r="8" spans="1:10" x14ac:dyDescent="0.25">
      <c r="A8" s="6">
        <v>2</v>
      </c>
      <c r="B8" s="6" t="s">
        <v>38</v>
      </c>
      <c r="C8" s="6"/>
      <c r="D8" s="6"/>
      <c r="E8" s="6"/>
      <c r="F8" s="6">
        <f t="shared" ref="F8:F21" si="0">C8+D8+E8</f>
        <v>0</v>
      </c>
      <c r="G8" s="6"/>
      <c r="H8" s="6">
        <f t="shared" ref="H8:H21" si="1">F8-G8</f>
        <v>0</v>
      </c>
      <c r="I8" s="6"/>
    </row>
    <row r="9" spans="1:10" x14ac:dyDescent="0.25">
      <c r="A9" s="6">
        <v>3</v>
      </c>
      <c r="B9" s="6" t="s">
        <v>24</v>
      </c>
      <c r="C9" s="6"/>
      <c r="D9" s="6">
        <v>2500</v>
      </c>
      <c r="E9" s="6">
        <f>'OCTOBER 20'!H9:H24</f>
        <v>0</v>
      </c>
      <c r="F9" s="6">
        <f t="shared" si="0"/>
        <v>2500</v>
      </c>
      <c r="G9" s="6">
        <v>2500</v>
      </c>
      <c r="H9" s="6">
        <f t="shared" si="1"/>
        <v>0</v>
      </c>
      <c r="I9" s="6"/>
    </row>
    <row r="10" spans="1:10" x14ac:dyDescent="0.25">
      <c r="A10" s="6">
        <v>4</v>
      </c>
      <c r="B10" s="6" t="s">
        <v>37</v>
      </c>
      <c r="C10" s="6"/>
      <c r="D10" s="6">
        <v>2500</v>
      </c>
      <c r="E10" s="6">
        <f>'OCTOBER 20'!H10:H25</f>
        <v>0</v>
      </c>
      <c r="F10" s="6">
        <f t="shared" si="0"/>
        <v>2500</v>
      </c>
      <c r="G10" s="6">
        <f>2500</f>
        <v>2500</v>
      </c>
      <c r="H10" s="6">
        <f t="shared" si="1"/>
        <v>0</v>
      </c>
      <c r="I10" s="6"/>
    </row>
    <row r="11" spans="1:10" x14ac:dyDescent="0.25">
      <c r="A11" s="6">
        <v>5</v>
      </c>
      <c r="B11" s="10" t="s">
        <v>30</v>
      </c>
      <c r="C11" s="6"/>
      <c r="D11" s="6">
        <v>2500</v>
      </c>
      <c r="E11" s="6">
        <f>'OCTOBER 20'!H11:H26</f>
        <v>0</v>
      </c>
      <c r="F11" s="6">
        <f t="shared" si="0"/>
        <v>2500</v>
      </c>
      <c r="G11" s="6">
        <v>2500</v>
      </c>
      <c r="H11" s="6">
        <f t="shared" si="1"/>
        <v>0</v>
      </c>
      <c r="I11" s="6"/>
    </row>
    <row r="12" spans="1:10" x14ac:dyDescent="0.25">
      <c r="A12" s="6">
        <v>6</v>
      </c>
      <c r="B12" s="6" t="s">
        <v>26</v>
      </c>
      <c r="C12" s="6"/>
      <c r="D12" s="6">
        <v>2500</v>
      </c>
      <c r="E12" s="6">
        <f>'OCTOBER 20'!H12:H27</f>
        <v>0</v>
      </c>
      <c r="F12" s="6">
        <f t="shared" si="0"/>
        <v>2500</v>
      </c>
      <c r="G12" s="6">
        <v>2500</v>
      </c>
      <c r="H12" s="6">
        <f>F12-G12</f>
        <v>0</v>
      </c>
      <c r="I12" s="6"/>
    </row>
    <row r="13" spans="1:10" x14ac:dyDescent="0.25">
      <c r="A13" s="6">
        <v>7</v>
      </c>
      <c r="B13" s="10" t="s">
        <v>55</v>
      </c>
      <c r="C13" s="6"/>
      <c r="D13" s="6"/>
      <c r="E13" s="6">
        <f>'OCTOBER 20'!H13:H28</f>
        <v>2300</v>
      </c>
      <c r="F13" s="6">
        <f t="shared" si="0"/>
        <v>2300</v>
      </c>
      <c r="G13" s="8">
        <v>2300</v>
      </c>
      <c r="H13" s="6">
        <f t="shared" si="1"/>
        <v>0</v>
      </c>
      <c r="I13" s="6"/>
      <c r="J13" t="s">
        <v>61</v>
      </c>
    </row>
    <row r="14" spans="1:10" x14ac:dyDescent="0.25">
      <c r="A14" s="6">
        <v>8</v>
      </c>
      <c r="B14" s="9" t="s">
        <v>27</v>
      </c>
      <c r="C14" s="6"/>
      <c r="D14" s="6">
        <v>2000</v>
      </c>
      <c r="E14" s="6">
        <f>'OCTOBER 20'!H14:H29</f>
        <v>500</v>
      </c>
      <c r="F14" s="6">
        <f t="shared" si="0"/>
        <v>2500</v>
      </c>
      <c r="G14" s="6">
        <f>2000+500</f>
        <v>2500</v>
      </c>
      <c r="H14" s="6">
        <f>F14-G14</f>
        <v>0</v>
      </c>
      <c r="I14" s="6"/>
    </row>
    <row r="15" spans="1:10" x14ac:dyDescent="0.25">
      <c r="A15" s="6">
        <v>9</v>
      </c>
      <c r="B15" s="6" t="s">
        <v>28</v>
      </c>
      <c r="C15" s="6"/>
      <c r="D15" s="6">
        <v>4000</v>
      </c>
      <c r="E15" s="6">
        <f>'OCTOBER 20'!H15:H30</f>
        <v>0</v>
      </c>
      <c r="F15" s="6">
        <f t="shared" si="0"/>
        <v>4000</v>
      </c>
      <c r="G15" s="6"/>
      <c r="H15" s="6">
        <f t="shared" si="1"/>
        <v>4000</v>
      </c>
      <c r="I15" s="6"/>
    </row>
    <row r="16" spans="1:10" x14ac:dyDescent="0.25">
      <c r="A16" s="6">
        <v>10</v>
      </c>
      <c r="B16" s="6" t="s">
        <v>29</v>
      </c>
      <c r="C16" s="6"/>
      <c r="D16" s="6">
        <v>4000</v>
      </c>
      <c r="E16" s="6">
        <f>'OCTOBER 20'!H16:H31</f>
        <v>4000</v>
      </c>
      <c r="F16" s="6">
        <f t="shared" si="0"/>
        <v>8000</v>
      </c>
      <c r="G16" s="6"/>
      <c r="H16" s="6">
        <f t="shared" si="1"/>
        <v>8000</v>
      </c>
      <c r="I16" s="6"/>
    </row>
    <row r="17" spans="1:16" x14ac:dyDescent="0.25">
      <c r="A17" s="6">
        <v>11</v>
      </c>
      <c r="B17" s="6" t="s">
        <v>38</v>
      </c>
      <c r="C17" s="6"/>
      <c r="D17" s="6"/>
      <c r="E17" s="6">
        <f>'OCTOBER 20'!H17:H32</f>
        <v>0</v>
      </c>
      <c r="F17" s="6">
        <f t="shared" si="0"/>
        <v>0</v>
      </c>
      <c r="G17" s="6"/>
      <c r="H17" s="6">
        <f t="shared" si="1"/>
        <v>0</v>
      </c>
      <c r="I17" s="6"/>
    </row>
    <row r="18" spans="1:16" x14ac:dyDescent="0.25">
      <c r="A18" s="6">
        <v>12</v>
      </c>
      <c r="B18" s="6" t="s">
        <v>38</v>
      </c>
      <c r="C18" s="6"/>
      <c r="D18" s="6"/>
      <c r="E18" s="6">
        <f>'OCTOBER 20'!H18:H33</f>
        <v>0</v>
      </c>
      <c r="F18" s="6">
        <f t="shared" si="0"/>
        <v>0</v>
      </c>
      <c r="G18" s="6"/>
      <c r="H18" s="6">
        <f t="shared" si="1"/>
        <v>0</v>
      </c>
      <c r="I18" s="6"/>
    </row>
    <row r="19" spans="1:16" x14ac:dyDescent="0.25">
      <c r="A19" s="6">
        <v>13</v>
      </c>
      <c r="B19" s="10" t="s">
        <v>45</v>
      </c>
      <c r="C19" s="6"/>
      <c r="D19" s="6"/>
      <c r="E19" s="6">
        <f>'OCTOBER 20'!H19:H34</f>
        <v>0</v>
      </c>
      <c r="F19" s="6">
        <f t="shared" si="0"/>
        <v>0</v>
      </c>
      <c r="G19" s="6"/>
      <c r="H19" s="6"/>
      <c r="I19" s="6"/>
      <c r="J19" t="s">
        <v>58</v>
      </c>
      <c r="K19">
        <v>768125693</v>
      </c>
    </row>
    <row r="20" spans="1:16" x14ac:dyDescent="0.25">
      <c r="A20" s="6">
        <v>14</v>
      </c>
      <c r="B20" s="6" t="s">
        <v>35</v>
      </c>
      <c r="C20" s="6"/>
      <c r="D20" s="6">
        <v>3000</v>
      </c>
      <c r="E20" s="6">
        <f>'OCTOBER 20'!H20:H35</f>
        <v>0</v>
      </c>
      <c r="F20" s="6">
        <f t="shared" si="0"/>
        <v>3000</v>
      </c>
      <c r="G20" s="6">
        <f>1200+1000+800</f>
        <v>3000</v>
      </c>
      <c r="H20" s="6">
        <f t="shared" si="1"/>
        <v>0</v>
      </c>
      <c r="I20" s="6"/>
    </row>
    <row r="21" spans="1:16" x14ac:dyDescent="0.25">
      <c r="A21" s="6"/>
      <c r="B21" s="10"/>
      <c r="C21" s="6"/>
      <c r="D21" s="6"/>
      <c r="E21" s="6">
        <f>'OCTOBER 20'!H21:H36</f>
        <v>0</v>
      </c>
      <c r="F21" s="6">
        <f t="shared" si="0"/>
        <v>0</v>
      </c>
      <c r="G21" s="6"/>
      <c r="H21" s="6">
        <f t="shared" si="1"/>
        <v>0</v>
      </c>
      <c r="I21" s="6"/>
      <c r="P21">
        <v>102350</v>
      </c>
    </row>
    <row r="22" spans="1:16" x14ac:dyDescent="0.25">
      <c r="A22" s="6"/>
      <c r="B22" s="11" t="s">
        <v>10</v>
      </c>
      <c r="C22" s="11">
        <f t="shared" ref="C22:H22" si="2">SUM(C7:C21)</f>
        <v>0</v>
      </c>
      <c r="D22" s="7">
        <f t="shared" si="2"/>
        <v>26000</v>
      </c>
      <c r="E22" s="6">
        <f>SUM(E7:E21)</f>
        <v>6800</v>
      </c>
      <c r="F22" s="6">
        <f t="shared" si="2"/>
        <v>32800</v>
      </c>
      <c r="G22" s="7">
        <f>SUM(G7:G21)</f>
        <v>20800</v>
      </c>
      <c r="H22" s="7">
        <f t="shared" si="2"/>
        <v>12000</v>
      </c>
      <c r="I22" s="7">
        <f>SUM(I7:I21)</f>
        <v>0</v>
      </c>
      <c r="P22">
        <v>23827</v>
      </c>
    </row>
    <row r="23" spans="1:16" x14ac:dyDescent="0.25">
      <c r="A23" s="9">
        <v>15</v>
      </c>
      <c r="E23" s="6">
        <f>'SEPTEMBER 20'!H23:H38</f>
        <v>0</v>
      </c>
      <c r="P23">
        <v>22760</v>
      </c>
    </row>
    <row r="24" spans="1:16" ht="18.75" x14ac:dyDescent="0.3">
      <c r="B24" s="12" t="s">
        <v>11</v>
      </c>
      <c r="C24" s="13"/>
      <c r="D24" s="13"/>
      <c r="E24" s="13"/>
      <c r="F24" s="13"/>
      <c r="G24" s="14"/>
      <c r="H24" s="14"/>
      <c r="P24">
        <v>1500</v>
      </c>
    </row>
    <row r="25" spans="1:16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  <c r="P25">
        <v>30799</v>
      </c>
    </row>
    <row r="26" spans="1:16" x14ac:dyDescent="0.25">
      <c r="B26" s="10" t="s">
        <v>49</v>
      </c>
      <c r="C26">
        <f>D22</f>
        <v>26000</v>
      </c>
      <c r="D26" s="17"/>
      <c r="E26" s="16"/>
      <c r="F26" s="18" t="s">
        <v>49</v>
      </c>
      <c r="G26" s="16">
        <f>G22</f>
        <v>20800</v>
      </c>
      <c r="H26" s="17"/>
      <c r="I26" s="10"/>
      <c r="P26">
        <v>5050</v>
      </c>
    </row>
    <row r="27" spans="1:16" x14ac:dyDescent="0.25">
      <c r="B27" s="10" t="s">
        <v>18</v>
      </c>
      <c r="C27" s="16">
        <f>'OCTOBER 20'!E37</f>
        <v>-460</v>
      </c>
      <c r="D27" s="10"/>
      <c r="E27" s="10"/>
      <c r="F27" s="10" t="s">
        <v>18</v>
      </c>
      <c r="G27" s="16">
        <f>'OCTOBER 20'!I37</f>
        <v>-7551</v>
      </c>
      <c r="H27" s="10"/>
      <c r="I27" s="10"/>
      <c r="P27">
        <v>4420</v>
      </c>
    </row>
    <row r="28" spans="1:16" x14ac:dyDescent="0.25">
      <c r="B28" s="10" t="s">
        <v>3</v>
      </c>
      <c r="C28" s="10"/>
      <c r="D28" s="10"/>
      <c r="E28" s="10"/>
      <c r="F28" s="10"/>
      <c r="G28" s="16"/>
      <c r="H28" s="16"/>
      <c r="I28" s="10"/>
      <c r="P28">
        <v>13109</v>
      </c>
    </row>
    <row r="29" spans="1:16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  <c r="P29">
        <v>9057</v>
      </c>
    </row>
    <row r="30" spans="1:16" x14ac:dyDescent="0.25">
      <c r="B30" s="10" t="s">
        <v>20</v>
      </c>
      <c r="C30" s="17">
        <v>0.1</v>
      </c>
      <c r="D30" s="10">
        <f>C30*C26</f>
        <v>2600</v>
      </c>
      <c r="E30" s="10"/>
      <c r="F30" s="10" t="s">
        <v>20</v>
      </c>
      <c r="G30" s="17">
        <v>0.1</v>
      </c>
      <c r="H30" s="10">
        <f>C30*C26</f>
        <v>2600</v>
      </c>
      <c r="I30" s="10"/>
      <c r="P30">
        <v>6000</v>
      </c>
    </row>
    <row r="31" spans="1:16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  <c r="P31">
        <v>21238</v>
      </c>
    </row>
    <row r="32" spans="1:16" x14ac:dyDescent="0.25">
      <c r="B32" s="20" t="s">
        <v>54</v>
      </c>
      <c r="C32" s="17"/>
      <c r="D32" s="10">
        <v>5000</v>
      </c>
      <c r="E32" s="10"/>
      <c r="F32" s="20" t="s">
        <v>54</v>
      </c>
      <c r="G32" s="17"/>
      <c r="H32" s="10">
        <v>5107</v>
      </c>
      <c r="I32" s="10"/>
      <c r="P32">
        <f>SUM(P21:P31)</f>
        <v>240110</v>
      </c>
    </row>
    <row r="33" spans="2:16" x14ac:dyDescent="0.25">
      <c r="B33" s="6" t="s">
        <v>72</v>
      </c>
      <c r="C33" s="6"/>
      <c r="D33" s="6">
        <v>18000</v>
      </c>
      <c r="E33" s="6"/>
      <c r="F33" s="6" t="s">
        <v>54</v>
      </c>
      <c r="G33" s="6"/>
      <c r="H33" s="6">
        <v>18102</v>
      </c>
      <c r="I33" s="10"/>
      <c r="P33">
        <v>278302</v>
      </c>
    </row>
    <row r="34" spans="2:16" x14ac:dyDescent="0.25">
      <c r="B34" s="20" t="s">
        <v>71</v>
      </c>
      <c r="C34" s="10"/>
      <c r="D34" s="10">
        <v>1000</v>
      </c>
      <c r="E34" s="10"/>
      <c r="F34" s="20" t="s">
        <v>54</v>
      </c>
      <c r="G34" s="10"/>
      <c r="H34" s="10">
        <v>1056</v>
      </c>
      <c r="I34" s="10"/>
      <c r="P34">
        <f>P32+P33</f>
        <v>518412</v>
      </c>
    </row>
    <row r="35" spans="2:16" x14ac:dyDescent="0.25">
      <c r="B35" s="20" t="s">
        <v>56</v>
      </c>
      <c r="C35" s="10"/>
      <c r="D35" s="10"/>
      <c r="E35" s="10"/>
      <c r="F35" s="20"/>
      <c r="G35" s="10"/>
      <c r="H35" s="10"/>
      <c r="I35" s="10"/>
    </row>
    <row r="36" spans="2:16" x14ac:dyDescent="0.25">
      <c r="B36" s="20" t="s">
        <v>57</v>
      </c>
      <c r="C36" s="16"/>
      <c r="D36" s="16">
        <v>1500</v>
      </c>
      <c r="E36" s="16"/>
      <c r="F36" s="20" t="s">
        <v>57</v>
      </c>
      <c r="G36" s="16"/>
      <c r="H36" s="16">
        <v>1526</v>
      </c>
      <c r="I36" s="10"/>
    </row>
    <row r="37" spans="2:16" x14ac:dyDescent="0.25">
      <c r="B37" s="20" t="s">
        <v>62</v>
      </c>
      <c r="C37" s="16"/>
      <c r="D37" s="16"/>
      <c r="E37" s="16"/>
      <c r="F37" s="20"/>
      <c r="G37" s="16"/>
      <c r="H37" s="16"/>
      <c r="I37" s="10"/>
    </row>
    <row r="38" spans="2:16" x14ac:dyDescent="0.25">
      <c r="B38" s="22" t="s">
        <v>10</v>
      </c>
      <c r="C38">
        <f>C26+C27+C28-D30</f>
        <v>22940</v>
      </c>
      <c r="D38" s="22">
        <f>SUM(D32:D37)</f>
        <v>25500</v>
      </c>
      <c r="E38" s="23">
        <f>C38-D38</f>
        <v>-2560</v>
      </c>
      <c r="F38" s="24"/>
      <c r="G38" s="23">
        <f>G26+G27-H30</f>
        <v>10649</v>
      </c>
      <c r="H38" s="23">
        <f>SUM(H32:H37)</f>
        <v>25791</v>
      </c>
      <c r="I38" s="23">
        <f>G38-H38</f>
        <v>-15142</v>
      </c>
    </row>
    <row r="40" spans="2:16" x14ac:dyDescent="0.25">
      <c r="E40" s="26">
        <f>C26-D37</f>
        <v>26000</v>
      </c>
      <c r="F40">
        <f>C26-D30</f>
        <v>23400</v>
      </c>
    </row>
    <row r="41" spans="2:16" x14ac:dyDescent="0.25">
      <c r="D41" t="s">
        <v>10</v>
      </c>
      <c r="E41" s="26">
        <f>E40-D30+C27</f>
        <v>22940</v>
      </c>
    </row>
    <row r="42" spans="2:16" x14ac:dyDescent="0.25">
      <c r="D42" t="s">
        <v>70</v>
      </c>
      <c r="E42" s="26">
        <f>D32+D33+D34+D36</f>
        <v>25500</v>
      </c>
      <c r="J42">
        <f>D33+D32</f>
        <v>23000</v>
      </c>
    </row>
    <row r="43" spans="2:16" x14ac:dyDescent="0.25">
      <c r="J43">
        <f>C26-D30</f>
        <v>23400</v>
      </c>
    </row>
    <row r="44" spans="2:16" x14ac:dyDescent="0.25">
      <c r="D44" t="s">
        <v>15</v>
      </c>
      <c r="E44" s="26">
        <f>E41-E42</f>
        <v>-2560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2"/>
  <sheetViews>
    <sheetView topLeftCell="A4" workbookViewId="0">
      <selection activeCell="H33" sqref="H33"/>
    </sheetView>
  </sheetViews>
  <sheetFormatPr defaultRowHeight="15" x14ac:dyDescent="0.25"/>
  <cols>
    <col min="1" max="1" width="5.42578125" customWidth="1"/>
    <col min="2" max="2" width="16.85546875" customWidth="1"/>
    <col min="3" max="3" width="12.140625" customWidth="1"/>
    <col min="10" max="10" width="25.42578125" customWidth="1"/>
  </cols>
  <sheetData>
    <row r="3" spans="1:9" ht="18.75" x14ac:dyDescent="0.25">
      <c r="D3" s="1" t="s">
        <v>22</v>
      </c>
      <c r="E3" s="2"/>
      <c r="F3" s="3"/>
      <c r="G3" s="4"/>
    </row>
    <row r="4" spans="1:9" ht="18.75" x14ac:dyDescent="0.25">
      <c r="D4" s="1" t="s">
        <v>0</v>
      </c>
      <c r="E4" s="1"/>
      <c r="F4" s="5"/>
      <c r="G4" s="5"/>
    </row>
    <row r="5" spans="1:9" ht="18.75" x14ac:dyDescent="0.25">
      <c r="D5" s="1" t="s">
        <v>59</v>
      </c>
      <c r="E5" s="1"/>
      <c r="F5" s="5"/>
      <c r="G5" s="5"/>
    </row>
    <row r="6" spans="1:9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9" x14ac:dyDescent="0.25">
      <c r="A7" s="6">
        <v>1</v>
      </c>
      <c r="B7" s="10" t="s">
        <v>46</v>
      </c>
      <c r="C7" s="6"/>
      <c r="D7" s="6">
        <v>3000</v>
      </c>
      <c r="E7" s="6">
        <f>NOVEMBER20!H7:H21</f>
        <v>0</v>
      </c>
      <c r="F7" s="6">
        <f>C7+D7+E7</f>
        <v>3000</v>
      </c>
      <c r="G7" s="6">
        <f>2000+1000</f>
        <v>3000</v>
      </c>
      <c r="H7" s="6">
        <f>F7-G7</f>
        <v>0</v>
      </c>
      <c r="I7" s="6"/>
    </row>
    <row r="8" spans="1:9" x14ac:dyDescent="0.25">
      <c r="A8" s="6">
        <v>2</v>
      </c>
      <c r="B8" s="6" t="s">
        <v>64</v>
      </c>
      <c r="C8" s="6">
        <v>2300</v>
      </c>
      <c r="D8" s="6">
        <v>2300</v>
      </c>
      <c r="E8" s="6">
        <f>NOVEMBER20!H8:H22</f>
        <v>0</v>
      </c>
      <c r="F8" s="6">
        <f t="shared" ref="F8:F21" si="0">C8+D8+E8</f>
        <v>4600</v>
      </c>
      <c r="G8" s="6">
        <v>3300</v>
      </c>
      <c r="H8" s="6">
        <f t="shared" ref="H8:H21" si="1">F8-G8</f>
        <v>1300</v>
      </c>
      <c r="I8" s="6"/>
    </row>
    <row r="9" spans="1:9" x14ac:dyDescent="0.25">
      <c r="A9" s="6">
        <v>3</v>
      </c>
      <c r="B9" s="6" t="s">
        <v>24</v>
      </c>
      <c r="C9" s="6"/>
      <c r="D9" s="6">
        <v>2500</v>
      </c>
      <c r="E9" s="6">
        <f>NOVEMBER20!H9:H23</f>
        <v>0</v>
      </c>
      <c r="F9" s="6">
        <f t="shared" si="0"/>
        <v>2500</v>
      </c>
      <c r="G9" s="6">
        <v>2500</v>
      </c>
      <c r="H9" s="6">
        <f t="shared" si="1"/>
        <v>0</v>
      </c>
      <c r="I9" s="6"/>
    </row>
    <row r="10" spans="1:9" x14ac:dyDescent="0.25">
      <c r="A10" s="6">
        <v>4</v>
      </c>
      <c r="B10" s="6" t="s">
        <v>37</v>
      </c>
      <c r="C10" s="6"/>
      <c r="D10" s="6">
        <v>2500</v>
      </c>
      <c r="E10" s="6">
        <f>NOVEMBER20!H10:H24</f>
        <v>0</v>
      </c>
      <c r="F10" s="6">
        <f t="shared" si="0"/>
        <v>2500</v>
      </c>
      <c r="G10" s="6">
        <v>2500</v>
      </c>
      <c r="H10" s="6">
        <f t="shared" si="1"/>
        <v>0</v>
      </c>
      <c r="I10" s="6"/>
    </row>
    <row r="11" spans="1:9" x14ac:dyDescent="0.25">
      <c r="A11" s="6">
        <v>5</v>
      </c>
      <c r="B11" s="10" t="s">
        <v>30</v>
      </c>
      <c r="C11" s="6"/>
      <c r="D11" s="6">
        <v>2500</v>
      </c>
      <c r="E11" s="6">
        <f>NOVEMBER20!H11:H25</f>
        <v>0</v>
      </c>
      <c r="F11" s="6">
        <f t="shared" si="0"/>
        <v>2500</v>
      </c>
      <c r="G11" s="6">
        <v>2500</v>
      </c>
      <c r="H11" s="6">
        <f t="shared" si="1"/>
        <v>0</v>
      </c>
      <c r="I11" s="6"/>
    </row>
    <row r="12" spans="1:9" x14ac:dyDescent="0.25">
      <c r="A12" s="6">
        <v>6</v>
      </c>
      <c r="B12" s="6" t="s">
        <v>26</v>
      </c>
      <c r="C12" s="6"/>
      <c r="D12" s="6">
        <v>2500</v>
      </c>
      <c r="E12" s="6">
        <f>NOVEMBER20!H12:H26</f>
        <v>0</v>
      </c>
      <c r="F12" s="6">
        <f t="shared" si="0"/>
        <v>2500</v>
      </c>
      <c r="G12" s="6">
        <v>2500</v>
      </c>
      <c r="H12" s="6">
        <f>F12-G12</f>
        <v>0</v>
      </c>
      <c r="I12" s="6"/>
    </row>
    <row r="13" spans="1:9" x14ac:dyDescent="0.25">
      <c r="A13" s="6">
        <v>7</v>
      </c>
      <c r="B13" s="10" t="s">
        <v>65</v>
      </c>
      <c r="C13" s="6">
        <v>2300</v>
      </c>
      <c r="D13" s="6">
        <v>2300</v>
      </c>
      <c r="E13" s="6"/>
      <c r="F13" s="6">
        <f t="shared" si="0"/>
        <v>4600</v>
      </c>
      <c r="G13" s="8">
        <v>3700</v>
      </c>
      <c r="H13" s="6">
        <f t="shared" si="1"/>
        <v>900</v>
      </c>
      <c r="I13" s="6"/>
    </row>
    <row r="14" spans="1:9" x14ac:dyDescent="0.25">
      <c r="A14" s="6">
        <v>8</v>
      </c>
      <c r="B14" s="9" t="s">
        <v>27</v>
      </c>
      <c r="C14" s="6"/>
      <c r="D14" s="6">
        <v>2000</v>
      </c>
      <c r="E14" s="6">
        <f>NOVEMBER20!H14:H28</f>
        <v>0</v>
      </c>
      <c r="F14" s="6">
        <f t="shared" si="0"/>
        <v>2000</v>
      </c>
      <c r="G14" s="6">
        <v>2000</v>
      </c>
      <c r="H14" s="6">
        <f>F14-G14</f>
        <v>0</v>
      </c>
      <c r="I14" s="6"/>
    </row>
    <row r="15" spans="1:9" x14ac:dyDescent="0.25">
      <c r="A15" s="6">
        <v>9</v>
      </c>
      <c r="B15" s="6" t="s">
        <v>28</v>
      </c>
      <c r="C15" s="6"/>
      <c r="D15" s="6">
        <v>4000</v>
      </c>
      <c r="E15" s="6">
        <f>NOVEMBER20!H15:H29</f>
        <v>4000</v>
      </c>
      <c r="F15" s="6">
        <f t="shared" si="0"/>
        <v>8000</v>
      </c>
      <c r="G15" s="6">
        <f>8000</f>
        <v>8000</v>
      </c>
      <c r="H15" s="6">
        <f t="shared" si="1"/>
        <v>0</v>
      </c>
      <c r="I15" s="6"/>
    </row>
    <row r="16" spans="1:9" x14ac:dyDescent="0.25">
      <c r="A16" s="6">
        <v>10</v>
      </c>
      <c r="B16" s="6" t="s">
        <v>29</v>
      </c>
      <c r="C16" s="6"/>
      <c r="D16" s="6">
        <v>4000</v>
      </c>
      <c r="E16" s="6">
        <f>NOVEMBER20!H16:H30</f>
        <v>8000</v>
      </c>
      <c r="F16" s="6">
        <f t="shared" si="0"/>
        <v>12000</v>
      </c>
      <c r="G16" s="6">
        <f>2000+4000+6000</f>
        <v>12000</v>
      </c>
      <c r="H16" s="6">
        <f t="shared" si="1"/>
        <v>0</v>
      </c>
      <c r="I16" s="6"/>
    </row>
    <row r="17" spans="1:13" x14ac:dyDescent="0.25">
      <c r="A17" s="6">
        <v>11</v>
      </c>
      <c r="B17" s="6" t="s">
        <v>66</v>
      </c>
      <c r="C17" s="6">
        <v>4000</v>
      </c>
      <c r="D17" s="6">
        <v>4000</v>
      </c>
      <c r="E17" s="6">
        <f>NOVEMBER20!H17:H31</f>
        <v>0</v>
      </c>
      <c r="F17" s="6">
        <f t="shared" si="0"/>
        <v>8000</v>
      </c>
      <c r="G17" s="6">
        <v>6000</v>
      </c>
      <c r="H17" s="6">
        <f t="shared" si="1"/>
        <v>2000</v>
      </c>
      <c r="I17" s="6"/>
    </row>
    <row r="18" spans="1:13" x14ac:dyDescent="0.25">
      <c r="A18" s="6">
        <v>12</v>
      </c>
      <c r="B18" s="6" t="s">
        <v>38</v>
      </c>
      <c r="C18" s="6"/>
      <c r="D18" s="6"/>
      <c r="E18" s="6">
        <f>NOVEMBER20!H18:H32</f>
        <v>0</v>
      </c>
      <c r="F18" s="6">
        <f t="shared" si="0"/>
        <v>0</v>
      </c>
      <c r="G18" s="6"/>
      <c r="H18" s="6">
        <f t="shared" si="1"/>
        <v>0</v>
      </c>
      <c r="I18" s="6"/>
      <c r="J18">
        <f>F16+1200+500</f>
        <v>13700</v>
      </c>
    </row>
    <row r="19" spans="1:13" x14ac:dyDescent="0.25">
      <c r="A19" s="6">
        <v>13</v>
      </c>
      <c r="B19" s="10" t="s">
        <v>38</v>
      </c>
      <c r="C19" s="6"/>
      <c r="D19" s="6"/>
      <c r="E19" s="6">
        <f>NOVEMBER20!H19:H33</f>
        <v>0</v>
      </c>
      <c r="F19" s="6">
        <f t="shared" si="0"/>
        <v>0</v>
      </c>
      <c r="G19" s="6"/>
      <c r="H19" s="6">
        <f t="shared" si="1"/>
        <v>0</v>
      </c>
      <c r="I19" s="6"/>
      <c r="J19">
        <f>J18-2000-4000</f>
        <v>7700</v>
      </c>
    </row>
    <row r="20" spans="1:13" x14ac:dyDescent="0.25">
      <c r="A20" s="6">
        <v>14</v>
      </c>
      <c r="B20" s="6" t="s">
        <v>35</v>
      </c>
      <c r="C20" s="6"/>
      <c r="D20" s="6">
        <v>3000</v>
      </c>
      <c r="E20" s="6">
        <f>NOVEMBER20!H20:H34</f>
        <v>0</v>
      </c>
      <c r="F20" s="6">
        <f t="shared" si="0"/>
        <v>3000</v>
      </c>
      <c r="G20" s="6">
        <f>1500</f>
        <v>1500</v>
      </c>
      <c r="H20" s="6">
        <f t="shared" si="1"/>
        <v>1500</v>
      </c>
      <c r="I20" s="6"/>
    </row>
    <row r="21" spans="1:13" x14ac:dyDescent="0.25">
      <c r="A21" s="6"/>
      <c r="B21" s="10"/>
      <c r="C21" s="6"/>
      <c r="D21" s="6"/>
      <c r="E21" s="6">
        <f>NOVEMBER20!H21:H35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13" x14ac:dyDescent="0.25">
      <c r="A22" s="6"/>
      <c r="B22" s="11" t="s">
        <v>10</v>
      </c>
      <c r="C22" s="11">
        <f t="shared" ref="C22:H22" si="2">SUM(C7:C21)</f>
        <v>8600</v>
      </c>
      <c r="D22" s="7">
        <f t="shared" si="2"/>
        <v>34600</v>
      </c>
      <c r="E22" s="6">
        <f>SUM(E7:E21)</f>
        <v>12000</v>
      </c>
      <c r="F22" s="6">
        <f t="shared" si="2"/>
        <v>55200</v>
      </c>
      <c r="G22" s="7">
        <f>SUM(G7:G21)</f>
        <v>49500</v>
      </c>
      <c r="H22" s="7">
        <f t="shared" si="2"/>
        <v>5700</v>
      </c>
      <c r="I22" s="7">
        <f>SUM(I7:I21)</f>
        <v>0</v>
      </c>
    </row>
    <row r="23" spans="1:13" x14ac:dyDescent="0.25">
      <c r="A23" s="9">
        <v>15</v>
      </c>
      <c r="E23" s="6">
        <f>'SEPTEMBER 20'!H23:H38</f>
        <v>0</v>
      </c>
    </row>
    <row r="24" spans="1:13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13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13" x14ac:dyDescent="0.25">
      <c r="B26" s="10" t="s">
        <v>60</v>
      </c>
      <c r="C26">
        <f>D22</f>
        <v>34600</v>
      </c>
      <c r="D26" s="17"/>
      <c r="E26" s="16"/>
      <c r="F26" s="18" t="s">
        <v>60</v>
      </c>
      <c r="G26" s="16">
        <f>G22</f>
        <v>49500</v>
      </c>
      <c r="H26" s="17"/>
      <c r="I26" s="10"/>
    </row>
    <row r="27" spans="1:13" x14ac:dyDescent="0.25">
      <c r="B27" s="10" t="s">
        <v>18</v>
      </c>
      <c r="C27" s="16">
        <f>NOVEMBER20!E38</f>
        <v>-2560</v>
      </c>
      <c r="D27" s="10"/>
      <c r="E27" s="10"/>
      <c r="F27" s="10" t="s">
        <v>18</v>
      </c>
      <c r="G27" s="16">
        <f>NOVEMBER20!I38</f>
        <v>-15142</v>
      </c>
      <c r="H27" s="10"/>
      <c r="I27" s="10"/>
      <c r="K27" s="26">
        <f>H22+I37</f>
        <v>11379</v>
      </c>
    </row>
    <row r="28" spans="1:13" x14ac:dyDescent="0.25">
      <c r="B28" s="10" t="s">
        <v>3</v>
      </c>
      <c r="C28" s="10">
        <f>C22</f>
        <v>8600</v>
      </c>
      <c r="D28" s="10"/>
      <c r="E28" s="10"/>
      <c r="F28" s="10"/>
      <c r="G28" s="16"/>
      <c r="H28" s="16"/>
      <c r="I28" s="10"/>
    </row>
    <row r="29" spans="1:13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</row>
    <row r="30" spans="1:13" x14ac:dyDescent="0.25">
      <c r="B30" s="10" t="s">
        <v>20</v>
      </c>
      <c r="C30" s="17">
        <v>0.1</v>
      </c>
      <c r="D30" s="10">
        <f>C30*C26</f>
        <v>3460</v>
      </c>
      <c r="E30" s="10"/>
      <c r="F30" s="10" t="s">
        <v>20</v>
      </c>
      <c r="G30" s="17">
        <v>0.1</v>
      </c>
      <c r="H30" s="10">
        <f>C30*C26</f>
        <v>3460</v>
      </c>
      <c r="I30" s="10"/>
    </row>
    <row r="31" spans="1:13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  <c r="M31">
        <f>5000+15000+5000+5000+18000+1000+1500+7000+20000+5000+3500+15000</f>
        <v>101000</v>
      </c>
    </row>
    <row r="32" spans="1:13" x14ac:dyDescent="0.25">
      <c r="B32" s="20" t="s">
        <v>63</v>
      </c>
      <c r="C32" s="17"/>
      <c r="D32" s="10">
        <v>5000</v>
      </c>
      <c r="E32" s="10"/>
      <c r="F32" s="20" t="s">
        <v>63</v>
      </c>
      <c r="G32" s="17"/>
      <c r="H32" s="10">
        <v>5061</v>
      </c>
      <c r="I32" s="10"/>
    </row>
    <row r="33" spans="2:13" x14ac:dyDescent="0.25">
      <c r="B33" s="6" t="s">
        <v>67</v>
      </c>
      <c r="C33" s="6"/>
      <c r="D33" s="6">
        <v>15000</v>
      </c>
      <c r="E33" s="6"/>
      <c r="F33" s="6" t="s">
        <v>67</v>
      </c>
      <c r="G33" s="6"/>
      <c r="H33" s="6">
        <v>15097</v>
      </c>
      <c r="I33" s="10"/>
      <c r="J33" s="14" t="s">
        <v>73</v>
      </c>
      <c r="K33" s="14">
        <f>'SEPTEMBER 20'!C26+'OCTOBER 20'!C26+NOVEMBER20!C26+'DECEMBER 20'!C26</f>
        <v>116200</v>
      </c>
      <c r="L33" s="14"/>
      <c r="M33">
        <f>15000+3500+5000+20000+7000+5000+18000+1000+1500+5000+15000+5000</f>
        <v>101000</v>
      </c>
    </row>
    <row r="34" spans="2:13" x14ac:dyDescent="0.25">
      <c r="B34" s="20" t="s">
        <v>69</v>
      </c>
      <c r="C34" s="10"/>
      <c r="D34" s="10">
        <v>5000</v>
      </c>
      <c r="E34" s="10"/>
      <c r="F34" s="20" t="s">
        <v>69</v>
      </c>
      <c r="G34" s="10"/>
      <c r="H34" s="10">
        <v>5061</v>
      </c>
      <c r="I34" s="10"/>
      <c r="J34" s="14" t="s">
        <v>74</v>
      </c>
      <c r="K34" s="14">
        <f>C30*K33</f>
        <v>11620</v>
      </c>
      <c r="L34" s="28"/>
      <c r="M34">
        <f>M33+15000</f>
        <v>116000</v>
      </c>
    </row>
    <row r="35" spans="2:13" x14ac:dyDescent="0.25">
      <c r="B35" s="20"/>
      <c r="C35" s="10"/>
      <c r="D35" s="10"/>
      <c r="E35" s="10"/>
      <c r="F35" s="20"/>
      <c r="G35" s="10"/>
      <c r="H35" s="10"/>
      <c r="I35" s="10"/>
      <c r="J35" s="14" t="s">
        <v>78</v>
      </c>
      <c r="K35" s="29">
        <f>K33-K34</f>
        <v>104580</v>
      </c>
      <c r="L35" s="14"/>
    </row>
    <row r="36" spans="2:13" x14ac:dyDescent="0.25">
      <c r="B36" s="20"/>
      <c r="C36" s="16"/>
      <c r="D36" s="16"/>
      <c r="E36" s="16"/>
      <c r="F36" s="20"/>
      <c r="G36" s="16"/>
      <c r="H36" s="16"/>
      <c r="I36" s="10"/>
      <c r="J36" s="14" t="s">
        <v>79</v>
      </c>
      <c r="K36" s="14">
        <v>8600</v>
      </c>
      <c r="L36" s="14"/>
    </row>
    <row r="37" spans="2:13" x14ac:dyDescent="0.25">
      <c r="B37" s="22" t="s">
        <v>10</v>
      </c>
      <c r="C37" s="26">
        <f>C26+C27+C28-D30</f>
        <v>37180</v>
      </c>
      <c r="D37" s="22">
        <f>SUM(D32:D36)</f>
        <v>25000</v>
      </c>
      <c r="E37" s="23">
        <f>C37-D37</f>
        <v>12180</v>
      </c>
      <c r="F37" s="24"/>
      <c r="G37" s="23">
        <f>G26+G27-H30</f>
        <v>30898</v>
      </c>
      <c r="H37" s="23">
        <f>SUM(H32:H36)</f>
        <v>25219</v>
      </c>
      <c r="I37" s="23">
        <f>G37-H37</f>
        <v>5679</v>
      </c>
      <c r="J37" s="14" t="s">
        <v>75</v>
      </c>
      <c r="K37" s="29">
        <f>K35+K36</f>
        <v>113180</v>
      </c>
      <c r="L37" s="14"/>
    </row>
    <row r="38" spans="2:13" x14ac:dyDescent="0.25">
      <c r="J38" s="27" t="s">
        <v>77</v>
      </c>
      <c r="K38" s="27">
        <f>M34</f>
        <v>116000</v>
      </c>
      <c r="L38" s="14"/>
    </row>
    <row r="39" spans="2:13" x14ac:dyDescent="0.25">
      <c r="J39" s="14" t="s">
        <v>76</v>
      </c>
      <c r="K39" s="29">
        <f>K37-K38</f>
        <v>-2820</v>
      </c>
      <c r="L39" s="14"/>
    </row>
    <row r="40" spans="2:13" x14ac:dyDescent="0.25">
      <c r="D40">
        <f>C26+C22</f>
        <v>43200</v>
      </c>
      <c r="E40">
        <f>D40-D30</f>
        <v>39740</v>
      </c>
      <c r="J40" s="14"/>
      <c r="K40" s="14"/>
      <c r="L40" s="14"/>
    </row>
    <row r="41" spans="2:13" x14ac:dyDescent="0.25">
      <c r="D41" s="26">
        <f>D40-D30+C27</f>
        <v>37180</v>
      </c>
      <c r="E41">
        <f>D32+D33+D34</f>
        <v>25000</v>
      </c>
    </row>
    <row r="42" spans="2:13" x14ac:dyDescent="0.25">
      <c r="E42">
        <f>E40-E41</f>
        <v>14740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0"/>
  <sheetViews>
    <sheetView topLeftCell="A4" workbookViewId="0">
      <selection activeCell="G14" sqref="G14"/>
    </sheetView>
  </sheetViews>
  <sheetFormatPr defaultRowHeight="15" x14ac:dyDescent="0.25"/>
  <cols>
    <col min="1" max="1" width="5.42578125" customWidth="1"/>
    <col min="2" max="2" width="16.85546875" customWidth="1"/>
  </cols>
  <sheetData>
    <row r="3" spans="1:9" ht="18.75" x14ac:dyDescent="0.25">
      <c r="D3" s="1" t="s">
        <v>22</v>
      </c>
      <c r="E3" s="2"/>
      <c r="F3" s="3"/>
      <c r="G3" s="4"/>
    </row>
    <row r="4" spans="1:9" ht="18.75" x14ac:dyDescent="0.25">
      <c r="D4" s="1" t="s">
        <v>0</v>
      </c>
      <c r="E4" s="1"/>
      <c r="F4" s="5"/>
      <c r="G4" s="5"/>
    </row>
    <row r="5" spans="1:9" ht="18.75" x14ac:dyDescent="0.25">
      <c r="D5" s="1" t="s">
        <v>68</v>
      </c>
      <c r="E5" s="1"/>
      <c r="F5" s="5"/>
      <c r="G5" s="5"/>
    </row>
    <row r="6" spans="1:9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9" x14ac:dyDescent="0.25">
      <c r="A7" s="6">
        <v>1</v>
      </c>
      <c r="B7" s="10" t="s">
        <v>46</v>
      </c>
      <c r="C7" s="6"/>
      <c r="D7" s="6">
        <v>3000</v>
      </c>
      <c r="E7" s="6">
        <f>'DECEMBER 20'!H7:H20</f>
        <v>0</v>
      </c>
      <c r="F7" s="6">
        <f>C7+D7+E7</f>
        <v>3000</v>
      </c>
      <c r="G7" s="6">
        <f>3000</f>
        <v>3000</v>
      </c>
      <c r="H7" s="6">
        <f>F7-G7</f>
        <v>0</v>
      </c>
      <c r="I7" s="6"/>
    </row>
    <row r="8" spans="1:9" x14ac:dyDescent="0.25">
      <c r="A8" s="6">
        <v>2</v>
      </c>
      <c r="B8" s="6" t="s">
        <v>64</v>
      </c>
      <c r="C8" s="6">
        <v>1300</v>
      </c>
      <c r="D8" s="6">
        <v>2300</v>
      </c>
      <c r="E8" s="6"/>
      <c r="F8" s="6">
        <f t="shared" ref="F8:F21" si="0">C8+D8+E8</f>
        <v>3600</v>
      </c>
      <c r="G8" s="6">
        <f>2300</f>
        <v>2300</v>
      </c>
      <c r="H8" s="6">
        <f t="shared" ref="H8:H21" si="1">F8-G8</f>
        <v>1300</v>
      </c>
      <c r="I8" s="6"/>
    </row>
    <row r="9" spans="1:9" x14ac:dyDescent="0.25">
      <c r="A9" s="6">
        <v>3</v>
      </c>
      <c r="B9" s="6" t="s">
        <v>24</v>
      </c>
      <c r="C9" s="6"/>
      <c r="D9" s="6">
        <v>2500</v>
      </c>
      <c r="E9" s="6">
        <f>'DECEMBER 20'!H9:H22</f>
        <v>0</v>
      </c>
      <c r="F9" s="6">
        <f t="shared" si="0"/>
        <v>2500</v>
      </c>
      <c r="G9" s="6">
        <v>2500</v>
      </c>
      <c r="H9" s="6">
        <f t="shared" si="1"/>
        <v>0</v>
      </c>
      <c r="I9" s="6"/>
    </row>
    <row r="10" spans="1:9" x14ac:dyDescent="0.25">
      <c r="A10" s="6">
        <v>4</v>
      </c>
      <c r="B10" s="6" t="s">
        <v>37</v>
      </c>
      <c r="C10" s="6"/>
      <c r="D10" s="6">
        <v>2500</v>
      </c>
      <c r="E10" s="6">
        <f>'DECEMBER 20'!H10:H23</f>
        <v>0</v>
      </c>
      <c r="F10" s="6">
        <f t="shared" si="0"/>
        <v>2500</v>
      </c>
      <c r="G10" s="6">
        <f>2500</f>
        <v>2500</v>
      </c>
      <c r="H10" s="6">
        <f t="shared" si="1"/>
        <v>0</v>
      </c>
      <c r="I10" s="6"/>
    </row>
    <row r="11" spans="1:9" x14ac:dyDescent="0.25">
      <c r="A11" s="6">
        <v>5</v>
      </c>
      <c r="B11" s="10" t="s">
        <v>30</v>
      </c>
      <c r="C11" s="6"/>
      <c r="D11" s="6">
        <v>2500</v>
      </c>
      <c r="E11" s="6">
        <f>'DECEMBER 20'!H11:H24</f>
        <v>0</v>
      </c>
      <c r="F11" s="6">
        <f t="shared" si="0"/>
        <v>2500</v>
      </c>
      <c r="G11" s="6">
        <v>2000</v>
      </c>
      <c r="H11" s="6">
        <f t="shared" si="1"/>
        <v>500</v>
      </c>
      <c r="I11" s="6"/>
    </row>
    <row r="12" spans="1:9" x14ac:dyDescent="0.25">
      <c r="A12" s="6">
        <v>6</v>
      </c>
      <c r="B12" s="6" t="s">
        <v>26</v>
      </c>
      <c r="C12" s="6"/>
      <c r="D12" s="6">
        <v>2500</v>
      </c>
      <c r="E12" s="6">
        <f>'DECEMBER 20'!H12:H25</f>
        <v>0</v>
      </c>
      <c r="F12" s="6">
        <f t="shared" si="0"/>
        <v>2500</v>
      </c>
      <c r="G12" s="6">
        <f>2500</f>
        <v>2500</v>
      </c>
      <c r="H12" s="6">
        <f>F12-G12</f>
        <v>0</v>
      </c>
      <c r="I12" s="6"/>
    </row>
    <row r="13" spans="1:9" x14ac:dyDescent="0.25">
      <c r="A13" s="6">
        <v>7</v>
      </c>
      <c r="B13" s="10" t="s">
        <v>83</v>
      </c>
      <c r="C13" s="6">
        <v>900</v>
      </c>
      <c r="D13" s="6">
        <v>2300</v>
      </c>
      <c r="E13" s="6"/>
      <c r="F13" s="6">
        <f t="shared" si="0"/>
        <v>3200</v>
      </c>
      <c r="G13" s="8">
        <f>1500</f>
        <v>1500</v>
      </c>
      <c r="H13" s="6">
        <f t="shared" si="1"/>
        <v>1700</v>
      </c>
      <c r="I13" s="6"/>
    </row>
    <row r="14" spans="1:9" x14ac:dyDescent="0.25">
      <c r="A14" s="6">
        <v>8</v>
      </c>
      <c r="B14" s="9" t="s">
        <v>27</v>
      </c>
      <c r="C14" s="6"/>
      <c r="D14" s="6">
        <v>2000</v>
      </c>
      <c r="E14" s="6">
        <f>'DECEMBER 20'!H14:H27</f>
        <v>0</v>
      </c>
      <c r="F14" s="6">
        <f t="shared" si="0"/>
        <v>2000</v>
      </c>
      <c r="G14" s="6"/>
      <c r="H14" s="6">
        <f>F14-G14</f>
        <v>2000</v>
      </c>
      <c r="I14" s="6"/>
    </row>
    <row r="15" spans="1:9" x14ac:dyDescent="0.25">
      <c r="A15" s="6">
        <v>9</v>
      </c>
      <c r="B15" s="6" t="s">
        <v>28</v>
      </c>
      <c r="C15" s="6"/>
      <c r="D15" s="6">
        <v>4000</v>
      </c>
      <c r="E15" s="6">
        <f>'DECEMBER 20'!H15:H28</f>
        <v>0</v>
      </c>
      <c r="F15" s="6">
        <f t="shared" si="0"/>
        <v>4000</v>
      </c>
      <c r="G15" s="6">
        <v>4000</v>
      </c>
      <c r="H15" s="6">
        <f t="shared" si="1"/>
        <v>0</v>
      </c>
      <c r="I15" s="6"/>
    </row>
    <row r="16" spans="1:9" x14ac:dyDescent="0.25">
      <c r="A16" s="6">
        <v>10</v>
      </c>
      <c r="B16" s="6" t="s">
        <v>29</v>
      </c>
      <c r="C16" s="6"/>
      <c r="D16" s="6">
        <v>4000</v>
      </c>
      <c r="E16" s="6">
        <f>'DECEMBER 20'!H16:H29</f>
        <v>0</v>
      </c>
      <c r="F16" s="6">
        <f t="shared" si="0"/>
        <v>4000</v>
      </c>
      <c r="G16" s="6">
        <f>2000+1500</f>
        <v>3500</v>
      </c>
      <c r="H16" s="6">
        <f t="shared" si="1"/>
        <v>500</v>
      </c>
      <c r="I16" s="6"/>
    </row>
    <row r="17" spans="1:14" x14ac:dyDescent="0.25">
      <c r="A17" s="6">
        <v>11</v>
      </c>
      <c r="B17" s="6" t="s">
        <v>66</v>
      </c>
      <c r="C17" s="6">
        <v>2000</v>
      </c>
      <c r="D17" s="6">
        <v>4000</v>
      </c>
      <c r="E17" s="6"/>
      <c r="F17" s="6">
        <f t="shared" si="0"/>
        <v>6000</v>
      </c>
      <c r="G17" s="6">
        <f>4000</f>
        <v>4000</v>
      </c>
      <c r="H17" s="6">
        <f t="shared" si="1"/>
        <v>2000</v>
      </c>
      <c r="I17" s="6"/>
    </row>
    <row r="18" spans="1:14" x14ac:dyDescent="0.25">
      <c r="A18" s="6">
        <v>12</v>
      </c>
      <c r="B18" s="6" t="s">
        <v>38</v>
      </c>
      <c r="C18" s="6"/>
      <c r="D18" s="6"/>
      <c r="E18" s="6">
        <f>'DECEMBER 20'!H18:H31</f>
        <v>0</v>
      </c>
      <c r="F18" s="6">
        <f t="shared" si="0"/>
        <v>0</v>
      </c>
      <c r="G18" s="6"/>
      <c r="H18" s="6">
        <f t="shared" si="1"/>
        <v>0</v>
      </c>
      <c r="I18" s="6"/>
    </row>
    <row r="19" spans="1:14" x14ac:dyDescent="0.25">
      <c r="A19" s="6">
        <v>13</v>
      </c>
      <c r="B19" s="10" t="s">
        <v>38</v>
      </c>
      <c r="C19" s="6"/>
      <c r="D19" s="6"/>
      <c r="E19" s="6">
        <f>'DECEMBER 20'!H19:H32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14" x14ac:dyDescent="0.25">
      <c r="A20" s="6">
        <v>14</v>
      </c>
      <c r="B20" s="6" t="s">
        <v>35</v>
      </c>
      <c r="C20" s="6"/>
      <c r="D20" s="6">
        <v>3000</v>
      </c>
      <c r="E20" s="6">
        <f>'DECEMBER 20'!H20:H33</f>
        <v>1500</v>
      </c>
      <c r="F20" s="6">
        <f t="shared" si="0"/>
        <v>4500</v>
      </c>
      <c r="G20" s="6">
        <f>1500+2000</f>
        <v>3500</v>
      </c>
      <c r="H20" s="6">
        <f t="shared" si="1"/>
        <v>1000</v>
      </c>
      <c r="I20" s="6"/>
    </row>
    <row r="21" spans="1:14" x14ac:dyDescent="0.25">
      <c r="A21" s="6"/>
      <c r="B21" s="10"/>
      <c r="C21" s="6"/>
      <c r="D21" s="6"/>
      <c r="E21" s="6">
        <f>NOVEMBER20!H21:H35</f>
        <v>0</v>
      </c>
      <c r="F21" s="6">
        <f t="shared" si="0"/>
        <v>0</v>
      </c>
      <c r="G21" s="6"/>
      <c r="H21" s="6">
        <f t="shared" si="1"/>
        <v>0</v>
      </c>
      <c r="I21" s="6"/>
      <c r="M21">
        <f>D22</f>
        <v>34600</v>
      </c>
    </row>
    <row r="22" spans="1:14" x14ac:dyDescent="0.25">
      <c r="A22" s="6"/>
      <c r="B22" s="11" t="s">
        <v>10</v>
      </c>
      <c r="C22" s="11">
        <f t="shared" ref="C22:H22" si="2">SUM(C7:C21)</f>
        <v>4200</v>
      </c>
      <c r="D22" s="7">
        <f t="shared" si="2"/>
        <v>34600</v>
      </c>
      <c r="E22" s="6">
        <f>SUM(E7:E21)</f>
        <v>1500</v>
      </c>
      <c r="F22" s="6">
        <f t="shared" si="2"/>
        <v>40300</v>
      </c>
      <c r="G22" s="7">
        <f>SUM(G7:G21)</f>
        <v>31300</v>
      </c>
      <c r="H22" s="7">
        <f t="shared" si="2"/>
        <v>9000</v>
      </c>
      <c r="I22" s="7">
        <f>SUM(I7:I21)</f>
        <v>0</v>
      </c>
      <c r="M22">
        <f>D30</f>
        <v>3460</v>
      </c>
    </row>
    <row r="23" spans="1:14" x14ac:dyDescent="0.25">
      <c r="A23" s="9">
        <v>15</v>
      </c>
      <c r="E23" s="6">
        <f>'SEPTEMBER 20'!H23:H38</f>
        <v>0</v>
      </c>
      <c r="M23">
        <f>M21-M22</f>
        <v>31140</v>
      </c>
      <c r="N23">
        <f>M23-2820</f>
        <v>28320</v>
      </c>
    </row>
    <row r="24" spans="1:14" ht="18.75" x14ac:dyDescent="0.3">
      <c r="B24" s="12" t="s">
        <v>11</v>
      </c>
      <c r="C24" s="13"/>
      <c r="D24" s="13"/>
      <c r="E24" s="13"/>
      <c r="F24" s="13"/>
      <c r="G24" s="14"/>
      <c r="H24" s="14"/>
      <c r="M24">
        <f>M23-D33</f>
        <v>13140</v>
      </c>
    </row>
    <row r="25" spans="1:14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  <c r="M25">
        <f>M24-2820</f>
        <v>10320</v>
      </c>
    </row>
    <row r="26" spans="1:14" x14ac:dyDescent="0.25">
      <c r="B26" s="10" t="s">
        <v>60</v>
      </c>
      <c r="C26">
        <f>D22</f>
        <v>34600</v>
      </c>
      <c r="D26" s="17"/>
      <c r="E26" s="16"/>
      <c r="F26" s="18" t="s">
        <v>60</v>
      </c>
      <c r="G26" s="16">
        <f>G22+801</f>
        <v>32101</v>
      </c>
      <c r="H26" s="17"/>
      <c r="I26" s="10"/>
    </row>
    <row r="27" spans="1:14" x14ac:dyDescent="0.25">
      <c r="B27" s="10" t="s">
        <v>18</v>
      </c>
      <c r="C27" s="16">
        <f>'DECEMBER 20'!E37</f>
        <v>12180</v>
      </c>
      <c r="D27" s="10"/>
      <c r="E27" s="10"/>
      <c r="F27" s="10" t="s">
        <v>18</v>
      </c>
      <c r="G27" s="16">
        <f>'DECEMBER 20'!I37</f>
        <v>5679</v>
      </c>
      <c r="H27" s="10"/>
      <c r="I27" s="10"/>
    </row>
    <row r="28" spans="1:14" x14ac:dyDescent="0.25">
      <c r="B28" s="10" t="s">
        <v>3</v>
      </c>
      <c r="C28" s="10"/>
      <c r="D28" s="10"/>
      <c r="E28" s="10"/>
      <c r="F28" s="10"/>
      <c r="G28" s="16"/>
      <c r="H28" s="16"/>
      <c r="I28" s="10"/>
    </row>
    <row r="29" spans="1:14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  <c r="L29" s="26">
        <f>C26+C27</f>
        <v>46780</v>
      </c>
    </row>
    <row r="30" spans="1:14" x14ac:dyDescent="0.25">
      <c r="B30" s="10" t="s">
        <v>20</v>
      </c>
      <c r="C30" s="17">
        <v>0.1</v>
      </c>
      <c r="D30" s="10">
        <f>C30*C26</f>
        <v>3460</v>
      </c>
      <c r="E30" s="10"/>
      <c r="F30" s="10" t="s">
        <v>20</v>
      </c>
      <c r="G30" s="17">
        <v>0.1</v>
      </c>
      <c r="H30" s="10">
        <f>C30*C26</f>
        <v>3460</v>
      </c>
      <c r="I30" s="10"/>
      <c r="L30" s="26">
        <f>L29-D30</f>
        <v>43320</v>
      </c>
    </row>
    <row r="31" spans="1:14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  <c r="L31">
        <f>D32+D33+D35+D34</f>
        <v>41000</v>
      </c>
    </row>
    <row r="32" spans="1:14" x14ac:dyDescent="0.25">
      <c r="B32" s="20" t="s">
        <v>81</v>
      </c>
      <c r="C32" s="17"/>
      <c r="D32" s="10">
        <v>15000</v>
      </c>
      <c r="E32" s="10"/>
      <c r="F32" s="20" t="s">
        <v>80</v>
      </c>
      <c r="G32" s="17"/>
      <c r="H32" s="10">
        <v>15000</v>
      </c>
      <c r="I32" s="10"/>
      <c r="L32" s="26">
        <f>L30-L31</f>
        <v>2320</v>
      </c>
    </row>
    <row r="33" spans="2:11" x14ac:dyDescent="0.25">
      <c r="B33" s="6" t="s">
        <v>82</v>
      </c>
      <c r="C33" s="6"/>
      <c r="D33" s="6">
        <v>18000</v>
      </c>
      <c r="E33" s="6"/>
      <c r="F33" s="6" t="s">
        <v>82</v>
      </c>
      <c r="G33" s="6"/>
      <c r="H33" s="6">
        <v>18000</v>
      </c>
      <c r="I33" s="10"/>
    </row>
    <row r="34" spans="2:11" x14ac:dyDescent="0.25">
      <c r="B34" s="20" t="s">
        <v>85</v>
      </c>
      <c r="C34" s="10"/>
      <c r="D34" s="10">
        <v>4000</v>
      </c>
      <c r="E34" s="10"/>
      <c r="F34" s="20" t="s">
        <v>85</v>
      </c>
      <c r="G34" s="10"/>
      <c r="H34" s="10">
        <v>4000</v>
      </c>
      <c r="I34" s="10"/>
      <c r="J34" s="26"/>
    </row>
    <row r="35" spans="2:11" x14ac:dyDescent="0.25">
      <c r="B35" s="20" t="s">
        <v>84</v>
      </c>
      <c r="C35" s="10"/>
      <c r="D35" s="10">
        <v>4000</v>
      </c>
      <c r="E35" s="10"/>
      <c r="F35" s="20" t="s">
        <v>84</v>
      </c>
      <c r="G35" s="10"/>
      <c r="H35" s="10">
        <v>4000</v>
      </c>
      <c r="I35" s="10"/>
    </row>
    <row r="36" spans="2:11" x14ac:dyDescent="0.25">
      <c r="B36" s="20"/>
      <c r="C36" s="16"/>
      <c r="D36" s="16"/>
      <c r="E36" s="16"/>
      <c r="F36" s="20"/>
      <c r="G36" s="16"/>
      <c r="H36" s="16"/>
      <c r="I36" s="10"/>
    </row>
    <row r="37" spans="2:11" x14ac:dyDescent="0.25">
      <c r="B37" s="22" t="s">
        <v>10</v>
      </c>
      <c r="C37" s="26">
        <f>C26+C27+C28-D30</f>
        <v>43320</v>
      </c>
      <c r="D37" s="22">
        <f>SUM(D32:D36)</f>
        <v>41000</v>
      </c>
      <c r="E37" s="23">
        <f>C37-D37</f>
        <v>2320</v>
      </c>
      <c r="F37" s="24"/>
      <c r="G37" s="23">
        <f>G26+G27-H30</f>
        <v>34320</v>
      </c>
      <c r="H37" s="23">
        <f>SUM(H32:H36)</f>
        <v>41000</v>
      </c>
      <c r="I37" s="23">
        <f>G37-H37</f>
        <v>-6680</v>
      </c>
    </row>
    <row r="38" spans="2:11" x14ac:dyDescent="0.25">
      <c r="K38" s="26">
        <f>E37-I37</f>
        <v>9000</v>
      </c>
    </row>
    <row r="40" spans="2:11" x14ac:dyDescent="0.25">
      <c r="G40" s="26">
        <f>E37-I37</f>
        <v>9000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0"/>
  <sheetViews>
    <sheetView topLeftCell="A4" workbookViewId="0">
      <selection activeCell="G14" sqref="G14"/>
    </sheetView>
  </sheetViews>
  <sheetFormatPr defaultRowHeight="15" x14ac:dyDescent="0.25"/>
  <cols>
    <col min="2" max="2" width="18.5703125" customWidth="1"/>
  </cols>
  <sheetData>
    <row r="3" spans="1:9" ht="18.75" x14ac:dyDescent="0.25">
      <c r="D3" s="1" t="s">
        <v>22</v>
      </c>
      <c r="E3" s="2"/>
      <c r="F3" s="3"/>
      <c r="G3" s="4"/>
    </row>
    <row r="4" spans="1:9" ht="18.75" x14ac:dyDescent="0.25">
      <c r="D4" s="1" t="s">
        <v>0</v>
      </c>
      <c r="E4" s="1"/>
      <c r="F4" s="5"/>
      <c r="G4" s="5"/>
    </row>
    <row r="5" spans="1:9" ht="18.75" x14ac:dyDescent="0.25">
      <c r="D5" s="1" t="s">
        <v>86</v>
      </c>
      <c r="E5" s="1"/>
      <c r="F5" s="5"/>
      <c r="G5" s="5"/>
    </row>
    <row r="6" spans="1:9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9" x14ac:dyDescent="0.25">
      <c r="A7" s="6">
        <v>1</v>
      </c>
      <c r="B7" s="10" t="s">
        <v>46</v>
      </c>
      <c r="C7" s="6"/>
      <c r="D7" s="6">
        <v>3000</v>
      </c>
      <c r="E7" s="6">
        <f>'JANUARY 21'!H7:H22</f>
        <v>0</v>
      </c>
      <c r="F7" s="6">
        <f>C7+D7+E7</f>
        <v>3000</v>
      </c>
      <c r="G7" s="6">
        <f>3000</f>
        <v>3000</v>
      </c>
      <c r="H7" s="6">
        <f>F7-G7</f>
        <v>0</v>
      </c>
      <c r="I7" s="6"/>
    </row>
    <row r="8" spans="1:9" x14ac:dyDescent="0.25">
      <c r="A8" s="6">
        <v>2</v>
      </c>
      <c r="B8" s="6" t="s">
        <v>64</v>
      </c>
      <c r="C8" s="6">
        <v>1300</v>
      </c>
      <c r="D8" s="6">
        <v>2300</v>
      </c>
      <c r="E8" s="6"/>
      <c r="F8" s="6">
        <f t="shared" ref="F8:F21" si="0">C8+D8+E8</f>
        <v>3600</v>
      </c>
      <c r="G8" s="6">
        <f>2300</f>
        <v>2300</v>
      </c>
      <c r="H8" s="6">
        <f t="shared" ref="H8:H21" si="1">F8-G8</f>
        <v>1300</v>
      </c>
      <c r="I8" s="6"/>
    </row>
    <row r="9" spans="1:9" x14ac:dyDescent="0.25">
      <c r="A9" s="6">
        <v>3</v>
      </c>
      <c r="B9" s="6" t="s">
        <v>24</v>
      </c>
      <c r="C9" s="6"/>
      <c r="D9" s="6">
        <v>2500</v>
      </c>
      <c r="E9" s="6">
        <f>'JANUARY 21'!H9:H24</f>
        <v>0</v>
      </c>
      <c r="F9" s="6">
        <f t="shared" si="0"/>
        <v>2500</v>
      </c>
      <c r="G9" s="6">
        <v>2500</v>
      </c>
      <c r="H9" s="6">
        <f t="shared" si="1"/>
        <v>0</v>
      </c>
      <c r="I9" s="6"/>
    </row>
    <row r="10" spans="1:9" x14ac:dyDescent="0.25">
      <c r="A10" s="6">
        <v>4</v>
      </c>
      <c r="B10" s="6" t="s">
        <v>37</v>
      </c>
      <c r="C10" s="6"/>
      <c r="D10" s="6">
        <v>2500</v>
      </c>
      <c r="E10" s="6">
        <f>'JANUARY 21'!H10:H25</f>
        <v>0</v>
      </c>
      <c r="F10" s="6">
        <f t="shared" si="0"/>
        <v>2500</v>
      </c>
      <c r="G10" s="6">
        <f>2500</f>
        <v>2500</v>
      </c>
      <c r="H10" s="6">
        <f t="shared" si="1"/>
        <v>0</v>
      </c>
      <c r="I10" s="6"/>
    </row>
    <row r="11" spans="1:9" x14ac:dyDescent="0.25">
      <c r="A11" s="6">
        <v>5</v>
      </c>
      <c r="B11" s="10" t="s">
        <v>30</v>
      </c>
      <c r="C11" s="6"/>
      <c r="D11" s="6">
        <v>2500</v>
      </c>
      <c r="E11" s="6">
        <f>'JANUARY 21'!H11:H26</f>
        <v>500</v>
      </c>
      <c r="F11" s="6">
        <f t="shared" si="0"/>
        <v>3000</v>
      </c>
      <c r="G11" s="6">
        <f>2500+500</f>
        <v>3000</v>
      </c>
      <c r="H11" s="6">
        <f t="shared" si="1"/>
        <v>0</v>
      </c>
      <c r="I11" s="6"/>
    </row>
    <row r="12" spans="1:9" x14ac:dyDescent="0.25">
      <c r="A12" s="6">
        <v>6</v>
      </c>
      <c r="B12" s="6" t="s">
        <v>26</v>
      </c>
      <c r="C12" s="6"/>
      <c r="D12" s="6">
        <v>2500</v>
      </c>
      <c r="E12" s="6">
        <f>'JANUARY 21'!H12:H27</f>
        <v>0</v>
      </c>
      <c r="F12" s="6">
        <f t="shared" si="0"/>
        <v>2500</v>
      </c>
      <c r="G12" s="6">
        <v>2500</v>
      </c>
      <c r="H12" s="6">
        <f>F12-G12</f>
        <v>0</v>
      </c>
      <c r="I12" s="6"/>
    </row>
    <row r="13" spans="1:9" x14ac:dyDescent="0.25">
      <c r="A13" s="6">
        <v>7</v>
      </c>
      <c r="B13" s="10" t="s">
        <v>83</v>
      </c>
      <c r="C13" s="6">
        <v>900</v>
      </c>
      <c r="D13" s="6">
        <v>2300</v>
      </c>
      <c r="E13" s="6">
        <v>800</v>
      </c>
      <c r="F13" s="6">
        <f t="shared" si="0"/>
        <v>4000</v>
      </c>
      <c r="G13" s="8">
        <f>1800+1000</f>
        <v>2800</v>
      </c>
      <c r="H13" s="6">
        <f t="shared" si="1"/>
        <v>1200</v>
      </c>
      <c r="I13" s="6"/>
    </row>
    <row r="14" spans="1:9" x14ac:dyDescent="0.25">
      <c r="A14" s="6">
        <v>8</v>
      </c>
      <c r="B14" s="9" t="s">
        <v>27</v>
      </c>
      <c r="C14" s="6"/>
      <c r="D14" s="6">
        <v>2000</v>
      </c>
      <c r="E14" s="6">
        <f>'JANUARY 21'!H14:H29</f>
        <v>2000</v>
      </c>
      <c r="F14" s="6">
        <f t="shared" si="0"/>
        <v>4000</v>
      </c>
      <c r="G14" s="6">
        <f>1000</f>
        <v>1000</v>
      </c>
      <c r="H14" s="6">
        <f>F14-G14</f>
        <v>3000</v>
      </c>
      <c r="I14" s="6"/>
    </row>
    <row r="15" spans="1:9" x14ac:dyDescent="0.25">
      <c r="A15" s="6">
        <v>9</v>
      </c>
      <c r="B15" s="6" t="s">
        <v>28</v>
      </c>
      <c r="C15" s="6"/>
      <c r="D15" s="6">
        <v>4000</v>
      </c>
      <c r="E15" s="6">
        <f>'JANUARY 21'!H15:H30</f>
        <v>0</v>
      </c>
      <c r="F15" s="6">
        <f t="shared" si="0"/>
        <v>4000</v>
      </c>
      <c r="G15" s="6">
        <f>4000</f>
        <v>4000</v>
      </c>
      <c r="H15" s="6">
        <f t="shared" si="1"/>
        <v>0</v>
      </c>
      <c r="I15" s="6"/>
    </row>
    <row r="16" spans="1:9" x14ac:dyDescent="0.25">
      <c r="A16" s="6">
        <v>10</v>
      </c>
      <c r="B16" s="6" t="s">
        <v>29</v>
      </c>
      <c r="C16" s="6"/>
      <c r="D16" s="6">
        <v>4000</v>
      </c>
      <c r="E16" s="6">
        <f>'JANUARY 21'!H16:H31</f>
        <v>500</v>
      </c>
      <c r="F16" s="6">
        <f t="shared" si="0"/>
        <v>4500</v>
      </c>
      <c r="G16" s="6">
        <f>1500+1000+500</f>
        <v>3000</v>
      </c>
      <c r="H16" s="6">
        <f t="shared" si="1"/>
        <v>1500</v>
      </c>
      <c r="I16" s="6"/>
    </row>
    <row r="17" spans="1:13" x14ac:dyDescent="0.25">
      <c r="A17" s="6">
        <v>11</v>
      </c>
      <c r="B17" s="6" t="s">
        <v>66</v>
      </c>
      <c r="C17" s="6">
        <v>2000</v>
      </c>
      <c r="D17" s="6">
        <v>4000</v>
      </c>
      <c r="E17" s="6"/>
      <c r="F17" s="6">
        <f t="shared" si="0"/>
        <v>6000</v>
      </c>
      <c r="G17" s="6">
        <v>4000</v>
      </c>
      <c r="H17" s="6">
        <f t="shared" si="1"/>
        <v>2000</v>
      </c>
      <c r="I17" s="6"/>
    </row>
    <row r="18" spans="1:13" x14ac:dyDescent="0.25">
      <c r="A18" s="6">
        <v>12</v>
      </c>
      <c r="B18" s="6" t="s">
        <v>38</v>
      </c>
      <c r="C18" s="6"/>
      <c r="D18" s="6"/>
      <c r="E18" s="6">
        <f>'JANUARY 21'!H18:H33</f>
        <v>0</v>
      </c>
      <c r="F18" s="6">
        <f t="shared" si="0"/>
        <v>0</v>
      </c>
      <c r="G18" s="6"/>
      <c r="H18" s="6">
        <f t="shared" si="1"/>
        <v>0</v>
      </c>
      <c r="I18" s="6"/>
    </row>
    <row r="19" spans="1:13" x14ac:dyDescent="0.25">
      <c r="A19" s="6">
        <v>13</v>
      </c>
      <c r="B19" s="10" t="s">
        <v>38</v>
      </c>
      <c r="C19" s="6"/>
      <c r="D19" s="6"/>
      <c r="E19" s="6">
        <f>'JANUARY 21'!H19:H34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13" x14ac:dyDescent="0.25">
      <c r="A20" s="6">
        <v>14</v>
      </c>
      <c r="B20" s="6" t="s">
        <v>35</v>
      </c>
      <c r="C20" s="6"/>
      <c r="D20" s="6">
        <v>3000</v>
      </c>
      <c r="E20" s="6">
        <f>'JANUARY 21'!H20:H35</f>
        <v>1000</v>
      </c>
      <c r="F20" s="6">
        <f t="shared" si="0"/>
        <v>4000</v>
      </c>
      <c r="G20" s="6">
        <f>400+3000</f>
        <v>3400</v>
      </c>
      <c r="H20" s="6">
        <f t="shared" si="1"/>
        <v>600</v>
      </c>
      <c r="I20" s="6"/>
    </row>
    <row r="21" spans="1:13" x14ac:dyDescent="0.25">
      <c r="A21" s="6"/>
      <c r="B21" s="10"/>
      <c r="C21" s="6"/>
      <c r="D21" s="6"/>
      <c r="E21" s="6">
        <f>'JANUARY 21'!H21:H36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13" x14ac:dyDescent="0.25">
      <c r="A22" s="6"/>
      <c r="B22" s="11" t="s">
        <v>10</v>
      </c>
      <c r="C22" s="11">
        <f t="shared" ref="C22:H22" si="2">SUM(C7:C21)</f>
        <v>4200</v>
      </c>
      <c r="D22" s="7">
        <f t="shared" si="2"/>
        <v>34600</v>
      </c>
      <c r="E22" s="6">
        <f>'JANUARY 21'!H22:H37</f>
        <v>9000</v>
      </c>
      <c r="F22" s="6">
        <f t="shared" si="2"/>
        <v>43600</v>
      </c>
      <c r="G22" s="7">
        <f>SUM(G7:G21)</f>
        <v>34000</v>
      </c>
      <c r="H22" s="7">
        <f t="shared" si="2"/>
        <v>9600</v>
      </c>
      <c r="I22" s="7">
        <f>SUM(I7:I21)</f>
        <v>0</v>
      </c>
    </row>
    <row r="23" spans="1:13" x14ac:dyDescent="0.25">
      <c r="A23" s="9">
        <v>15</v>
      </c>
      <c r="E23" s="6">
        <f>'SEPTEMBER 20'!H23:H38</f>
        <v>0</v>
      </c>
    </row>
    <row r="24" spans="1:13" ht="18.75" x14ac:dyDescent="0.3">
      <c r="B24" s="12" t="s">
        <v>11</v>
      </c>
      <c r="C24" s="13"/>
      <c r="D24" s="13"/>
      <c r="E24" s="13"/>
      <c r="F24" s="13"/>
      <c r="G24" s="14"/>
      <c r="H24" s="14"/>
      <c r="L24">
        <f>12000/30</f>
        <v>400</v>
      </c>
    </row>
    <row r="25" spans="1:13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  <c r="L25">
        <f>L24*6</f>
        <v>2400</v>
      </c>
    </row>
    <row r="26" spans="1:13" x14ac:dyDescent="0.25">
      <c r="B26" s="10" t="s">
        <v>87</v>
      </c>
      <c r="C26">
        <f>D22</f>
        <v>34600</v>
      </c>
      <c r="D26" s="17"/>
      <c r="E26" s="16"/>
      <c r="F26" s="18" t="s">
        <v>87</v>
      </c>
      <c r="G26" s="16">
        <f>G22</f>
        <v>34000</v>
      </c>
      <c r="H26" s="17"/>
      <c r="I26" s="10"/>
      <c r="L26">
        <v>6550</v>
      </c>
    </row>
    <row r="27" spans="1:13" x14ac:dyDescent="0.25">
      <c r="B27" s="10" t="s">
        <v>18</v>
      </c>
      <c r="C27" s="16">
        <f>'JANUARY 21'!E37</f>
        <v>2320</v>
      </c>
      <c r="D27" s="10"/>
      <c r="E27" s="10"/>
      <c r="F27" s="10" t="s">
        <v>18</v>
      </c>
      <c r="G27" s="16">
        <f>'JANUARY 21'!I37</f>
        <v>-6680</v>
      </c>
      <c r="H27" s="10"/>
      <c r="I27" s="10"/>
      <c r="L27">
        <f>L25+L26</f>
        <v>8950</v>
      </c>
    </row>
    <row r="28" spans="1:13" x14ac:dyDescent="0.25">
      <c r="B28" s="10" t="s">
        <v>3</v>
      </c>
      <c r="C28" s="10"/>
      <c r="D28" s="10"/>
      <c r="E28" s="10"/>
      <c r="F28" s="10"/>
      <c r="G28" s="16"/>
      <c r="H28" s="16"/>
      <c r="I28" s="10"/>
    </row>
    <row r="29" spans="1:13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</row>
    <row r="30" spans="1:13" x14ac:dyDescent="0.25">
      <c r="B30" s="10" t="s">
        <v>20</v>
      </c>
      <c r="C30" s="17">
        <v>0.1</v>
      </c>
      <c r="D30" s="10">
        <f>C30*C26</f>
        <v>3460</v>
      </c>
      <c r="E30" s="10"/>
      <c r="F30" s="10" t="s">
        <v>20</v>
      </c>
      <c r="G30" s="17">
        <v>0.1</v>
      </c>
      <c r="H30" s="10">
        <f>C30*C26</f>
        <v>3460</v>
      </c>
      <c r="I30" s="10"/>
    </row>
    <row r="31" spans="1:13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  <c r="M31" s="26">
        <f>C26+C27</f>
        <v>36920</v>
      </c>
    </row>
    <row r="32" spans="1:13" x14ac:dyDescent="0.25">
      <c r="B32" s="20" t="s">
        <v>88</v>
      </c>
      <c r="C32" s="17"/>
      <c r="D32" s="10">
        <v>4000</v>
      </c>
      <c r="E32" s="10"/>
      <c r="F32" s="20" t="s">
        <v>88</v>
      </c>
      <c r="G32" s="17"/>
      <c r="H32" s="10">
        <v>4000</v>
      </c>
      <c r="I32" s="10"/>
      <c r="M32" s="26">
        <f>M31-D30</f>
        <v>33460</v>
      </c>
    </row>
    <row r="33" spans="2:13" x14ac:dyDescent="0.25">
      <c r="B33" s="6" t="s">
        <v>89</v>
      </c>
      <c r="C33" s="6"/>
      <c r="D33" s="6">
        <v>5000</v>
      </c>
      <c r="E33" s="6"/>
      <c r="F33" s="6" t="s">
        <v>89</v>
      </c>
      <c r="G33" s="6"/>
      <c r="H33" s="6">
        <v>5000</v>
      </c>
      <c r="I33" s="10"/>
      <c r="M33" s="26">
        <f>D32+D33+D34+D35+D36</f>
        <v>29000</v>
      </c>
    </row>
    <row r="34" spans="2:13" x14ac:dyDescent="0.25">
      <c r="B34" s="20" t="s">
        <v>89</v>
      </c>
      <c r="C34" s="10"/>
      <c r="D34" s="10">
        <v>12000</v>
      </c>
      <c r="E34" s="10"/>
      <c r="F34" s="20" t="s">
        <v>89</v>
      </c>
      <c r="G34" s="10"/>
      <c r="H34" s="10">
        <v>12000</v>
      </c>
      <c r="I34" s="10"/>
      <c r="K34" s="26"/>
      <c r="M34" s="26">
        <f>M32-M33</f>
        <v>4460</v>
      </c>
    </row>
    <row r="35" spans="2:13" x14ac:dyDescent="0.25">
      <c r="B35" s="20" t="s">
        <v>90</v>
      </c>
      <c r="C35" s="10"/>
      <c r="D35" s="10">
        <v>5000</v>
      </c>
      <c r="E35" s="10"/>
      <c r="F35" s="20" t="s">
        <v>90</v>
      </c>
      <c r="G35" s="10"/>
      <c r="H35" s="10">
        <v>5000</v>
      </c>
      <c r="I35" s="10"/>
    </row>
    <row r="36" spans="2:13" x14ac:dyDescent="0.25">
      <c r="B36" s="20" t="s">
        <v>91</v>
      </c>
      <c r="C36" s="16"/>
      <c r="D36" s="16">
        <v>3000</v>
      </c>
      <c r="E36" s="16"/>
      <c r="F36" s="20" t="s">
        <v>91</v>
      </c>
      <c r="G36" s="16"/>
      <c r="H36" s="16">
        <v>3000</v>
      </c>
      <c r="I36" s="10"/>
    </row>
    <row r="37" spans="2:13" x14ac:dyDescent="0.25">
      <c r="B37" s="22" t="s">
        <v>10</v>
      </c>
      <c r="C37" s="26">
        <f>C26+C27+C28-D30</f>
        <v>33460</v>
      </c>
      <c r="D37" s="22">
        <f>SUM(D32:D36)</f>
        <v>29000</v>
      </c>
      <c r="E37" s="23">
        <f>C37-D37</f>
        <v>4460</v>
      </c>
      <c r="F37" s="24"/>
      <c r="G37" s="23">
        <f>G26+G27-H30</f>
        <v>23860</v>
      </c>
      <c r="H37" s="23">
        <f>SUM(H32:H36)</f>
        <v>29000</v>
      </c>
      <c r="I37" s="23">
        <f>G37-H37</f>
        <v>-5140</v>
      </c>
    </row>
    <row r="40" spans="2:13" x14ac:dyDescent="0.25">
      <c r="H40" s="26">
        <f>E37-I37</f>
        <v>9600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0"/>
  <sheetViews>
    <sheetView topLeftCell="A4" workbookViewId="0">
      <selection activeCell="G13" sqref="G13"/>
    </sheetView>
  </sheetViews>
  <sheetFormatPr defaultRowHeight="15" x14ac:dyDescent="0.25"/>
  <cols>
    <col min="1" max="1" width="6.42578125" customWidth="1"/>
    <col min="2" max="2" width="17" customWidth="1"/>
    <col min="3" max="3" width="12.28515625" customWidth="1"/>
  </cols>
  <sheetData>
    <row r="3" spans="1:11" ht="18.75" x14ac:dyDescent="0.25">
      <c r="D3" s="1" t="s">
        <v>22</v>
      </c>
      <c r="E3" s="2"/>
      <c r="F3" s="3"/>
      <c r="G3" s="4"/>
    </row>
    <row r="4" spans="1:11" ht="18.75" x14ac:dyDescent="0.25">
      <c r="D4" s="1" t="s">
        <v>0</v>
      </c>
      <c r="E4" s="1"/>
      <c r="F4" s="5"/>
      <c r="G4" s="5"/>
    </row>
    <row r="5" spans="1:11" ht="18.75" x14ac:dyDescent="0.25">
      <c r="D5" s="1" t="s">
        <v>98</v>
      </c>
      <c r="E5" s="1"/>
      <c r="F5" s="5"/>
      <c r="G5" s="5"/>
    </row>
    <row r="6" spans="1:11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11" x14ac:dyDescent="0.25">
      <c r="A7" s="6">
        <v>1</v>
      </c>
      <c r="B7" s="10" t="s">
        <v>46</v>
      </c>
      <c r="C7" s="6"/>
      <c r="D7" s="6">
        <v>3000</v>
      </c>
      <c r="E7" s="6">
        <f>FEBRUARY21!H7:H21</f>
        <v>0</v>
      </c>
      <c r="F7" s="6">
        <f>C7+D7+E7</f>
        <v>3000</v>
      </c>
      <c r="G7" s="6">
        <v>3000</v>
      </c>
      <c r="H7" s="6">
        <f>F7-G7</f>
        <v>0</v>
      </c>
      <c r="I7" s="6"/>
    </row>
    <row r="8" spans="1:11" x14ac:dyDescent="0.25">
      <c r="A8" s="6">
        <v>2</v>
      </c>
      <c r="B8" s="6" t="s">
        <v>64</v>
      </c>
      <c r="C8" s="6">
        <v>1300</v>
      </c>
      <c r="D8" s="6">
        <v>2300</v>
      </c>
      <c r="E8" s="6"/>
      <c r="F8" s="6">
        <f t="shared" ref="F8:F21" si="0">C8+D8+E8</f>
        <v>3600</v>
      </c>
      <c r="G8" s="6">
        <f>2300</f>
        <v>2300</v>
      </c>
      <c r="H8" s="6">
        <f t="shared" ref="H8:H21" si="1">F8-G8</f>
        <v>1300</v>
      </c>
      <c r="I8" s="6"/>
    </row>
    <row r="9" spans="1:11" x14ac:dyDescent="0.25">
      <c r="A9" s="6">
        <v>3</v>
      </c>
      <c r="B9" s="6" t="s">
        <v>24</v>
      </c>
      <c r="C9" s="6"/>
      <c r="D9" s="6">
        <v>2500</v>
      </c>
      <c r="E9" s="6">
        <f>FEBRUARY21!H9:H23</f>
        <v>0</v>
      </c>
      <c r="F9" s="6">
        <f t="shared" si="0"/>
        <v>2500</v>
      </c>
      <c r="G9" s="6">
        <f>2500</f>
        <v>2500</v>
      </c>
      <c r="H9" s="6">
        <f t="shared" si="1"/>
        <v>0</v>
      </c>
      <c r="I9" s="6"/>
    </row>
    <row r="10" spans="1:11" x14ac:dyDescent="0.25">
      <c r="A10" s="6">
        <v>4</v>
      </c>
      <c r="B10" s="6" t="s">
        <v>37</v>
      </c>
      <c r="C10" s="6"/>
      <c r="D10" s="6">
        <v>2500</v>
      </c>
      <c r="E10" s="6">
        <f>FEBRUARY21!H10:H24</f>
        <v>0</v>
      </c>
      <c r="F10" s="6">
        <f t="shared" si="0"/>
        <v>2500</v>
      </c>
      <c r="G10" s="6"/>
      <c r="H10" s="6">
        <f t="shared" si="1"/>
        <v>2500</v>
      </c>
      <c r="I10" s="6"/>
      <c r="J10" t="s">
        <v>104</v>
      </c>
    </row>
    <row r="11" spans="1:11" x14ac:dyDescent="0.25">
      <c r="A11" s="6">
        <v>5</v>
      </c>
      <c r="B11" s="10" t="s">
        <v>30</v>
      </c>
      <c r="C11" s="6"/>
      <c r="D11" s="6">
        <v>2500</v>
      </c>
      <c r="E11" s="6">
        <f>FEBRUARY21!H11:H25</f>
        <v>0</v>
      </c>
      <c r="F11" s="6">
        <f t="shared" si="0"/>
        <v>2500</v>
      </c>
      <c r="G11" s="6">
        <v>2500</v>
      </c>
      <c r="H11" s="6">
        <f t="shared" si="1"/>
        <v>0</v>
      </c>
      <c r="I11" s="6"/>
    </row>
    <row r="12" spans="1:11" x14ac:dyDescent="0.25">
      <c r="A12" s="6">
        <v>6</v>
      </c>
      <c r="B12" s="6" t="s">
        <v>26</v>
      </c>
      <c r="C12" s="6"/>
      <c r="D12" s="6">
        <v>2500</v>
      </c>
      <c r="E12" s="6">
        <f>FEBRUARY21!H12:H26</f>
        <v>0</v>
      </c>
      <c r="F12" s="6">
        <f t="shared" si="0"/>
        <v>2500</v>
      </c>
      <c r="G12" s="6">
        <f>2500</f>
        <v>2500</v>
      </c>
      <c r="H12" s="6">
        <f>F12-G12</f>
        <v>0</v>
      </c>
      <c r="I12" s="6"/>
    </row>
    <row r="13" spans="1:11" x14ac:dyDescent="0.25">
      <c r="A13" s="6">
        <v>7</v>
      </c>
      <c r="B13" s="10" t="s">
        <v>83</v>
      </c>
      <c r="C13" s="6">
        <v>900</v>
      </c>
      <c r="D13" s="6">
        <v>2300</v>
      </c>
      <c r="E13" s="6">
        <f>FEBRUARY21!H13:H27</f>
        <v>1200</v>
      </c>
      <c r="F13" s="6">
        <f t="shared" si="0"/>
        <v>4400</v>
      </c>
      <c r="G13" s="8"/>
      <c r="H13" s="6">
        <f>F13-G13</f>
        <v>4400</v>
      </c>
      <c r="I13" s="6"/>
    </row>
    <row r="14" spans="1:11" x14ac:dyDescent="0.25">
      <c r="A14" s="6">
        <v>8</v>
      </c>
      <c r="B14" s="9" t="s">
        <v>27</v>
      </c>
      <c r="C14" s="6"/>
      <c r="D14" s="6">
        <v>2000</v>
      </c>
      <c r="E14" s="6">
        <f>FEBRUARY21!H14:H28</f>
        <v>3000</v>
      </c>
      <c r="F14" s="6">
        <f t="shared" si="0"/>
        <v>5000</v>
      </c>
      <c r="G14" s="6">
        <f>2000</f>
        <v>2000</v>
      </c>
      <c r="H14" s="6">
        <f>F14-G14</f>
        <v>3000</v>
      </c>
      <c r="I14" s="6"/>
    </row>
    <row r="15" spans="1:11" x14ac:dyDescent="0.25">
      <c r="A15" s="6">
        <v>9</v>
      </c>
      <c r="B15" s="8" t="s">
        <v>38</v>
      </c>
      <c r="C15" s="6"/>
      <c r="D15" s="6"/>
      <c r="E15" s="6">
        <f>FEBRUARY21!H15:H29</f>
        <v>0</v>
      </c>
      <c r="F15" s="6">
        <f t="shared" si="0"/>
        <v>0</v>
      </c>
      <c r="G15" s="6"/>
      <c r="H15" s="6">
        <f t="shared" si="1"/>
        <v>0</v>
      </c>
      <c r="I15" s="6"/>
      <c r="K15">
        <f>H13-C13</f>
        <v>3500</v>
      </c>
    </row>
    <row r="16" spans="1:11" x14ac:dyDescent="0.25">
      <c r="A16" s="6">
        <v>10</v>
      </c>
      <c r="B16" s="6" t="s">
        <v>29</v>
      </c>
      <c r="C16" s="6"/>
      <c r="D16" s="6">
        <v>4000</v>
      </c>
      <c r="E16" s="6">
        <f>FEBRUARY21!H16:H30</f>
        <v>1500</v>
      </c>
      <c r="F16" s="6">
        <f t="shared" si="0"/>
        <v>5500</v>
      </c>
      <c r="G16" s="6">
        <v>4000</v>
      </c>
      <c r="H16" s="6">
        <f t="shared" si="1"/>
        <v>1500</v>
      </c>
      <c r="I16" s="6"/>
    </row>
    <row r="17" spans="1:14" x14ac:dyDescent="0.25">
      <c r="A17" s="6">
        <v>11</v>
      </c>
      <c r="B17" s="6" t="s">
        <v>66</v>
      </c>
      <c r="C17" s="6">
        <v>2000</v>
      </c>
      <c r="D17" s="6">
        <v>4000</v>
      </c>
      <c r="E17" s="6"/>
      <c r="F17" s="6">
        <f t="shared" si="0"/>
        <v>6000</v>
      </c>
      <c r="G17" s="6">
        <f>4000</f>
        <v>4000</v>
      </c>
      <c r="H17" s="6">
        <f t="shared" si="1"/>
        <v>2000</v>
      </c>
      <c r="I17" s="6"/>
      <c r="N17">
        <f>D22+4000+3000</f>
        <v>41600</v>
      </c>
    </row>
    <row r="18" spans="1:14" x14ac:dyDescent="0.25">
      <c r="A18" s="6">
        <v>12</v>
      </c>
      <c r="B18" s="6" t="s">
        <v>93</v>
      </c>
      <c r="C18" s="6">
        <v>4000</v>
      </c>
      <c r="D18" s="6">
        <v>4000</v>
      </c>
      <c r="E18" s="6">
        <f>FEBRUARY21!H18:H32</f>
        <v>0</v>
      </c>
      <c r="F18" s="6">
        <f t="shared" si="0"/>
        <v>8000</v>
      </c>
      <c r="G18" s="6">
        <f>5500+1000</f>
        <v>6500</v>
      </c>
      <c r="H18" s="6">
        <f t="shared" si="1"/>
        <v>1500</v>
      </c>
      <c r="I18" s="6"/>
    </row>
    <row r="19" spans="1:14" x14ac:dyDescent="0.25">
      <c r="A19" s="6">
        <v>13</v>
      </c>
      <c r="B19" s="8" t="s">
        <v>38</v>
      </c>
      <c r="C19" s="6"/>
      <c r="D19" s="6"/>
      <c r="E19" s="6">
        <f>FEBRUARY21!H19:H33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14" x14ac:dyDescent="0.25">
      <c r="A20" s="6">
        <v>14</v>
      </c>
      <c r="B20" s="6" t="s">
        <v>35</v>
      </c>
      <c r="C20" s="6"/>
      <c r="D20" s="6">
        <v>3000</v>
      </c>
      <c r="E20" s="6">
        <f>FEBRUARY21!H20:H34</f>
        <v>600</v>
      </c>
      <c r="F20" s="6">
        <f t="shared" si="0"/>
        <v>3600</v>
      </c>
      <c r="G20" s="6">
        <v>3600</v>
      </c>
      <c r="H20" s="6">
        <f>F20-G20</f>
        <v>0</v>
      </c>
      <c r="I20" s="6"/>
    </row>
    <row r="21" spans="1:14" x14ac:dyDescent="0.25">
      <c r="A21" s="6"/>
      <c r="B21" s="10"/>
      <c r="C21" s="6"/>
      <c r="D21" s="6"/>
      <c r="E21" s="6">
        <f>FEBRUARY21!H21:H35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14" x14ac:dyDescent="0.25">
      <c r="A22" s="6"/>
      <c r="B22" s="11" t="s">
        <v>10</v>
      </c>
      <c r="C22" s="11">
        <f t="shared" ref="C22:H22" si="2">SUM(C7:C21)</f>
        <v>8200</v>
      </c>
      <c r="D22" s="7">
        <f t="shared" si="2"/>
        <v>34600</v>
      </c>
      <c r="E22" s="6">
        <f>SUM(E7:E21)</f>
        <v>6300</v>
      </c>
      <c r="F22" s="6">
        <f t="shared" si="2"/>
        <v>49100</v>
      </c>
      <c r="G22" s="7">
        <f>SUM(G7:G21)</f>
        <v>32900</v>
      </c>
      <c r="H22" s="7">
        <f t="shared" si="2"/>
        <v>16200</v>
      </c>
      <c r="I22" s="7">
        <f>SUM(I7:I21)</f>
        <v>0</v>
      </c>
    </row>
    <row r="23" spans="1:14" x14ac:dyDescent="0.25">
      <c r="A23" s="9">
        <v>15</v>
      </c>
      <c r="E23" s="6">
        <f>'SEPTEMBER 20'!H23:H38</f>
        <v>0</v>
      </c>
      <c r="H23" s="9">
        <f>H22-H13-H10</f>
        <v>9300</v>
      </c>
    </row>
    <row r="24" spans="1:14" ht="18.75" x14ac:dyDescent="0.3">
      <c r="B24" s="12" t="s">
        <v>11</v>
      </c>
      <c r="C24" s="13"/>
      <c r="D24" s="13"/>
      <c r="E24" s="13"/>
      <c r="F24" s="13"/>
      <c r="G24" s="14"/>
      <c r="H24" s="14"/>
      <c r="M24">
        <f>C26+C28</f>
        <v>38600</v>
      </c>
    </row>
    <row r="25" spans="1:14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  <c r="M25">
        <f>M24-D30</f>
        <v>35140</v>
      </c>
    </row>
    <row r="26" spans="1:14" x14ac:dyDescent="0.25">
      <c r="B26" s="10" t="s">
        <v>96</v>
      </c>
      <c r="C26">
        <f>D22</f>
        <v>34600</v>
      </c>
      <c r="D26" s="17"/>
      <c r="E26" s="16"/>
      <c r="F26" s="18" t="s">
        <v>96</v>
      </c>
      <c r="G26" s="16">
        <f>G22</f>
        <v>32900</v>
      </c>
      <c r="H26" s="17"/>
      <c r="I26" s="10"/>
      <c r="M26" s="26">
        <f>D32+D35+K27</f>
        <v>23940</v>
      </c>
    </row>
    <row r="27" spans="1:14" x14ac:dyDescent="0.25">
      <c r="B27" s="10" t="s">
        <v>18</v>
      </c>
      <c r="C27" s="16">
        <f>FEBRUARY21!E37</f>
        <v>4460</v>
      </c>
      <c r="D27" s="10"/>
      <c r="E27" s="10"/>
      <c r="F27" s="10" t="s">
        <v>18</v>
      </c>
      <c r="G27" s="16">
        <f>FEBRUARY21!I37</f>
        <v>-5140</v>
      </c>
      <c r="H27" s="10"/>
      <c r="I27" s="10"/>
      <c r="K27" s="26">
        <f>D33-C27</f>
        <v>5540</v>
      </c>
      <c r="M27" s="26">
        <f>M25-M26</f>
        <v>11200</v>
      </c>
    </row>
    <row r="28" spans="1:14" x14ac:dyDescent="0.25">
      <c r="B28" s="10" t="s">
        <v>3</v>
      </c>
      <c r="C28" s="10">
        <f>C18</f>
        <v>4000</v>
      </c>
      <c r="D28" s="10"/>
      <c r="E28" s="10"/>
      <c r="F28" s="10"/>
      <c r="G28" s="16"/>
      <c r="H28" s="16"/>
      <c r="I28" s="10"/>
    </row>
    <row r="29" spans="1:14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</row>
    <row r="30" spans="1:14" x14ac:dyDescent="0.25">
      <c r="B30" s="10" t="s">
        <v>20</v>
      </c>
      <c r="C30" s="17">
        <v>0.1</v>
      </c>
      <c r="D30" s="10">
        <f>C30*C26</f>
        <v>3460</v>
      </c>
      <c r="E30" s="10"/>
      <c r="F30" s="10" t="s">
        <v>20</v>
      </c>
      <c r="G30" s="17">
        <v>0.1</v>
      </c>
      <c r="H30" s="10">
        <f>C30*C26</f>
        <v>3460</v>
      </c>
      <c r="I30" s="10"/>
    </row>
    <row r="31" spans="1:14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  <c r="J31" s="26">
        <f>H23+I37</f>
        <v>-3400</v>
      </c>
      <c r="K31" s="26"/>
    </row>
    <row r="32" spans="1:14" x14ac:dyDescent="0.25">
      <c r="B32" s="20" t="s">
        <v>92</v>
      </c>
      <c r="C32" s="17"/>
      <c r="D32" s="10">
        <v>15000</v>
      </c>
      <c r="E32" s="10"/>
      <c r="F32" s="20" t="s">
        <v>92</v>
      </c>
      <c r="G32" s="17"/>
      <c r="H32" s="10">
        <v>15000</v>
      </c>
      <c r="I32" s="10"/>
    </row>
    <row r="33" spans="2:14" x14ac:dyDescent="0.25">
      <c r="B33" s="6" t="s">
        <v>94</v>
      </c>
      <c r="C33" s="6"/>
      <c r="D33" s="6">
        <v>10000</v>
      </c>
      <c r="E33" s="6"/>
      <c r="F33" s="6" t="s">
        <v>94</v>
      </c>
      <c r="G33" s="6"/>
      <c r="H33" s="6">
        <v>10000</v>
      </c>
      <c r="I33" s="10"/>
    </row>
    <row r="34" spans="2:14" x14ac:dyDescent="0.25">
      <c r="B34" s="20" t="s">
        <v>95</v>
      </c>
      <c r="C34" s="10"/>
      <c r="D34" s="10">
        <v>12000</v>
      </c>
      <c r="E34" s="10"/>
      <c r="F34" s="20" t="s">
        <v>95</v>
      </c>
      <c r="G34" s="10"/>
      <c r="H34" s="10">
        <v>12000</v>
      </c>
      <c r="I34" s="10"/>
      <c r="N34" s="26">
        <f>10000-C27</f>
        <v>5540</v>
      </c>
    </row>
    <row r="35" spans="2:14" x14ac:dyDescent="0.25">
      <c r="B35" s="20" t="s">
        <v>100</v>
      </c>
      <c r="C35" s="10"/>
      <c r="D35" s="10">
        <v>3400</v>
      </c>
      <c r="E35" s="10"/>
      <c r="F35" s="20"/>
      <c r="G35" s="10"/>
      <c r="H35" s="10"/>
      <c r="I35" s="10"/>
    </row>
    <row r="36" spans="2:14" x14ac:dyDescent="0.25">
      <c r="B36" s="20" t="s">
        <v>103</v>
      </c>
      <c r="C36" s="16"/>
      <c r="D36" s="16">
        <v>2500</v>
      </c>
      <c r="E36" s="16"/>
      <c r="F36" s="20"/>
      <c r="G36" s="16"/>
      <c r="H36" s="16"/>
      <c r="I36" s="10"/>
    </row>
    <row r="37" spans="2:14" x14ac:dyDescent="0.25">
      <c r="B37" s="22" t="s">
        <v>10</v>
      </c>
      <c r="C37" s="26">
        <f>C26+C27+C28-D30</f>
        <v>39600</v>
      </c>
      <c r="D37" s="22">
        <f>SUM(D32:D36)</f>
        <v>42900</v>
      </c>
      <c r="E37" s="23">
        <f>C37-D37</f>
        <v>-3300</v>
      </c>
      <c r="F37" s="24"/>
      <c r="G37" s="23">
        <f>G26+G27-H30</f>
        <v>24300</v>
      </c>
      <c r="H37" s="23">
        <f>SUM(H32:H36)</f>
        <v>37000</v>
      </c>
      <c r="I37" s="23">
        <f>G37-H37</f>
        <v>-12700</v>
      </c>
    </row>
    <row r="38" spans="2:14" x14ac:dyDescent="0.25">
      <c r="K38" s="26"/>
    </row>
    <row r="40" spans="2:14" x14ac:dyDescent="0.25">
      <c r="H40" s="26">
        <f>E37-I37</f>
        <v>9400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0" workbookViewId="0">
      <selection activeCell="K37" sqref="K37"/>
    </sheetView>
  </sheetViews>
  <sheetFormatPr defaultRowHeight="15" x14ac:dyDescent="0.25"/>
  <cols>
    <col min="1" max="1" width="6" customWidth="1"/>
    <col min="2" max="2" width="17" customWidth="1"/>
    <col min="3" max="3" width="13.28515625" customWidth="1"/>
    <col min="6" max="6" width="10.5703125" customWidth="1"/>
  </cols>
  <sheetData>
    <row r="1" spans="1:11" x14ac:dyDescent="0.25">
      <c r="K1">
        <f>H10+H13</f>
        <v>2900</v>
      </c>
    </row>
    <row r="3" spans="1:11" ht="18.75" x14ac:dyDescent="0.25">
      <c r="D3" s="1" t="s">
        <v>22</v>
      </c>
      <c r="E3" s="2"/>
      <c r="F3" s="3"/>
      <c r="G3" s="4"/>
    </row>
    <row r="4" spans="1:11" ht="18.75" x14ac:dyDescent="0.25">
      <c r="D4" s="1" t="s">
        <v>0</v>
      </c>
      <c r="E4" s="1"/>
      <c r="F4" s="5"/>
      <c r="G4" s="5"/>
    </row>
    <row r="5" spans="1:11" ht="18.75" x14ac:dyDescent="0.25">
      <c r="D5" s="1" t="s">
        <v>98</v>
      </c>
      <c r="E5" s="1"/>
      <c r="F5" s="5"/>
      <c r="G5" s="5"/>
    </row>
    <row r="6" spans="1:11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11" x14ac:dyDescent="0.25">
      <c r="A7" s="6">
        <v>1</v>
      </c>
      <c r="B7" s="10" t="s">
        <v>46</v>
      </c>
      <c r="C7" s="6"/>
      <c r="D7" s="6">
        <v>3000</v>
      </c>
      <c r="E7" s="6">
        <f>'MARCH 21'!H7:H21</f>
        <v>0</v>
      </c>
      <c r="F7" s="6">
        <f>C7+D7+E7</f>
        <v>3000</v>
      </c>
      <c r="G7" s="6">
        <v>3000</v>
      </c>
      <c r="H7" s="6">
        <f>F7-G7</f>
        <v>0</v>
      </c>
      <c r="I7" s="6"/>
    </row>
    <row r="8" spans="1:11" x14ac:dyDescent="0.25">
      <c r="A8" s="6">
        <v>2</v>
      </c>
      <c r="B8" s="6" t="s">
        <v>64</v>
      </c>
      <c r="C8" s="6"/>
      <c r="D8" s="6">
        <v>2300</v>
      </c>
      <c r="E8" s="6">
        <f>'MARCH 21'!H8:H22</f>
        <v>1300</v>
      </c>
      <c r="F8" s="6">
        <f t="shared" ref="F8:F21" si="0">C8+D8+E8</f>
        <v>3600</v>
      </c>
      <c r="G8" s="6">
        <f>2300</f>
        <v>2300</v>
      </c>
      <c r="H8" s="6">
        <f>F8-G8</f>
        <v>1300</v>
      </c>
      <c r="I8" s="6"/>
    </row>
    <row r="9" spans="1:11" x14ac:dyDescent="0.25">
      <c r="A9" s="6">
        <v>3</v>
      </c>
      <c r="B9" s="6" t="s">
        <v>24</v>
      </c>
      <c r="C9" s="6"/>
      <c r="D9" s="6">
        <v>2500</v>
      </c>
      <c r="E9" s="6">
        <f>'MARCH 21'!H9:H23</f>
        <v>0</v>
      </c>
      <c r="F9" s="6">
        <f t="shared" si="0"/>
        <v>2500</v>
      </c>
      <c r="G9" s="6">
        <v>2500</v>
      </c>
      <c r="H9" s="6">
        <f t="shared" ref="H9:H21" si="1">F9-G9</f>
        <v>0</v>
      </c>
      <c r="I9" s="6"/>
    </row>
    <row r="10" spans="1:11" x14ac:dyDescent="0.25">
      <c r="A10" s="6">
        <v>4</v>
      </c>
      <c r="B10" s="6" t="s">
        <v>99</v>
      </c>
      <c r="C10" s="6">
        <v>2500</v>
      </c>
      <c r="D10" s="6">
        <v>2500</v>
      </c>
      <c r="E10" s="6"/>
      <c r="F10" s="6">
        <f t="shared" si="0"/>
        <v>5000</v>
      </c>
      <c r="G10" s="6">
        <f>3700</f>
        <v>3700</v>
      </c>
      <c r="H10" s="6">
        <f t="shared" si="1"/>
        <v>1300</v>
      </c>
      <c r="I10" s="6"/>
    </row>
    <row r="11" spans="1:11" x14ac:dyDescent="0.25">
      <c r="A11" s="6">
        <v>5</v>
      </c>
      <c r="B11" s="10" t="s">
        <v>30</v>
      </c>
      <c r="C11" s="6"/>
      <c r="D11" s="6">
        <v>2500</v>
      </c>
      <c r="E11" s="6">
        <f>'MARCH 21'!H11:H25</f>
        <v>0</v>
      </c>
      <c r="F11" s="6">
        <f t="shared" si="0"/>
        <v>2500</v>
      </c>
      <c r="G11" s="6">
        <v>2500</v>
      </c>
      <c r="H11" s="6">
        <f t="shared" si="1"/>
        <v>0</v>
      </c>
      <c r="I11" s="6"/>
    </row>
    <row r="12" spans="1:11" x14ac:dyDescent="0.25">
      <c r="A12" s="6">
        <v>6</v>
      </c>
      <c r="B12" s="6" t="s">
        <v>26</v>
      </c>
      <c r="C12" s="6"/>
      <c r="D12" s="6">
        <v>2500</v>
      </c>
      <c r="E12" s="6">
        <f>'MARCH 21'!H12:H26</f>
        <v>0</v>
      </c>
      <c r="F12" s="6">
        <f t="shared" si="0"/>
        <v>2500</v>
      </c>
      <c r="G12" s="6">
        <f>2500</f>
        <v>2500</v>
      </c>
      <c r="H12" s="6">
        <f>F12-G12</f>
        <v>0</v>
      </c>
      <c r="I12" s="6"/>
      <c r="J12">
        <f>G10-C10</f>
        <v>1200</v>
      </c>
    </row>
    <row r="13" spans="1:11" x14ac:dyDescent="0.25">
      <c r="A13" s="6">
        <v>7</v>
      </c>
      <c r="B13" s="10" t="s">
        <v>101</v>
      </c>
      <c r="C13" s="6">
        <v>2300</v>
      </c>
      <c r="D13" s="6">
        <v>2300</v>
      </c>
      <c r="E13" s="6"/>
      <c r="F13" s="6">
        <f t="shared" si="0"/>
        <v>4600</v>
      </c>
      <c r="G13" s="8">
        <f>2000+1000</f>
        <v>3000</v>
      </c>
      <c r="H13" s="6">
        <f>F13-G13</f>
        <v>1600</v>
      </c>
      <c r="I13" s="6"/>
      <c r="J13">
        <f>G13-C13</f>
        <v>700</v>
      </c>
    </row>
    <row r="14" spans="1:11" x14ac:dyDescent="0.25">
      <c r="A14" s="6">
        <v>8</v>
      </c>
      <c r="B14" s="9" t="s">
        <v>27</v>
      </c>
      <c r="C14" s="6"/>
      <c r="D14" s="6">
        <v>2000</v>
      </c>
      <c r="E14" s="6">
        <f>'MARCH 21'!H14:H28</f>
        <v>3000</v>
      </c>
      <c r="F14" s="6">
        <f t="shared" si="0"/>
        <v>5000</v>
      </c>
      <c r="G14" s="6">
        <f>3000</f>
        <v>3000</v>
      </c>
      <c r="H14" s="6">
        <f>F14-G14</f>
        <v>2000</v>
      </c>
      <c r="I14" s="6"/>
      <c r="J14">
        <f>H10+H13</f>
        <v>2900</v>
      </c>
    </row>
    <row r="15" spans="1:11" x14ac:dyDescent="0.25">
      <c r="A15" s="6">
        <v>9</v>
      </c>
      <c r="B15" s="8" t="s">
        <v>38</v>
      </c>
      <c r="C15" s="6"/>
      <c r="D15" s="6"/>
      <c r="E15" s="6">
        <f>'MARCH 21'!H15:H29</f>
        <v>0</v>
      </c>
      <c r="F15" s="6">
        <f t="shared" si="0"/>
        <v>0</v>
      </c>
      <c r="G15" s="6"/>
      <c r="H15" s="6">
        <f t="shared" si="1"/>
        <v>0</v>
      </c>
      <c r="I15" s="6"/>
    </row>
    <row r="16" spans="1:11" x14ac:dyDescent="0.25">
      <c r="A16" s="6">
        <v>10</v>
      </c>
      <c r="B16" s="6" t="s">
        <v>29</v>
      </c>
      <c r="C16" s="6"/>
      <c r="D16" s="6">
        <v>4000</v>
      </c>
      <c r="E16" s="6">
        <f>'MARCH 21'!H16:H30</f>
        <v>1500</v>
      </c>
      <c r="F16" s="6">
        <f t="shared" si="0"/>
        <v>5500</v>
      </c>
      <c r="G16" s="6">
        <f>3000+1000</f>
        <v>4000</v>
      </c>
      <c r="H16" s="6">
        <f t="shared" si="1"/>
        <v>1500</v>
      </c>
      <c r="I16" s="6"/>
    </row>
    <row r="17" spans="1:12" x14ac:dyDescent="0.25">
      <c r="A17" s="6">
        <v>11</v>
      </c>
      <c r="B17" s="6" t="s">
        <v>66</v>
      </c>
      <c r="C17" s="6"/>
      <c r="D17" s="6">
        <v>4000</v>
      </c>
      <c r="E17" s="6">
        <f>'MARCH 21'!H17:H31</f>
        <v>2000</v>
      </c>
      <c r="F17" s="6">
        <f t="shared" si="0"/>
        <v>6000</v>
      </c>
      <c r="G17" s="6">
        <f>4000</f>
        <v>4000</v>
      </c>
      <c r="H17" s="6">
        <f t="shared" si="1"/>
        <v>2000</v>
      </c>
      <c r="I17" s="6"/>
    </row>
    <row r="18" spans="1:12" x14ac:dyDescent="0.25">
      <c r="A18" s="6">
        <v>12</v>
      </c>
      <c r="B18" s="6" t="s">
        <v>93</v>
      </c>
      <c r="C18" s="6"/>
      <c r="D18" s="6">
        <v>4000</v>
      </c>
      <c r="E18" s="6">
        <f>'MARCH 21'!H18:H32</f>
        <v>1500</v>
      </c>
      <c r="F18" s="6">
        <f t="shared" si="0"/>
        <v>5500</v>
      </c>
      <c r="G18" s="6">
        <f>4000+1500</f>
        <v>5500</v>
      </c>
      <c r="H18" s="6">
        <f t="shared" si="1"/>
        <v>0</v>
      </c>
      <c r="I18" s="6"/>
    </row>
    <row r="19" spans="1:12" x14ac:dyDescent="0.25">
      <c r="A19" s="6">
        <v>13</v>
      </c>
      <c r="B19" s="8" t="s">
        <v>38</v>
      </c>
      <c r="C19" s="6"/>
      <c r="D19" s="6"/>
      <c r="E19" s="6">
        <f>'MARCH 21'!H19:H33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12" x14ac:dyDescent="0.25">
      <c r="A20" s="6">
        <v>14</v>
      </c>
      <c r="B20" s="6" t="s">
        <v>35</v>
      </c>
      <c r="C20" s="6"/>
      <c r="D20" s="6">
        <v>3000</v>
      </c>
      <c r="E20" s="6">
        <f>'MARCH 21'!H20:H34</f>
        <v>0</v>
      </c>
      <c r="F20" s="6">
        <f t="shared" si="0"/>
        <v>3000</v>
      </c>
      <c r="G20" s="6">
        <f>2000</f>
        <v>2000</v>
      </c>
      <c r="H20" s="6">
        <f>F20-G20</f>
        <v>1000</v>
      </c>
      <c r="I20" s="6"/>
    </row>
    <row r="21" spans="1:12" x14ac:dyDescent="0.25">
      <c r="A21" s="6"/>
      <c r="B21" s="10"/>
      <c r="C21" s="6"/>
      <c r="D21" s="6"/>
      <c r="E21" s="6">
        <f>'MARCH 21'!H21:H35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12" x14ac:dyDescent="0.25">
      <c r="A22" s="6"/>
      <c r="B22" s="11" t="s">
        <v>10</v>
      </c>
      <c r="C22" s="11">
        <f t="shared" ref="C22:H22" si="2">SUM(C7:C21)</f>
        <v>4800</v>
      </c>
      <c r="D22" s="7">
        <f t="shared" si="2"/>
        <v>34600</v>
      </c>
      <c r="E22" s="6">
        <f>SUM(E7:E21)</f>
        <v>9300</v>
      </c>
      <c r="F22" s="6">
        <f t="shared" si="2"/>
        <v>48700</v>
      </c>
      <c r="G22" s="7">
        <f>SUM(G7:G21)</f>
        <v>38000</v>
      </c>
      <c r="H22" s="7">
        <f t="shared" si="2"/>
        <v>10700</v>
      </c>
      <c r="I22" s="7">
        <f>SUM(I7:I21)</f>
        <v>0</v>
      </c>
      <c r="K22" s="30"/>
    </row>
    <row r="23" spans="1:12" x14ac:dyDescent="0.25">
      <c r="A23" s="9">
        <v>15</v>
      </c>
      <c r="E23" s="6">
        <f>'SEPTEMBER 20'!H23:H38</f>
        <v>0</v>
      </c>
      <c r="H23" s="9"/>
    </row>
    <row r="24" spans="1:12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12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12" x14ac:dyDescent="0.25">
      <c r="B26" s="10" t="s">
        <v>97</v>
      </c>
      <c r="C26">
        <f>D22</f>
        <v>34600</v>
      </c>
      <c r="D26" s="17"/>
      <c r="E26" s="16"/>
      <c r="F26" s="18" t="s">
        <v>97</v>
      </c>
      <c r="G26" s="16">
        <f>G22</f>
        <v>38000</v>
      </c>
      <c r="H26" s="17"/>
      <c r="I26" s="10"/>
    </row>
    <row r="27" spans="1:12" x14ac:dyDescent="0.25">
      <c r="B27" s="10" t="s">
        <v>18</v>
      </c>
      <c r="C27" s="16">
        <f>'MARCH 21'!E37</f>
        <v>-3300</v>
      </c>
      <c r="D27" s="10"/>
      <c r="E27" s="10"/>
      <c r="F27" s="10" t="s">
        <v>18</v>
      </c>
      <c r="G27" s="16">
        <f>'MARCH 21'!I37</f>
        <v>-12700</v>
      </c>
      <c r="H27" s="10"/>
      <c r="I27" s="10"/>
      <c r="K27" s="26"/>
      <c r="L27">
        <f>C26</f>
        <v>34600</v>
      </c>
    </row>
    <row r="28" spans="1:12" x14ac:dyDescent="0.25">
      <c r="B28" s="10" t="s">
        <v>3</v>
      </c>
      <c r="C28" s="10">
        <v>1900</v>
      </c>
      <c r="D28" s="10"/>
      <c r="E28" s="10"/>
      <c r="F28" s="10"/>
      <c r="G28" s="16"/>
      <c r="H28" s="16"/>
      <c r="I28" s="10"/>
      <c r="L28">
        <f>D30</f>
        <v>3460</v>
      </c>
    </row>
    <row r="29" spans="1:12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  <c r="L29">
        <f>L27-L28</f>
        <v>31140</v>
      </c>
    </row>
    <row r="30" spans="1:12" x14ac:dyDescent="0.25">
      <c r="B30" s="10" t="s">
        <v>20</v>
      </c>
      <c r="C30" s="17">
        <v>0.1</v>
      </c>
      <c r="D30" s="10">
        <f>C30*C26</f>
        <v>3460</v>
      </c>
      <c r="E30" s="10"/>
      <c r="F30" s="10" t="s">
        <v>20</v>
      </c>
      <c r="G30" s="17">
        <v>0.1</v>
      </c>
      <c r="H30" s="10">
        <f>C30*C26</f>
        <v>3460</v>
      </c>
      <c r="I30" s="10"/>
      <c r="K30" s="26"/>
      <c r="L30">
        <f>L29-3300</f>
        <v>27840</v>
      </c>
    </row>
    <row r="31" spans="1:12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</row>
    <row r="32" spans="1:12" x14ac:dyDescent="0.25">
      <c r="B32" s="20" t="s">
        <v>102</v>
      </c>
      <c r="C32" s="17"/>
      <c r="D32" s="10">
        <v>15000</v>
      </c>
      <c r="E32" s="10"/>
      <c r="F32" s="20" t="s">
        <v>102</v>
      </c>
      <c r="G32" s="17"/>
      <c r="H32" s="10">
        <v>15000</v>
      </c>
      <c r="I32" s="10"/>
      <c r="L32">
        <f>L29-15000</f>
        <v>16140</v>
      </c>
    </row>
    <row r="33" spans="2:12" x14ac:dyDescent="0.25">
      <c r="B33" s="6" t="s">
        <v>105</v>
      </c>
      <c r="C33" s="6"/>
      <c r="D33" s="6">
        <v>10000</v>
      </c>
      <c r="E33" s="6"/>
      <c r="F33" s="6" t="s">
        <v>105</v>
      </c>
      <c r="G33" s="6"/>
      <c r="H33" s="6">
        <v>10000</v>
      </c>
      <c r="I33" s="10"/>
      <c r="J33" s="26"/>
      <c r="L33">
        <f>L32-3300</f>
        <v>12840</v>
      </c>
    </row>
    <row r="34" spans="2:12" x14ac:dyDescent="0.25">
      <c r="B34" s="20" t="s">
        <v>108</v>
      </c>
      <c r="C34" s="10"/>
      <c r="D34" s="10">
        <v>4740</v>
      </c>
      <c r="E34" s="10"/>
      <c r="F34" s="20" t="s">
        <v>108</v>
      </c>
      <c r="G34" s="10"/>
      <c r="H34" s="10">
        <v>4740</v>
      </c>
      <c r="I34" s="10"/>
      <c r="L34">
        <f>L33+1900</f>
        <v>14740</v>
      </c>
    </row>
    <row r="35" spans="2:12" x14ac:dyDescent="0.25">
      <c r="B35" s="20"/>
      <c r="C35" s="10"/>
      <c r="D35" s="10"/>
      <c r="E35" s="10"/>
      <c r="F35" s="20"/>
      <c r="G35" s="10"/>
      <c r="H35" s="10"/>
      <c r="I35" s="10"/>
      <c r="L35">
        <f>L34-10000</f>
        <v>4740</v>
      </c>
    </row>
    <row r="36" spans="2:12" x14ac:dyDescent="0.25">
      <c r="B36" s="20"/>
      <c r="C36" s="16"/>
      <c r="D36" s="16"/>
      <c r="E36" s="16"/>
      <c r="F36" s="20"/>
      <c r="G36" s="16"/>
      <c r="H36" s="16"/>
      <c r="I36" s="10"/>
      <c r="J36" s="26"/>
    </row>
    <row r="37" spans="2:12" x14ac:dyDescent="0.25">
      <c r="B37" s="22" t="s">
        <v>10</v>
      </c>
      <c r="C37" s="26">
        <f>C26+C27+C28-D30</f>
        <v>29740</v>
      </c>
      <c r="D37" s="22">
        <f>SUM(D32:D36)</f>
        <v>29740</v>
      </c>
      <c r="E37" s="23">
        <f>C37-D37</f>
        <v>0</v>
      </c>
      <c r="F37" s="24"/>
      <c r="G37" s="23">
        <f>G26+G27-H30</f>
        <v>21840</v>
      </c>
      <c r="H37" s="23">
        <f>SUM(H32:H36)</f>
        <v>29740</v>
      </c>
      <c r="I37" s="23">
        <f>G37-H37</f>
        <v>-7900</v>
      </c>
    </row>
    <row r="40" spans="2:12" x14ac:dyDescent="0.25">
      <c r="H40" s="26">
        <f>E37-I37</f>
        <v>7900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3"/>
  <sheetViews>
    <sheetView topLeftCell="A7" workbookViewId="0">
      <selection activeCell="Q38" sqref="Q38"/>
    </sheetView>
  </sheetViews>
  <sheetFormatPr defaultRowHeight="15" x14ac:dyDescent="0.25"/>
  <cols>
    <col min="2" max="2" width="20.85546875" customWidth="1"/>
  </cols>
  <sheetData>
    <row r="3" spans="1:9" ht="18.75" x14ac:dyDescent="0.25">
      <c r="D3" s="1" t="s">
        <v>22</v>
      </c>
      <c r="E3" s="2"/>
      <c r="F3" s="3"/>
      <c r="G3" s="4"/>
    </row>
    <row r="4" spans="1:9" ht="18.75" x14ac:dyDescent="0.25">
      <c r="D4" s="1" t="s">
        <v>0</v>
      </c>
      <c r="E4" s="1"/>
      <c r="F4" s="5"/>
      <c r="G4" s="5"/>
    </row>
    <row r="5" spans="1:9" ht="18.75" x14ac:dyDescent="0.25">
      <c r="D5" s="1" t="s">
        <v>106</v>
      </c>
      <c r="E5" s="1"/>
      <c r="F5" s="5"/>
      <c r="G5" s="5"/>
    </row>
    <row r="6" spans="1:9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9" x14ac:dyDescent="0.25">
      <c r="A7" s="6">
        <v>1</v>
      </c>
      <c r="B7" s="10" t="s">
        <v>46</v>
      </c>
      <c r="C7" s="6"/>
      <c r="D7" s="6">
        <v>3000</v>
      </c>
      <c r="E7" s="6">
        <f>'APRIL 21'!H7:H21</f>
        <v>0</v>
      </c>
      <c r="F7" s="6">
        <f>C7+D7+E7</f>
        <v>3000</v>
      </c>
      <c r="G7" s="6">
        <f>3000</f>
        <v>3000</v>
      </c>
      <c r="H7" s="6">
        <f>F7-G7</f>
        <v>0</v>
      </c>
      <c r="I7" s="6"/>
    </row>
    <row r="8" spans="1:9" x14ac:dyDescent="0.25">
      <c r="A8" s="6">
        <v>2</v>
      </c>
      <c r="B8" s="6" t="s">
        <v>64</v>
      </c>
      <c r="C8" s="6"/>
      <c r="D8" s="6">
        <v>2300</v>
      </c>
      <c r="E8" s="6">
        <f>'APRIL 21'!H8:H22</f>
        <v>1300</v>
      </c>
      <c r="F8" s="6">
        <f t="shared" ref="F8:F21" si="0">C8+D8+E8</f>
        <v>3600</v>
      </c>
      <c r="G8" s="6">
        <f>2300+1000</f>
        <v>3300</v>
      </c>
      <c r="H8" s="6">
        <f>F8-G8</f>
        <v>300</v>
      </c>
      <c r="I8" s="6"/>
    </row>
    <row r="9" spans="1:9" x14ac:dyDescent="0.25">
      <c r="A9" s="6">
        <v>3</v>
      </c>
      <c r="B9" s="6" t="s">
        <v>24</v>
      </c>
      <c r="C9" s="6"/>
      <c r="D9" s="6">
        <v>2500</v>
      </c>
      <c r="E9" s="6">
        <f>'APRIL 21'!H9:H23</f>
        <v>0</v>
      </c>
      <c r="F9" s="6">
        <f t="shared" si="0"/>
        <v>2500</v>
      </c>
      <c r="G9" s="6">
        <v>2500</v>
      </c>
      <c r="H9" s="6">
        <f t="shared" ref="H9:H21" si="1">F9-G9</f>
        <v>0</v>
      </c>
      <c r="I9" s="6"/>
    </row>
    <row r="10" spans="1:9" x14ac:dyDescent="0.25">
      <c r="A10" s="6">
        <v>4</v>
      </c>
      <c r="B10" s="6" t="s">
        <v>99</v>
      </c>
      <c r="C10" s="6">
        <v>1300</v>
      </c>
      <c r="D10" s="6">
        <v>2500</v>
      </c>
      <c r="E10" s="6"/>
      <c r="F10" s="6">
        <f t="shared" si="0"/>
        <v>3800</v>
      </c>
      <c r="G10" s="6">
        <v>3800</v>
      </c>
      <c r="H10" s="6">
        <f t="shared" si="1"/>
        <v>0</v>
      </c>
      <c r="I10" s="6"/>
    </row>
    <row r="11" spans="1:9" x14ac:dyDescent="0.25">
      <c r="A11" s="6">
        <v>5</v>
      </c>
      <c r="B11" s="10" t="s">
        <v>30</v>
      </c>
      <c r="C11" s="6"/>
      <c r="D11" s="6">
        <v>2500</v>
      </c>
      <c r="E11" s="6">
        <f>'APRIL 21'!H11:H25</f>
        <v>0</v>
      </c>
      <c r="F11" s="6">
        <f t="shared" si="0"/>
        <v>2500</v>
      </c>
      <c r="G11" s="6">
        <f>2500</f>
        <v>2500</v>
      </c>
      <c r="H11" s="6">
        <f t="shared" si="1"/>
        <v>0</v>
      </c>
      <c r="I11" s="6"/>
    </row>
    <row r="12" spans="1:9" x14ac:dyDescent="0.25">
      <c r="A12" s="6">
        <v>6</v>
      </c>
      <c r="B12" s="6" t="s">
        <v>26</v>
      </c>
      <c r="C12" s="6"/>
      <c r="D12" s="6">
        <v>2500</v>
      </c>
      <c r="E12" s="6">
        <f>'APRIL 21'!H12:H26</f>
        <v>0</v>
      </c>
      <c r="F12" s="6">
        <f t="shared" si="0"/>
        <v>2500</v>
      </c>
      <c r="G12" s="6">
        <f>2500</f>
        <v>2500</v>
      </c>
      <c r="H12" s="6">
        <f>F12-G12</f>
        <v>0</v>
      </c>
      <c r="I12" s="6"/>
    </row>
    <row r="13" spans="1:9" x14ac:dyDescent="0.25">
      <c r="A13" s="6">
        <v>7</v>
      </c>
      <c r="B13" s="10" t="s">
        <v>101</v>
      </c>
      <c r="C13" s="6">
        <v>1600</v>
      </c>
      <c r="D13" s="6">
        <v>2300</v>
      </c>
      <c r="E13" s="6"/>
      <c r="F13" s="6">
        <f t="shared" si="0"/>
        <v>3900</v>
      </c>
      <c r="G13" s="8">
        <v>3900</v>
      </c>
      <c r="H13" s="6">
        <f>F13-G13</f>
        <v>0</v>
      </c>
      <c r="I13" s="6"/>
    </row>
    <row r="14" spans="1:9" x14ac:dyDescent="0.25">
      <c r="A14" s="6">
        <v>8</v>
      </c>
      <c r="B14" s="9" t="s">
        <v>27</v>
      </c>
      <c r="C14" s="6"/>
      <c r="D14" s="6"/>
      <c r="E14" s="6">
        <f>'APRIL 21'!H14:H28</f>
        <v>2000</v>
      </c>
      <c r="F14" s="6">
        <f t="shared" si="0"/>
        <v>2000</v>
      </c>
      <c r="G14" s="6"/>
      <c r="H14" s="6">
        <f>F14-G14</f>
        <v>2000</v>
      </c>
      <c r="I14" s="6"/>
    </row>
    <row r="15" spans="1:9" x14ac:dyDescent="0.25">
      <c r="A15" s="6">
        <v>9</v>
      </c>
      <c r="B15" s="8" t="s">
        <v>111</v>
      </c>
      <c r="C15" s="6">
        <v>4000</v>
      </c>
      <c r="D15" s="6">
        <v>1200</v>
      </c>
      <c r="E15" s="6">
        <f>'APRIL 21'!H15:H29</f>
        <v>0</v>
      </c>
      <c r="F15" s="6">
        <f t="shared" si="0"/>
        <v>5200</v>
      </c>
      <c r="G15" s="6">
        <v>4200</v>
      </c>
      <c r="H15" s="6">
        <f t="shared" si="1"/>
        <v>1000</v>
      </c>
      <c r="I15" s="6"/>
    </row>
    <row r="16" spans="1:9" x14ac:dyDescent="0.25">
      <c r="A16" s="6">
        <v>10</v>
      </c>
      <c r="B16" s="6" t="s">
        <v>29</v>
      </c>
      <c r="C16" s="6"/>
      <c r="D16" s="6">
        <v>4000</v>
      </c>
      <c r="E16" s="6">
        <f>'APRIL 21'!H16:H30</f>
        <v>1500</v>
      </c>
      <c r="F16" s="6">
        <f t="shared" si="0"/>
        <v>5500</v>
      </c>
      <c r="G16" s="6">
        <f>5500</f>
        <v>5500</v>
      </c>
      <c r="H16" s="6">
        <f t="shared" si="1"/>
        <v>0</v>
      </c>
      <c r="I16" s="6"/>
    </row>
    <row r="17" spans="1:15" x14ac:dyDescent="0.25">
      <c r="A17" s="6">
        <v>11</v>
      </c>
      <c r="B17" s="6" t="s">
        <v>66</v>
      </c>
      <c r="C17" s="6"/>
      <c r="D17" s="6">
        <v>4000</v>
      </c>
      <c r="E17" s="6">
        <f>'APRIL 21'!H17:H31</f>
        <v>2000</v>
      </c>
      <c r="F17" s="6">
        <f t="shared" si="0"/>
        <v>6000</v>
      </c>
      <c r="G17" s="6">
        <f>1900+2100</f>
        <v>4000</v>
      </c>
      <c r="H17" s="6">
        <f t="shared" si="1"/>
        <v>2000</v>
      </c>
      <c r="I17" s="6"/>
    </row>
    <row r="18" spans="1:15" x14ac:dyDescent="0.25">
      <c r="A18" s="6">
        <v>12</v>
      </c>
      <c r="B18" s="6" t="s">
        <v>93</v>
      </c>
      <c r="C18" s="6"/>
      <c r="D18" s="6">
        <v>4000</v>
      </c>
      <c r="E18" s="6">
        <f>'APRIL 21'!H18:H32</f>
        <v>0</v>
      </c>
      <c r="F18" s="6">
        <f t="shared" si="0"/>
        <v>4000</v>
      </c>
      <c r="G18" s="6">
        <f>3500</f>
        <v>3500</v>
      </c>
      <c r="H18" s="6">
        <f t="shared" si="1"/>
        <v>500</v>
      </c>
      <c r="I18" s="6"/>
    </row>
    <row r="19" spans="1:15" x14ac:dyDescent="0.25">
      <c r="A19" s="6">
        <v>13</v>
      </c>
      <c r="B19" s="8" t="s">
        <v>38</v>
      </c>
      <c r="C19" s="6"/>
      <c r="D19" s="6"/>
      <c r="E19" s="6">
        <f>'APRIL 21'!H19:H33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15" x14ac:dyDescent="0.25">
      <c r="A20" s="6">
        <v>14</v>
      </c>
      <c r="B20" s="6" t="s">
        <v>35</v>
      </c>
      <c r="C20" s="6"/>
      <c r="D20" s="6">
        <v>3000</v>
      </c>
      <c r="E20" s="6">
        <f>'APRIL 21'!H20:H34</f>
        <v>1000</v>
      </c>
      <c r="F20" s="6">
        <f t="shared" si="0"/>
        <v>4000</v>
      </c>
      <c r="G20" s="6">
        <f>1300+700+1000+1000</f>
        <v>4000</v>
      </c>
      <c r="H20" s="6">
        <f>F20-G20</f>
        <v>0</v>
      </c>
      <c r="I20" s="6"/>
    </row>
    <row r="21" spans="1:15" x14ac:dyDescent="0.25">
      <c r="A21" s="6"/>
      <c r="B21" s="10"/>
      <c r="C21" s="6"/>
      <c r="D21" s="6"/>
      <c r="E21" s="6">
        <f>'APRIL 21'!H21:H35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15" x14ac:dyDescent="0.25">
      <c r="A22" s="6"/>
      <c r="B22" s="11" t="s">
        <v>10</v>
      </c>
      <c r="C22" s="11">
        <f t="shared" ref="C22:H22" si="2">SUM(C7:C21)</f>
        <v>6900</v>
      </c>
      <c r="D22" s="7">
        <f t="shared" si="2"/>
        <v>33800</v>
      </c>
      <c r="E22" s="6">
        <f>SUM(E7:E21)</f>
        <v>7800</v>
      </c>
      <c r="F22" s="6">
        <f t="shared" si="2"/>
        <v>48500</v>
      </c>
      <c r="G22" s="7">
        <f>SUM(G7:G21)</f>
        <v>42700</v>
      </c>
      <c r="H22" s="7">
        <f t="shared" si="2"/>
        <v>5800</v>
      </c>
      <c r="I22" s="7">
        <f>SUM(I7:I21)</f>
        <v>0</v>
      </c>
    </row>
    <row r="23" spans="1:15" x14ac:dyDescent="0.25">
      <c r="A23" s="9">
        <v>15</v>
      </c>
      <c r="E23" s="6">
        <f>'SEPTEMBER 20'!H23:H38</f>
        <v>0</v>
      </c>
      <c r="H23" s="9"/>
    </row>
    <row r="24" spans="1:15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15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15" x14ac:dyDescent="0.25">
      <c r="B26" s="10" t="s">
        <v>107</v>
      </c>
      <c r="C26">
        <f>D22</f>
        <v>33800</v>
      </c>
      <c r="D26" s="17"/>
      <c r="E26" s="16"/>
      <c r="F26" s="18" t="s">
        <v>107</v>
      </c>
      <c r="G26" s="16">
        <f>G22+H23</f>
        <v>42700</v>
      </c>
      <c r="H26" s="17"/>
      <c r="I26" s="10"/>
    </row>
    <row r="27" spans="1:15" x14ac:dyDescent="0.25">
      <c r="B27" s="10" t="s">
        <v>18</v>
      </c>
      <c r="C27" s="16">
        <f>'APRIL 21'!E37</f>
        <v>0</v>
      </c>
      <c r="D27" s="10"/>
      <c r="E27" s="10"/>
      <c r="F27" s="10" t="s">
        <v>18</v>
      </c>
      <c r="G27" s="16">
        <f>'APRIL 21'!I37</f>
        <v>-7900</v>
      </c>
      <c r="H27" s="10"/>
      <c r="I27" s="10"/>
      <c r="L27">
        <v>32600</v>
      </c>
      <c r="M27">
        <f>C26-D30</f>
        <v>30420</v>
      </c>
    </row>
    <row r="28" spans="1:15" x14ac:dyDescent="0.25">
      <c r="B28" s="10" t="s">
        <v>3</v>
      </c>
      <c r="C28" s="10">
        <f>2900+3000</f>
        <v>5900</v>
      </c>
      <c r="D28" s="10"/>
      <c r="E28" s="10"/>
      <c r="F28" s="10"/>
      <c r="G28" s="16"/>
      <c r="H28" s="16"/>
      <c r="I28" s="10"/>
      <c r="L28">
        <f>D30</f>
        <v>3380</v>
      </c>
      <c r="O28">
        <f>C26-D30</f>
        <v>30420</v>
      </c>
    </row>
    <row r="29" spans="1:15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  <c r="L29">
        <f>L27-L28</f>
        <v>29220</v>
      </c>
    </row>
    <row r="30" spans="1:15" x14ac:dyDescent="0.25">
      <c r="B30" s="10" t="s">
        <v>20</v>
      </c>
      <c r="C30" s="17">
        <v>0.1</v>
      </c>
      <c r="D30" s="10">
        <f>C30*C26</f>
        <v>3380</v>
      </c>
      <c r="E30" s="10"/>
      <c r="F30" s="10" t="s">
        <v>20</v>
      </c>
      <c r="G30" s="17">
        <v>0.1</v>
      </c>
      <c r="H30" s="10">
        <f>C30*C26</f>
        <v>3380</v>
      </c>
      <c r="I30" s="10"/>
      <c r="L30">
        <f>D32</f>
        <v>20000</v>
      </c>
      <c r="M30">
        <f>L29-L32</f>
        <v>27220</v>
      </c>
    </row>
    <row r="31" spans="1:15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  <c r="L31">
        <f>L29-L30</f>
        <v>9220</v>
      </c>
      <c r="M31">
        <v>1080</v>
      </c>
    </row>
    <row r="32" spans="1:15" x14ac:dyDescent="0.25">
      <c r="B32" s="20" t="s">
        <v>109</v>
      </c>
      <c r="C32" s="17"/>
      <c r="D32" s="10">
        <v>20000</v>
      </c>
      <c r="E32" s="10"/>
      <c r="F32" s="20" t="s">
        <v>109</v>
      </c>
      <c r="G32" s="17"/>
      <c r="H32" s="10">
        <v>20000</v>
      </c>
      <c r="I32" s="10"/>
      <c r="J32" s="26">
        <f>1200-J33</f>
        <v>1080</v>
      </c>
      <c r="L32">
        <f>D33</f>
        <v>2000</v>
      </c>
      <c r="O32">
        <f>M27</f>
        <v>30420</v>
      </c>
    </row>
    <row r="33" spans="2:16" x14ac:dyDescent="0.25">
      <c r="B33" s="6" t="s">
        <v>110</v>
      </c>
      <c r="C33" s="6"/>
      <c r="D33" s="6">
        <v>2000</v>
      </c>
      <c r="E33" s="6"/>
      <c r="F33" s="6"/>
      <c r="G33" s="6"/>
      <c r="H33" s="6"/>
      <c r="I33" s="10"/>
      <c r="J33" s="26">
        <f>G30*D15</f>
        <v>120</v>
      </c>
      <c r="L33">
        <f>L31-L32</f>
        <v>7220</v>
      </c>
      <c r="O33">
        <f>C28</f>
        <v>5900</v>
      </c>
    </row>
    <row r="34" spans="2:16" x14ac:dyDescent="0.25">
      <c r="B34" s="20" t="s">
        <v>114</v>
      </c>
      <c r="C34" s="10"/>
      <c r="D34" s="10">
        <v>14000</v>
      </c>
      <c r="E34" s="10"/>
      <c r="F34" s="20" t="s">
        <v>114</v>
      </c>
      <c r="G34" s="10"/>
      <c r="H34" s="10">
        <v>14000</v>
      </c>
      <c r="I34" s="10"/>
      <c r="O34">
        <f>O32+O33</f>
        <v>36320</v>
      </c>
    </row>
    <row r="35" spans="2:16" x14ac:dyDescent="0.25">
      <c r="B35" s="20"/>
      <c r="C35" s="10"/>
      <c r="D35" s="10"/>
      <c r="E35" s="10"/>
      <c r="F35" s="20"/>
      <c r="G35" s="10"/>
      <c r="H35" s="10"/>
      <c r="I35" s="10"/>
      <c r="L35">
        <f>L33+L34</f>
        <v>7220</v>
      </c>
      <c r="O35">
        <f>O34-2000</f>
        <v>34320</v>
      </c>
    </row>
    <row r="36" spans="2:16" x14ac:dyDescent="0.25">
      <c r="B36" s="20"/>
      <c r="C36" s="16"/>
      <c r="D36" s="16"/>
      <c r="E36" s="16"/>
      <c r="F36" s="20"/>
      <c r="G36" s="16"/>
      <c r="H36" s="16"/>
      <c r="I36" s="10"/>
      <c r="J36" s="26"/>
      <c r="L36">
        <v>5900</v>
      </c>
      <c r="O36">
        <f>D32</f>
        <v>20000</v>
      </c>
    </row>
    <row r="37" spans="2:16" x14ac:dyDescent="0.25">
      <c r="B37" s="22" t="s">
        <v>10</v>
      </c>
      <c r="C37" s="26">
        <f>C26+C27+C28-D30</f>
        <v>36320</v>
      </c>
      <c r="D37" s="22">
        <f>SUM(D32:D36)</f>
        <v>36000</v>
      </c>
      <c r="E37" s="23">
        <f>C37-D37</f>
        <v>320</v>
      </c>
      <c r="F37" s="24"/>
      <c r="G37" s="23">
        <f>G26+G27-H30</f>
        <v>31420</v>
      </c>
      <c r="H37" s="23">
        <f>SUM(H32:H36)</f>
        <v>34000</v>
      </c>
      <c r="I37" s="23">
        <f>G37-H37</f>
        <v>-2580</v>
      </c>
      <c r="J37" s="26"/>
      <c r="L37">
        <f>L35+L36</f>
        <v>13120</v>
      </c>
      <c r="O37">
        <f>O35-O36</f>
        <v>14320</v>
      </c>
      <c r="P37">
        <v>900</v>
      </c>
    </row>
    <row r="38" spans="2:16" x14ac:dyDescent="0.25">
      <c r="J38" s="26"/>
      <c r="O38">
        <f>14000</f>
        <v>14000</v>
      </c>
    </row>
    <row r="39" spans="2:16" x14ac:dyDescent="0.25">
      <c r="O39">
        <f>O37-O38</f>
        <v>320</v>
      </c>
    </row>
    <row r="40" spans="2:16" x14ac:dyDescent="0.25">
      <c r="H40" s="26"/>
    </row>
    <row r="43" spans="2:16" x14ac:dyDescent="0.25">
      <c r="I43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SEPTEMBER 20</vt:lpstr>
      <vt:lpstr>OCTOBER 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Njeri</dc:creator>
  <cp:lastModifiedBy>ASSETFLOW PC3</cp:lastModifiedBy>
  <dcterms:created xsi:type="dcterms:W3CDTF">2020-08-31T09:29:45Z</dcterms:created>
  <dcterms:modified xsi:type="dcterms:W3CDTF">2021-12-16T07:50:35Z</dcterms:modified>
</cp:coreProperties>
</file>