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illiam\Downloads\"/>
    </mc:Choice>
  </mc:AlternateContent>
  <xr:revisionPtr revIDLastSave="0" documentId="13_ncr:1_{DB93C7D6-9E09-48B9-8A94-70BAE14F3CC6}" xr6:coauthVersionLast="45" xr6:coauthVersionMax="45" xr10:uidLastSave="{00000000-0000-0000-0000-000000000000}"/>
  <workbookProtection workbookAlgorithmName="SHA-512" workbookHashValue="FoNWi/GbkYl8esAemX+1LU489IjNYzPc6gs4gJIfW6afR8dbA/E8/BnvAIIPP69FXs4p3Vyb3RtAJUupqjQuRA==" workbookSaltValue="NFA7EsN1dlrMrIPRMpVjXg==" workbookSpinCount="100000" lockStructure="1"/>
  <bookViews>
    <workbookView xWindow="-110" yWindow="-110" windowWidth="18220" windowHeight="11620" xr2:uid="{00000000-000D-0000-FFFF-FFFF00000000}"/>
  </bookViews>
  <sheets>
    <sheet name="IS" sheetId="8" r:id="rId1"/>
    <sheet name="BS" sheetId="9" r:id="rId2"/>
    <sheet name="CFS" sheetId="10" r:id="rId3"/>
    <sheet name="Comps" sheetId="11" r:id="rId4"/>
    <sheet name="Investment" sheetId="12" r:id="rId5"/>
    <sheet name="Assumptions" sheetId="1" r:id="rId6"/>
    <sheet name="WACC" sheetId="2" r:id="rId7"/>
    <sheet name="Model" sheetId="3" r:id="rId8"/>
    <sheet name="APV" sheetId="4" r:id="rId9"/>
    <sheet name="APV Amort" sheetId="5" r:id="rId10"/>
  </sheets>
  <externalReferences>
    <externalReference r:id="rId11"/>
  </externalReferences>
  <definedNames>
    <definedName name="cost">#REF!</definedName>
    <definedName name="eva">#REF!</definedName>
    <definedName name="hist_inc">#REF!</definedName>
    <definedName name="irr">#REF!</definedName>
    <definedName name="npv">#REF!</definedName>
    <definedName name="project_bal">#REF!</definedName>
    <definedName name="TaxRate">'[1]Hist Inc'!$D$80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C10" i="3"/>
  <c r="I33" i="2"/>
  <c r="G17" i="2"/>
  <c r="G18" i="2"/>
  <c r="G19" i="2"/>
  <c r="G20" i="2"/>
  <c r="G21" i="2"/>
  <c r="G16" i="2"/>
  <c r="G10" i="2"/>
  <c r="G9" i="2"/>
  <c r="G8" i="2"/>
  <c r="G7" i="2"/>
  <c r="G19" i="10"/>
  <c r="H19" i="10"/>
  <c r="I19" i="10"/>
  <c r="F19" i="10"/>
  <c r="G15" i="10"/>
  <c r="H15" i="10"/>
  <c r="I15" i="10"/>
  <c r="F15" i="10"/>
  <c r="G10" i="10" l="1"/>
  <c r="H10" i="10"/>
  <c r="I10" i="10"/>
  <c r="F10" i="10"/>
  <c r="G9" i="10"/>
  <c r="H9" i="10"/>
  <c r="I9" i="10"/>
  <c r="F9" i="10"/>
  <c r="G8" i="10"/>
  <c r="H8" i="10"/>
  <c r="I8" i="10"/>
  <c r="F8" i="10"/>
  <c r="F7" i="10"/>
  <c r="F14" i="10" s="1"/>
  <c r="F16" i="10" s="1"/>
  <c r="G7" i="10"/>
  <c r="G14" i="10" s="1"/>
  <c r="H7" i="10"/>
  <c r="H14" i="10" s="1"/>
  <c r="H16" i="10" s="1"/>
  <c r="I7" i="10"/>
  <c r="I14" i="10" s="1"/>
  <c r="I16" i="10" s="1"/>
  <c r="E7" i="10"/>
  <c r="D11" i="12"/>
  <c r="I34" i="2" s="1"/>
  <c r="H10" i="12"/>
  <c r="H9" i="12"/>
  <c r="F9" i="12"/>
  <c r="H8" i="12"/>
  <c r="F8" i="12"/>
  <c r="H7" i="12"/>
  <c r="F7" i="12"/>
  <c r="G17" i="11"/>
  <c r="F17" i="11"/>
  <c r="G15" i="11"/>
  <c r="F15" i="11"/>
  <c r="K14" i="11"/>
  <c r="D14" i="11"/>
  <c r="I10" i="11"/>
  <c r="I17" i="11" s="1"/>
  <c r="D10" i="11"/>
  <c r="K9" i="11"/>
  <c r="J9" i="11"/>
  <c r="I9" i="11"/>
  <c r="I16" i="11" s="1"/>
  <c r="H9" i="11"/>
  <c r="H16" i="11" s="1"/>
  <c r="G9" i="11"/>
  <c r="G16" i="11" s="1"/>
  <c r="D9" i="11"/>
  <c r="I8" i="11"/>
  <c r="I15" i="11" s="1"/>
  <c r="D8" i="11"/>
  <c r="J7" i="11"/>
  <c r="J14" i="11" s="1"/>
  <c r="I7" i="11"/>
  <c r="E14" i="11" s="1"/>
  <c r="D7" i="11"/>
  <c r="E7" i="11" s="1"/>
  <c r="H14" i="11" s="1"/>
  <c r="E21" i="10"/>
  <c r="E16" i="10"/>
  <c r="G16" i="10"/>
  <c r="F5" i="10"/>
  <c r="G5" i="10" s="1"/>
  <c r="H5" i="10" s="1"/>
  <c r="I5" i="10" s="1"/>
  <c r="I27" i="9"/>
  <c r="I34" i="9" s="1"/>
  <c r="H27" i="9"/>
  <c r="H34" i="9" s="1"/>
  <c r="G27" i="9"/>
  <c r="G34" i="9" s="1"/>
  <c r="F27" i="9"/>
  <c r="F34" i="9" s="1"/>
  <c r="E27" i="9"/>
  <c r="E34" i="9" s="1"/>
  <c r="I26" i="9"/>
  <c r="H26" i="9"/>
  <c r="H33" i="9" s="1"/>
  <c r="G26" i="9"/>
  <c r="F26" i="9"/>
  <c r="F33" i="9" s="1"/>
  <c r="E26" i="9"/>
  <c r="E33" i="9" s="1"/>
  <c r="I25" i="9"/>
  <c r="I32" i="9" s="1"/>
  <c r="H25" i="9"/>
  <c r="H32" i="9" s="1"/>
  <c r="G25" i="9"/>
  <c r="G32" i="9" s="1"/>
  <c r="F25" i="9"/>
  <c r="F32" i="9" s="1"/>
  <c r="E25" i="9"/>
  <c r="E32" i="9" s="1"/>
  <c r="I21" i="9"/>
  <c r="H21" i="9"/>
  <c r="G21" i="9"/>
  <c r="F21" i="9"/>
  <c r="E21" i="9"/>
  <c r="I9" i="9"/>
  <c r="I13" i="9" s="1"/>
  <c r="H9" i="9"/>
  <c r="H13" i="9" s="1"/>
  <c r="G9" i="9"/>
  <c r="G13" i="9" s="1"/>
  <c r="F9" i="9"/>
  <c r="F13" i="9" s="1"/>
  <c r="E9" i="9"/>
  <c r="E13" i="9" s="1"/>
  <c r="F5" i="9"/>
  <c r="G5" i="9" s="1"/>
  <c r="H5" i="9" s="1"/>
  <c r="I5" i="9" s="1"/>
  <c r="I22" i="8"/>
  <c r="H22" i="8"/>
  <c r="G22" i="8"/>
  <c r="F22" i="8"/>
  <c r="E22" i="8"/>
  <c r="I20" i="8"/>
  <c r="H20" i="8"/>
  <c r="G20" i="8"/>
  <c r="F20" i="8"/>
  <c r="I8" i="8"/>
  <c r="I21" i="8" s="1"/>
  <c r="H8" i="8"/>
  <c r="H21" i="8" s="1"/>
  <c r="G8" i="8"/>
  <c r="G21" i="8" s="1"/>
  <c r="F8" i="8"/>
  <c r="F21" i="8" s="1"/>
  <c r="E8" i="8"/>
  <c r="E21" i="8" s="1"/>
  <c r="F5" i="8"/>
  <c r="G5" i="8" s="1"/>
  <c r="H5" i="8" s="1"/>
  <c r="I5" i="8" s="1"/>
  <c r="C34" i="5"/>
  <c r="D36" i="5" s="1"/>
  <c r="B30" i="5"/>
  <c r="B22" i="5"/>
  <c r="G13" i="5"/>
  <c r="G16" i="5" s="1"/>
  <c r="G17" i="5" s="1"/>
  <c r="F13" i="5"/>
  <c r="F16" i="5" s="1"/>
  <c r="E13" i="5"/>
  <c r="E16" i="5" s="1"/>
  <c r="E17" i="5" s="1"/>
  <c r="D13" i="5"/>
  <c r="D16" i="5" s="1"/>
  <c r="C13" i="5"/>
  <c r="C16" i="5" s="1"/>
  <c r="C20" i="5" s="1"/>
  <c r="B27" i="4"/>
  <c r="B26" i="4"/>
  <c r="B25" i="4"/>
  <c r="B22" i="4"/>
  <c r="B7" i="4"/>
  <c r="B16" i="4" s="1"/>
  <c r="B17" i="4" s="1"/>
  <c r="G1" i="1"/>
  <c r="F5" i="1"/>
  <c r="G5" i="1" s="1"/>
  <c r="H5" i="1" s="1"/>
  <c r="I5" i="1" s="1"/>
  <c r="J5" i="1" s="1"/>
  <c r="K5" i="1" s="1"/>
  <c r="L5" i="1" s="1"/>
  <c r="M5" i="1" s="1"/>
  <c r="N5" i="1" s="1"/>
  <c r="E25" i="1"/>
  <c r="E27" i="1" s="1"/>
  <c r="F23" i="1"/>
  <c r="G23" i="1" s="1"/>
  <c r="E20" i="1"/>
  <c r="F19" i="1"/>
  <c r="F20" i="1" s="1"/>
  <c r="F14" i="1"/>
  <c r="F13" i="1"/>
  <c r="F9" i="1"/>
  <c r="G9" i="1" s="1"/>
  <c r="E8" i="1"/>
  <c r="F6" i="1"/>
  <c r="F8" i="1" s="1"/>
  <c r="B17" i="2"/>
  <c r="B18" i="2" s="1"/>
  <c r="C16" i="2"/>
  <c r="H11" i="2"/>
  <c r="I1" i="2"/>
  <c r="B17" i="3"/>
  <c r="B21" i="3" s="1"/>
  <c r="H10" i="11" l="1"/>
  <c r="H17" i="11" s="1"/>
  <c r="C35" i="5"/>
  <c r="C26" i="5" s="1"/>
  <c r="E10" i="1"/>
  <c r="C7" i="3" s="1"/>
  <c r="C8" i="3"/>
  <c r="G13" i="1"/>
  <c r="D8" i="3"/>
  <c r="G14" i="1"/>
  <c r="D10" i="3"/>
  <c r="H10" i="8"/>
  <c r="H23" i="8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E34" i="1"/>
  <c r="E36" i="1"/>
  <c r="F36" i="1" s="1"/>
  <c r="E7" i="2"/>
  <c r="C8" i="11"/>
  <c r="E8" i="2"/>
  <c r="F8" i="2" s="1"/>
  <c r="I8" i="2" s="1"/>
  <c r="C9" i="11"/>
  <c r="E9" i="2"/>
  <c r="F9" i="2" s="1"/>
  <c r="I9" i="2" s="1"/>
  <c r="F16" i="11"/>
  <c r="C10" i="11"/>
  <c r="J17" i="11" s="1"/>
  <c r="E10" i="2"/>
  <c r="F10" i="2" s="1"/>
  <c r="I10" i="2" s="1"/>
  <c r="F36" i="5"/>
  <c r="F11" i="12"/>
  <c r="E28" i="9"/>
  <c r="E30" i="9" s="1"/>
  <c r="G28" i="9"/>
  <c r="G30" i="9" s="1"/>
  <c r="I28" i="9"/>
  <c r="I30" i="9" s="1"/>
  <c r="I33" i="9"/>
  <c r="I35" i="9" s="1"/>
  <c r="G33" i="9"/>
  <c r="H11" i="12"/>
  <c r="E15" i="1" s="1"/>
  <c r="F35" i="9"/>
  <c r="H35" i="9"/>
  <c r="F10" i="8"/>
  <c r="F23" i="8" s="1"/>
  <c r="J16" i="11"/>
  <c r="K16" i="11"/>
  <c r="J15" i="11"/>
  <c r="K15" i="11"/>
  <c r="H8" i="11"/>
  <c r="G14" i="11"/>
  <c r="G18" i="11" s="1"/>
  <c r="I14" i="11"/>
  <c r="I18" i="11" s="1"/>
  <c r="E15" i="11"/>
  <c r="E16" i="11"/>
  <c r="E17" i="11"/>
  <c r="F14" i="11"/>
  <c r="F18" i="11" s="1"/>
  <c r="D16" i="11"/>
  <c r="D17" i="11"/>
  <c r="F28" i="9"/>
  <c r="F30" i="9" s="1"/>
  <c r="H28" i="9"/>
  <c r="H30" i="9" s="1"/>
  <c r="E35" i="9"/>
  <c r="G35" i="9"/>
  <c r="E10" i="8"/>
  <c r="G10" i="8"/>
  <c r="I10" i="8"/>
  <c r="I31" i="2" s="1"/>
  <c r="I37" i="2" s="1"/>
  <c r="H12" i="8"/>
  <c r="D20" i="5"/>
  <c r="D17" i="5"/>
  <c r="F20" i="5"/>
  <c r="F17" i="5"/>
  <c r="G18" i="5"/>
  <c r="G19" i="5" s="1"/>
  <c r="C27" i="5"/>
  <c r="E18" i="5"/>
  <c r="E19" i="5" s="1"/>
  <c r="E20" i="5"/>
  <c r="G20" i="5"/>
  <c r="C17" i="5"/>
  <c r="C36" i="5"/>
  <c r="C37" i="5" s="1"/>
  <c r="C29" i="5" s="1"/>
  <c r="E36" i="5"/>
  <c r="G36" i="5"/>
  <c r="B18" i="4"/>
  <c r="B19" i="4" s="1"/>
  <c r="B21" i="4" s="1"/>
  <c r="B23" i="4" s="1"/>
  <c r="B28" i="4" s="1"/>
  <c r="I32" i="2"/>
  <c r="J33" i="2" s="1"/>
  <c r="G11" i="2"/>
  <c r="G6" i="1"/>
  <c r="H6" i="1" s="1"/>
  <c r="H8" i="1" s="1"/>
  <c r="E40" i="1"/>
  <c r="G19" i="1"/>
  <c r="H19" i="1" s="1"/>
  <c r="I19" i="1" s="1"/>
  <c r="F26" i="1"/>
  <c r="G25" i="1"/>
  <c r="H23" i="1"/>
  <c r="G36" i="1"/>
  <c r="I6" i="1"/>
  <c r="H9" i="1"/>
  <c r="F10" i="1"/>
  <c r="D7" i="3" s="1"/>
  <c r="D12" i="3" s="1"/>
  <c r="F25" i="1"/>
  <c r="E29" i="1"/>
  <c r="C9" i="3" s="1"/>
  <c r="E42" i="1"/>
  <c r="B19" i="2"/>
  <c r="C18" i="2"/>
  <c r="I35" i="2"/>
  <c r="F7" i="2"/>
  <c r="C17" i="2"/>
  <c r="B29" i="3"/>
  <c r="B23" i="3"/>
  <c r="C28" i="5" l="1"/>
  <c r="C30" i="5" s="1"/>
  <c r="E35" i="1"/>
  <c r="F35" i="1" s="1"/>
  <c r="I11" i="2"/>
  <c r="D19" i="2" s="1"/>
  <c r="E11" i="2"/>
  <c r="F11" i="2" s="1"/>
  <c r="E44" i="1"/>
  <c r="F34" i="1"/>
  <c r="H14" i="1"/>
  <c r="E10" i="3"/>
  <c r="H13" i="1"/>
  <c r="C12" i="3"/>
  <c r="I38" i="2"/>
  <c r="G20" i="1"/>
  <c r="G8" i="1"/>
  <c r="G26" i="1" s="1"/>
  <c r="G27" i="1" s="1"/>
  <c r="F12" i="8"/>
  <c r="F24" i="8" s="1"/>
  <c r="K17" i="11"/>
  <c r="J18" i="11"/>
  <c r="D17" i="2"/>
  <c r="E17" i="2" s="1"/>
  <c r="F17" i="2" s="1"/>
  <c r="H17" i="2" s="1"/>
  <c r="D13" i="3"/>
  <c r="D17" i="3" s="1"/>
  <c r="F13" i="3"/>
  <c r="F17" i="3" s="1"/>
  <c r="H13" i="3"/>
  <c r="H17" i="3" s="1"/>
  <c r="L13" i="3"/>
  <c r="L17" i="3" s="1"/>
  <c r="E13" i="3"/>
  <c r="E17" i="3" s="1"/>
  <c r="G13" i="3"/>
  <c r="G17" i="3" s="1"/>
  <c r="I13" i="3"/>
  <c r="I17" i="3" s="1"/>
  <c r="K13" i="3"/>
  <c r="K17" i="3" s="1"/>
  <c r="C13" i="3"/>
  <c r="C17" i="3" s="1"/>
  <c r="J13" i="3"/>
  <c r="J17" i="3" s="1"/>
  <c r="C11" i="3"/>
  <c r="F15" i="1"/>
  <c r="C14" i="3"/>
  <c r="E46" i="1"/>
  <c r="E18" i="11"/>
  <c r="K18" i="11"/>
  <c r="H20" i="1"/>
  <c r="C38" i="5"/>
  <c r="D34" i="5" s="1"/>
  <c r="D35" i="5" s="1"/>
  <c r="G21" i="5"/>
  <c r="G22" i="5" s="1"/>
  <c r="H15" i="11"/>
  <c r="H18" i="11" s="1"/>
  <c r="D15" i="11"/>
  <c r="D18" i="11" s="1"/>
  <c r="F14" i="8"/>
  <c r="G12" i="8"/>
  <c r="G23" i="8"/>
  <c r="H14" i="8"/>
  <c r="H24" i="8"/>
  <c r="I12" i="8"/>
  <c r="I23" i="8"/>
  <c r="E12" i="8"/>
  <c r="E23" i="8"/>
  <c r="C18" i="5"/>
  <c r="C19" i="5" s="1"/>
  <c r="C21" i="5" s="1"/>
  <c r="C22" i="5" s="1"/>
  <c r="F18" i="5"/>
  <c r="F19" i="5" s="1"/>
  <c r="F21" i="5" s="1"/>
  <c r="F22" i="5" s="1"/>
  <c r="D18" i="5"/>
  <c r="D19" i="5" s="1"/>
  <c r="D21" i="5" s="1"/>
  <c r="D22" i="5" s="1"/>
  <c r="E21" i="5"/>
  <c r="E22" i="5" s="1"/>
  <c r="I9" i="1"/>
  <c r="H10" i="1"/>
  <c r="F7" i="3" s="1"/>
  <c r="F12" i="3" s="1"/>
  <c r="J6" i="1"/>
  <c r="I8" i="1"/>
  <c r="H36" i="1"/>
  <c r="I23" i="1"/>
  <c r="H25" i="1"/>
  <c r="J19" i="1"/>
  <c r="I20" i="1"/>
  <c r="H26" i="1"/>
  <c r="H27" i="1" s="1"/>
  <c r="F27" i="1"/>
  <c r="F42" i="1"/>
  <c r="B20" i="2"/>
  <c r="C19" i="2"/>
  <c r="C15" i="3"/>
  <c r="C16" i="3" s="1"/>
  <c r="B24" i="3"/>
  <c r="G10" i="1" l="1"/>
  <c r="E7" i="3" s="1"/>
  <c r="E12" i="3" s="1"/>
  <c r="E45" i="1"/>
  <c r="D20" i="2"/>
  <c r="D21" i="2"/>
  <c r="D16" i="2"/>
  <c r="E16" i="2" s="1"/>
  <c r="F16" i="2" s="1"/>
  <c r="H16" i="2" s="1"/>
  <c r="D18" i="2"/>
  <c r="E18" i="2" s="1"/>
  <c r="F18" i="2" s="1"/>
  <c r="H18" i="2" s="1"/>
  <c r="E47" i="1"/>
  <c r="E48" i="1" s="1"/>
  <c r="C18" i="3" s="1"/>
  <c r="E19" i="2"/>
  <c r="F19" i="2" s="1"/>
  <c r="H19" i="2" s="1"/>
  <c r="E8" i="3"/>
  <c r="F44" i="1"/>
  <c r="G34" i="1"/>
  <c r="I13" i="1"/>
  <c r="F8" i="3"/>
  <c r="I14" i="1"/>
  <c r="F10" i="3"/>
  <c r="F45" i="1"/>
  <c r="G35" i="1"/>
  <c r="G15" i="1"/>
  <c r="D11" i="3"/>
  <c r="E24" i="8"/>
  <c r="E14" i="8"/>
  <c r="I24" i="8"/>
  <c r="I14" i="8"/>
  <c r="H26" i="8"/>
  <c r="H16" i="8"/>
  <c r="G24" i="8"/>
  <c r="G14" i="8"/>
  <c r="F26" i="8"/>
  <c r="F16" i="8"/>
  <c r="D26" i="5"/>
  <c r="D37" i="5"/>
  <c r="B23" i="5"/>
  <c r="H40" i="1"/>
  <c r="H29" i="1"/>
  <c r="F9" i="3" s="1"/>
  <c r="G40" i="1"/>
  <c r="G29" i="1"/>
  <c r="E9" i="3" s="1"/>
  <c r="F40" i="1"/>
  <c r="F29" i="1"/>
  <c r="D9" i="3" s="1"/>
  <c r="J20" i="1"/>
  <c r="K19" i="1"/>
  <c r="I25" i="1"/>
  <c r="J23" i="1"/>
  <c r="I36" i="1"/>
  <c r="J8" i="1"/>
  <c r="K6" i="1"/>
  <c r="I10" i="1"/>
  <c r="G7" i="3" s="1"/>
  <c r="G12" i="3" s="1"/>
  <c r="J9" i="1"/>
  <c r="H42" i="1"/>
  <c r="G42" i="1"/>
  <c r="I26" i="1"/>
  <c r="B21" i="2"/>
  <c r="C20" i="2"/>
  <c r="E20" i="2" s="1"/>
  <c r="F20" i="2" s="1"/>
  <c r="H20" i="2" s="1"/>
  <c r="G45" i="1" l="1"/>
  <c r="H35" i="1"/>
  <c r="G44" i="1"/>
  <c r="H34" i="1"/>
  <c r="I27" i="1"/>
  <c r="I29" i="1" s="1"/>
  <c r="G9" i="3" s="1"/>
  <c r="J14" i="1"/>
  <c r="G10" i="3"/>
  <c r="J13" i="1"/>
  <c r="G8" i="3"/>
  <c r="H15" i="1"/>
  <c r="E11" i="3"/>
  <c r="F46" i="1"/>
  <c r="F47" i="1" s="1"/>
  <c r="F48" i="1" s="1"/>
  <c r="D18" i="3" s="1"/>
  <c r="D14" i="3"/>
  <c r="D15" i="3" s="1"/>
  <c r="D16" i="3" s="1"/>
  <c r="F25" i="8"/>
  <c r="F6" i="10"/>
  <c r="H25" i="8"/>
  <c r="H6" i="10"/>
  <c r="G26" i="8"/>
  <c r="G16" i="8"/>
  <c r="I26" i="8"/>
  <c r="I16" i="8"/>
  <c r="E26" i="8"/>
  <c r="E16" i="8"/>
  <c r="D27" i="5"/>
  <c r="D28" i="5" s="1"/>
  <c r="D29" i="5"/>
  <c r="D38" i="5"/>
  <c r="E34" i="5" s="1"/>
  <c r="I40" i="1"/>
  <c r="K9" i="1"/>
  <c r="J10" i="1"/>
  <c r="H7" i="3" s="1"/>
  <c r="H12" i="3" s="1"/>
  <c r="L6" i="1"/>
  <c r="K8" i="1"/>
  <c r="J36" i="1"/>
  <c r="K23" i="1"/>
  <c r="J25" i="1"/>
  <c r="L19" i="1"/>
  <c r="K20" i="1"/>
  <c r="J26" i="1"/>
  <c r="I42" i="1"/>
  <c r="C21" i="2"/>
  <c r="E21" i="2" s="1"/>
  <c r="F21" i="2" s="1"/>
  <c r="H21" i="2" s="1"/>
  <c r="H11" i="10" l="1"/>
  <c r="H20" i="10"/>
  <c r="H21" i="10" s="1"/>
  <c r="F11" i="10"/>
  <c r="F20" i="10"/>
  <c r="F21" i="10" s="1"/>
  <c r="K13" i="1"/>
  <c r="H8" i="3"/>
  <c r="K14" i="1"/>
  <c r="H10" i="3"/>
  <c r="H44" i="1"/>
  <c r="I34" i="1"/>
  <c r="H45" i="1"/>
  <c r="I35" i="1"/>
  <c r="I15" i="1"/>
  <c r="F11" i="3"/>
  <c r="E14" i="3"/>
  <c r="E15" i="3" s="1"/>
  <c r="E16" i="3" s="1"/>
  <c r="G46" i="1"/>
  <c r="G47" i="1" s="1"/>
  <c r="G48" i="1" s="1"/>
  <c r="E18" i="3" s="1"/>
  <c r="I25" i="8"/>
  <c r="I6" i="10"/>
  <c r="D30" i="5"/>
  <c r="E25" i="8"/>
  <c r="E6" i="10"/>
  <c r="E11" i="10" s="1"/>
  <c r="E23" i="10" s="1"/>
  <c r="G25" i="8"/>
  <c r="G6" i="10"/>
  <c r="D28" i="8"/>
  <c r="E35" i="5"/>
  <c r="J27" i="1"/>
  <c r="J29" i="1" s="1"/>
  <c r="H9" i="3" s="1"/>
  <c r="L20" i="1"/>
  <c r="M19" i="1"/>
  <c r="K25" i="1"/>
  <c r="L23" i="1"/>
  <c r="K36" i="1"/>
  <c r="L8" i="1"/>
  <c r="M6" i="1"/>
  <c r="K10" i="1"/>
  <c r="I7" i="3" s="1"/>
  <c r="I12" i="3" s="1"/>
  <c r="L9" i="1"/>
  <c r="J42" i="1"/>
  <c r="J40" i="1"/>
  <c r="K26" i="1"/>
  <c r="F23" i="10" l="1"/>
  <c r="H23" i="10"/>
  <c r="G11" i="10"/>
  <c r="G20" i="10"/>
  <c r="G21" i="10" s="1"/>
  <c r="L14" i="1"/>
  <c r="I10" i="3"/>
  <c r="L13" i="1"/>
  <c r="I8" i="3"/>
  <c r="I11" i="10"/>
  <c r="I20" i="10"/>
  <c r="I21" i="10" s="1"/>
  <c r="I45" i="1"/>
  <c r="J35" i="1"/>
  <c r="I44" i="1"/>
  <c r="J34" i="1"/>
  <c r="J15" i="1"/>
  <c r="G11" i="3"/>
  <c r="F14" i="3"/>
  <c r="F15" i="3" s="1"/>
  <c r="F16" i="3" s="1"/>
  <c r="H46" i="1"/>
  <c r="H47" i="1" s="1"/>
  <c r="H48" i="1" s="1"/>
  <c r="F18" i="3" s="1"/>
  <c r="E26" i="5"/>
  <c r="E37" i="5"/>
  <c r="K27" i="1"/>
  <c r="K40" i="1" s="1"/>
  <c r="K42" i="1"/>
  <c r="M9" i="1"/>
  <c r="L10" i="1"/>
  <c r="J7" i="3" s="1"/>
  <c r="J12" i="3" s="1"/>
  <c r="L26" i="1"/>
  <c r="L42" i="1" s="1"/>
  <c r="N6" i="1"/>
  <c r="N8" i="1" s="1"/>
  <c r="M8" i="1"/>
  <c r="L36" i="1"/>
  <c r="M23" i="1"/>
  <c r="L25" i="1"/>
  <c r="N19" i="1"/>
  <c r="N20" i="1" s="1"/>
  <c r="M20" i="1"/>
  <c r="G23" i="10" l="1"/>
  <c r="I23" i="10"/>
  <c r="M13" i="1"/>
  <c r="J8" i="3"/>
  <c r="M14" i="1"/>
  <c r="J10" i="3"/>
  <c r="K29" i="1"/>
  <c r="I9" i="3" s="1"/>
  <c r="J44" i="1"/>
  <c r="K34" i="1"/>
  <c r="J45" i="1"/>
  <c r="K35" i="1"/>
  <c r="K15" i="1"/>
  <c r="H11" i="3"/>
  <c r="G14" i="3"/>
  <c r="G15" i="3" s="1"/>
  <c r="G16" i="3" s="1"/>
  <c r="I46" i="1"/>
  <c r="I47" i="1" s="1"/>
  <c r="I48" i="1" s="1"/>
  <c r="G18" i="3" s="1"/>
  <c r="C21" i="3"/>
  <c r="E27" i="5"/>
  <c r="E28" i="5" s="1"/>
  <c r="E29" i="5"/>
  <c r="E38" i="5"/>
  <c r="F34" i="5" s="1"/>
  <c r="M26" i="1"/>
  <c r="M42" i="1" s="1"/>
  <c r="M10" i="1"/>
  <c r="K7" i="3" s="1"/>
  <c r="K12" i="3" s="1"/>
  <c r="N9" i="1"/>
  <c r="N10" i="1" s="1"/>
  <c r="L7" i="3" s="1"/>
  <c r="L12" i="3" s="1"/>
  <c r="M25" i="1"/>
  <c r="N23" i="1"/>
  <c r="N25" i="1" s="1"/>
  <c r="M36" i="1"/>
  <c r="N26" i="1"/>
  <c r="L27" i="1"/>
  <c r="E30" i="5" l="1"/>
  <c r="K45" i="1"/>
  <c r="L35" i="1"/>
  <c r="K44" i="1"/>
  <c r="L34" i="1"/>
  <c r="N14" i="1"/>
  <c r="L10" i="3" s="1"/>
  <c r="K10" i="3"/>
  <c r="N13" i="1"/>
  <c r="L8" i="3" s="1"/>
  <c r="K8" i="3"/>
  <c r="L15" i="1"/>
  <c r="I11" i="3"/>
  <c r="H14" i="3"/>
  <c r="H15" i="3" s="1"/>
  <c r="H16" i="3" s="1"/>
  <c r="J46" i="1"/>
  <c r="J47" i="1" s="1"/>
  <c r="J48" i="1" s="1"/>
  <c r="H18" i="3" s="1"/>
  <c r="D21" i="3"/>
  <c r="F35" i="5"/>
  <c r="N27" i="1"/>
  <c r="N29" i="1" s="1"/>
  <c r="L9" i="3" s="1"/>
  <c r="N42" i="1"/>
  <c r="L40" i="1"/>
  <c r="L29" i="1"/>
  <c r="J9" i="3" s="1"/>
  <c r="N40" i="1"/>
  <c r="N36" i="1"/>
  <c r="M27" i="1"/>
  <c r="L44" i="1" l="1"/>
  <c r="M34" i="1"/>
  <c r="L45" i="1"/>
  <c r="M35" i="1"/>
  <c r="M15" i="1"/>
  <c r="J11" i="3"/>
  <c r="K46" i="1"/>
  <c r="K47" i="1" s="1"/>
  <c r="K48" i="1" s="1"/>
  <c r="I18" i="3" s="1"/>
  <c r="I14" i="3"/>
  <c r="I15" i="3" s="1"/>
  <c r="I16" i="3" s="1"/>
  <c r="E21" i="3"/>
  <c r="F26" i="5"/>
  <c r="F37" i="5"/>
  <c r="M40" i="1"/>
  <c r="M29" i="1"/>
  <c r="K9" i="3" s="1"/>
  <c r="M45" i="1" l="1"/>
  <c r="N35" i="1"/>
  <c r="N45" i="1" s="1"/>
  <c r="M44" i="1"/>
  <c r="N34" i="1"/>
  <c r="N44" i="1" s="1"/>
  <c r="N15" i="1"/>
  <c r="L11" i="3" s="1"/>
  <c r="K11" i="3"/>
  <c r="J14" i="3"/>
  <c r="J15" i="3" s="1"/>
  <c r="J16" i="3" s="1"/>
  <c r="L46" i="1"/>
  <c r="L47" i="1" s="1"/>
  <c r="L48" i="1" s="1"/>
  <c r="J18" i="3" s="1"/>
  <c r="F21" i="3"/>
  <c r="F27" i="5"/>
  <c r="F28" i="5" s="1"/>
  <c r="F29" i="5"/>
  <c r="F38" i="5"/>
  <c r="G34" i="5" s="1"/>
  <c r="F30" i="5" l="1"/>
  <c r="L14" i="3"/>
  <c r="L15" i="3" s="1"/>
  <c r="L16" i="3" s="1"/>
  <c r="N46" i="1"/>
  <c r="N47" i="1" s="1"/>
  <c r="K14" i="3"/>
  <c r="K15" i="3" s="1"/>
  <c r="K16" i="3" s="1"/>
  <c r="M46" i="1"/>
  <c r="M47" i="1" s="1"/>
  <c r="G21" i="3"/>
  <c r="G35" i="5"/>
  <c r="M48" i="1" l="1"/>
  <c r="K18" i="3" s="1"/>
  <c r="L18" i="3"/>
  <c r="N48" i="1"/>
  <c r="H21" i="3"/>
  <c r="G26" i="5"/>
  <c r="G37" i="5"/>
  <c r="I21" i="3" l="1"/>
  <c r="G27" i="5"/>
  <c r="G28" i="5" s="1"/>
  <c r="G29" i="5"/>
  <c r="G38" i="5"/>
  <c r="G30" i="5" l="1"/>
  <c r="B31" i="5" s="1"/>
  <c r="B32" i="5" s="1"/>
  <c r="L21" i="3"/>
  <c r="J21" i="3" l="1"/>
  <c r="K21" i="3" l="1"/>
  <c r="B26" i="3" l="1"/>
  <c r="C22" i="3" l="1"/>
  <c r="B28" i="3"/>
  <c r="B30" i="3" s="1"/>
  <c r="D22" i="3" l="1"/>
  <c r="C23" i="3"/>
  <c r="C24" i="3" s="1"/>
  <c r="E22" i="3" l="1"/>
  <c r="D23" i="3"/>
  <c r="D24" i="3" s="1"/>
  <c r="F22" i="3" l="1"/>
  <c r="E23" i="3"/>
  <c r="E24" i="3" s="1"/>
  <c r="G22" i="3" l="1"/>
  <c r="F23" i="3"/>
  <c r="F24" i="3" s="1"/>
  <c r="H22" i="3" l="1"/>
  <c r="G23" i="3"/>
  <c r="G24" i="3" s="1"/>
  <c r="I22" i="3" l="1"/>
  <c r="H23" i="3"/>
  <c r="H24" i="3" s="1"/>
  <c r="J22" i="3" l="1"/>
  <c r="I23" i="3"/>
  <c r="I24" i="3" s="1"/>
  <c r="K22" i="3" l="1"/>
  <c r="J23" i="3"/>
  <c r="J24" i="3" s="1"/>
  <c r="L22" i="3" l="1"/>
  <c r="L23" i="3" s="1"/>
  <c r="K23" i="3"/>
  <c r="B25" i="3" l="1"/>
  <c r="K24" i="3"/>
  <c r="L24" i="3" s="1"/>
</calcChain>
</file>

<file path=xl/sharedStrings.xml><?xml version="1.0" encoding="utf-8"?>
<sst xmlns="http://schemas.openxmlformats.org/spreadsheetml/2006/main" count="291" uniqueCount="224">
  <si>
    <t>Value Analysis</t>
  </si>
  <si>
    <t>Revenue</t>
  </si>
  <si>
    <t>Less: Raw Materials</t>
  </si>
  <si>
    <t>Less: Labor</t>
  </si>
  <si>
    <t>Less: Manufacturing Overhead</t>
  </si>
  <si>
    <t>Less: Maintence Expense</t>
  </si>
  <si>
    <t>Less: SG&amp;A</t>
  </si>
  <si>
    <t>Less: Depreciation</t>
  </si>
  <si>
    <t>EBIT</t>
  </si>
  <si>
    <t>Less: Taxes</t>
  </si>
  <si>
    <t>NOPAT/EBIAT</t>
  </si>
  <si>
    <t>Add: Depreciation</t>
  </si>
  <si>
    <t>Less: Change in NWC</t>
  </si>
  <si>
    <t>Less: Capital Expenditures</t>
  </si>
  <si>
    <t>Less: Excess Cash</t>
  </si>
  <si>
    <t>Unlevered Free Cash Flow (FCF)</t>
  </si>
  <si>
    <t>Discount Factor</t>
  </si>
  <si>
    <t>Discounted Free Cash Flow</t>
  </si>
  <si>
    <t>Cumulative DCF</t>
  </si>
  <si>
    <t>Sum of Discounted Cash Flow</t>
  </si>
  <si>
    <t>Cost if Capital (Opportunity Cost)</t>
  </si>
  <si>
    <t xml:space="preserve">NPV of Future Cash Flows </t>
  </si>
  <si>
    <t>Less: Today's Investment</t>
  </si>
  <si>
    <t>Project Valuation</t>
  </si>
  <si>
    <t>Weighted Average Cost of Capital</t>
  </si>
  <si>
    <t>Debt/</t>
  </si>
  <si>
    <t>Equity</t>
  </si>
  <si>
    <t>Debt</t>
  </si>
  <si>
    <t>Asset</t>
  </si>
  <si>
    <t>Company:</t>
  </si>
  <si>
    <t>Value</t>
  </si>
  <si>
    <t>Beta</t>
  </si>
  <si>
    <t>Cathleen Sinclair</t>
  </si>
  <si>
    <t>General Health &amp; Beauty</t>
  </si>
  <si>
    <t>Women's Care Company</t>
  </si>
  <si>
    <t>Skin Care Enterprises</t>
  </si>
  <si>
    <t>Average</t>
  </si>
  <si>
    <t>Cost of</t>
  </si>
  <si>
    <t>Assumptions:</t>
  </si>
  <si>
    <t>WACC</t>
  </si>
  <si>
    <t>10-Year Treasury</t>
  </si>
  <si>
    <t>Market Risk Premium (MRP)</t>
  </si>
  <si>
    <t>Tax Rate</t>
  </si>
  <si>
    <t>Est. Hansson EBITDA Multiple</t>
  </si>
  <si>
    <t>Est. Hansson Enterprise Value</t>
  </si>
  <si>
    <t>Mkt Capt</t>
  </si>
  <si>
    <t>Existing Net Debt</t>
  </si>
  <si>
    <t>Plus:  New Expansion Debt</t>
  </si>
  <si>
    <t>Total Estimated Debt</t>
  </si>
  <si>
    <t>Existing D/V</t>
  </si>
  <si>
    <t>Estimated New D/V</t>
  </si>
  <si>
    <t>Assumed Debt Beta</t>
  </si>
  <si>
    <t>Estimated Cost of Debt</t>
  </si>
  <si>
    <t>Revenue Projection:</t>
  </si>
  <si>
    <t>Total Capacity (000's)</t>
  </si>
  <si>
    <t>Capacity Utilization</t>
  </si>
  <si>
    <t>Unit Volume</t>
  </si>
  <si>
    <t>Selling Price Per Unit - Growing at</t>
  </si>
  <si>
    <t>Production Costs:</t>
  </si>
  <si>
    <t>Raw Materials Per Unit Growing at</t>
  </si>
  <si>
    <t>Manufacturing Overhead Growing at</t>
  </si>
  <si>
    <t>Maintenance Expense Growing at</t>
  </si>
  <si>
    <t>Salaried Labor Cost:</t>
  </si>
  <si>
    <t>Managers</t>
  </si>
  <si>
    <t>Average Annual Fully Loaded Cost</t>
  </si>
  <si>
    <t>Total Salaried Labor Cost</t>
  </si>
  <si>
    <t>Hourly Labor Cost:</t>
  </si>
  <si>
    <t>Average Fully Loaded Hourly Cost</t>
  </si>
  <si>
    <t>Hours Per Year</t>
  </si>
  <si>
    <t>Cost Per Hourly Employee</t>
  </si>
  <si>
    <t>Number of Hourly Workers</t>
  </si>
  <si>
    <t>Total Hourly Labor Cost (000's)</t>
  </si>
  <si>
    <t>Total Labor Cost</t>
  </si>
  <si>
    <t>Selling, General &amp; Administrative/Revenue</t>
  </si>
  <si>
    <t>Working Capital Assumptions (1):</t>
  </si>
  <si>
    <t>Days Sales Outstanding</t>
  </si>
  <si>
    <t>Days Sales Inventory</t>
  </si>
  <si>
    <t>Days Payable Outstanding</t>
  </si>
  <si>
    <t>(1)  Based on historical averages.</t>
  </si>
  <si>
    <t>Hourly Labor Cost Per Unit</t>
  </si>
  <si>
    <t>Units Per Total Labor Hours</t>
  </si>
  <si>
    <t>Ending AR</t>
  </si>
  <si>
    <t>Ending Inventory</t>
  </si>
  <si>
    <t>Ending AP</t>
  </si>
  <si>
    <t>Hanssons Private Label</t>
  </si>
  <si>
    <t>Hansson's Private Label</t>
  </si>
  <si>
    <t>Assumptions</t>
  </si>
  <si>
    <t>Cash Inflows:</t>
  </si>
  <si>
    <t>Cash Costs (72% of Sales):</t>
  </si>
  <si>
    <t>Initial Investment</t>
  </si>
  <si>
    <t>Tc:</t>
  </si>
  <si>
    <t>Debt Financing</t>
  </si>
  <si>
    <t>Cash</t>
  </si>
  <si>
    <t>Flows</t>
  </si>
  <si>
    <t>Cash Inflows</t>
  </si>
  <si>
    <t>Cash Costs</t>
  </si>
  <si>
    <t>Operating Income</t>
  </si>
  <si>
    <t>Corporate Taxes</t>
  </si>
  <si>
    <t>Unlevered Cash Flow</t>
  </si>
  <si>
    <t>Present Value of Cash Flow</t>
  </si>
  <si>
    <t>NPV</t>
  </si>
  <si>
    <t>B</t>
  </si>
  <si>
    <t>NPVF</t>
  </si>
  <si>
    <t>APV</t>
  </si>
  <si>
    <t>Adjusted Present Value</t>
  </si>
  <si>
    <t>Bicksler Enterprises with an Amortizing Loan</t>
  </si>
  <si>
    <t>Cost of Debt</t>
  </si>
  <si>
    <t>Cost of Unlevered Equity</t>
  </si>
  <si>
    <t>Time 0</t>
  </si>
  <si>
    <t>Time 1</t>
  </si>
  <si>
    <t>Time 2</t>
  </si>
  <si>
    <t>Time 3</t>
  </si>
  <si>
    <t>Time 4</t>
  </si>
  <si>
    <t>Time 5</t>
  </si>
  <si>
    <t>Initial Outlay</t>
  </si>
  <si>
    <t>Depreciation</t>
  </si>
  <si>
    <t>Revenue less Expenses</t>
  </si>
  <si>
    <t>Taxes</t>
  </si>
  <si>
    <t>Net Income</t>
  </si>
  <si>
    <t>Add Back Depreciation</t>
  </si>
  <si>
    <t>Operating Cash Flow</t>
  </si>
  <si>
    <t>Unlevered Cash Flows</t>
  </si>
  <si>
    <t>All Equity NPV</t>
  </si>
  <si>
    <t>Proceeds of Loan</t>
  </si>
  <si>
    <t>Interest Expense on Debt</t>
  </si>
  <si>
    <t>Tax Deduction on Interest</t>
  </si>
  <si>
    <t>Interest Expense After Taxes</t>
  </si>
  <si>
    <t>Repayment of Loan</t>
  </si>
  <si>
    <t>Cash Flow from Financing</t>
  </si>
  <si>
    <t>PV of Financing (@10%)</t>
  </si>
  <si>
    <t>Opening Balance</t>
  </si>
  <si>
    <t>Interest Expense</t>
  </si>
  <si>
    <t>Loan Payment</t>
  </si>
  <si>
    <t>Repayment of Principal</t>
  </si>
  <si>
    <t>Closing Balance</t>
  </si>
  <si>
    <t>Income Statement</t>
  </si>
  <si>
    <t>Operating Results:</t>
  </si>
  <si>
    <t>Less:  Cost of Goods Sold</t>
  </si>
  <si>
    <t>Gross Profit</t>
  </si>
  <si>
    <t>Less:  Selling, General &amp; Administrative</t>
  </si>
  <si>
    <t>EBITDA</t>
  </si>
  <si>
    <t>Less:  Depreciation</t>
  </si>
  <si>
    <t>Less:  Interest Expense</t>
  </si>
  <si>
    <t>EBT</t>
  </si>
  <si>
    <t>Less:  Taxes</t>
  </si>
  <si>
    <t>Margins:</t>
  </si>
  <si>
    <t>Revenue Growth</t>
  </si>
  <si>
    <t>NA</t>
  </si>
  <si>
    <t>Gross Margin</t>
  </si>
  <si>
    <t>EBITDA Margin</t>
  </si>
  <si>
    <t>EBIT Margin</t>
  </si>
  <si>
    <t>Net Income Margin</t>
  </si>
  <si>
    <t>Effective Tax Rate</t>
  </si>
  <si>
    <t>Assets:</t>
  </si>
  <si>
    <t>Cash &amp; Cash Equivalents</t>
  </si>
  <si>
    <t>Accounts Receivable</t>
  </si>
  <si>
    <t>Inventory</t>
  </si>
  <si>
    <t>Total Current Assets</t>
  </si>
  <si>
    <t>Property, Plant &amp; Equipment</t>
  </si>
  <si>
    <t>Other Non-Current Assets</t>
  </si>
  <si>
    <t>Total Assets</t>
  </si>
  <si>
    <t>Liabilities &amp; Owners' Equity:</t>
  </si>
  <si>
    <t>Accounts Payable &amp; Accrued Liabilities</t>
  </si>
  <si>
    <t>Long-Term Debt</t>
  </si>
  <si>
    <t>Owners' Equity</t>
  </si>
  <si>
    <t>Total Liabilities &amp; Owners' Equity</t>
  </si>
  <si>
    <t>Net Working Capital:</t>
  </si>
  <si>
    <t>Plus:  Inventory</t>
  </si>
  <si>
    <t>Less:  Accounts Payable &amp; Accrued Expenses</t>
  </si>
  <si>
    <t>Net Working Capital</t>
  </si>
  <si>
    <t>Net Working Capital/Revenue</t>
  </si>
  <si>
    <t>Days Payable Outstanding (1)</t>
  </si>
  <si>
    <t>Cash Conversion Cycle (CCC)</t>
  </si>
  <si>
    <t>Cash From Operations:</t>
  </si>
  <si>
    <t>Plus:  Depreciation</t>
  </si>
  <si>
    <t>Less:  Increase in Accounts Receivable</t>
  </si>
  <si>
    <t>Less:  Increase in Inventory</t>
  </si>
  <si>
    <t>Plus:  Increase in Accounts Payable</t>
  </si>
  <si>
    <t>Total Cash From Operations</t>
  </si>
  <si>
    <t>Cash From Investing:</t>
  </si>
  <si>
    <t>Capital Expenditures</t>
  </si>
  <si>
    <t>Plus:  Increases in Other Non-Current Assets</t>
  </si>
  <si>
    <t>Total Cash Used in Investing</t>
  </si>
  <si>
    <t>Cash From Financing:</t>
  </si>
  <si>
    <t>Repayment of Debt</t>
  </si>
  <si>
    <t>Plus:  Dividend Payments</t>
  </si>
  <si>
    <t>Cash Used in Financing</t>
  </si>
  <si>
    <t>Total Cash Generated</t>
  </si>
  <si>
    <t>Market</t>
  </si>
  <si>
    <t>Net</t>
  </si>
  <si>
    <t>Enterprise</t>
  </si>
  <si>
    <t>Book</t>
  </si>
  <si>
    <t>Income</t>
  </si>
  <si>
    <t>Earnings</t>
  </si>
  <si>
    <t>P/E</t>
  </si>
  <si>
    <t>P/B</t>
  </si>
  <si>
    <t>$ in Millions</t>
  </si>
  <si>
    <t>Cost Components:</t>
  </si>
  <si>
    <t>Amount</t>
  </si>
  <si>
    <t>Est. Life</t>
  </si>
  <si>
    <t>Depr'</t>
  </si>
  <si>
    <t>Maintenance</t>
  </si>
  <si>
    <t>Facility Expansion</t>
  </si>
  <si>
    <t>Manufacturing Equipment</t>
  </si>
  <si>
    <t>Packaging Equipment</t>
  </si>
  <si>
    <t>Working Capital (1)</t>
  </si>
  <si>
    <t>Total Investment</t>
  </si>
  <si>
    <t>(1)  The increase in working capital is not expected to ocurr upfront</t>
  </si>
  <si>
    <t xml:space="preserve">       at the time of the initial investment.  It is assumed to take place</t>
  </si>
  <si>
    <t xml:space="preserve">       throughout the year, and should be considered as part of the </t>
  </si>
  <si>
    <t xml:space="preserve">       2009 cash flows.</t>
  </si>
  <si>
    <t>Note:  working capital is defined as accounts receivable plus inventory</t>
  </si>
  <si>
    <t xml:space="preserve">       less accounts payable and accrued expenses.  At the end of the </t>
  </si>
  <si>
    <t xml:space="preserve">       project, working capital will be returned in an amount equal to</t>
  </si>
  <si>
    <t xml:space="preserve">       accounts receivable less accounts payable.</t>
  </si>
  <si>
    <t>Balance Sheet</t>
  </si>
  <si>
    <t>Comparables</t>
  </si>
  <si>
    <t>Investments</t>
  </si>
  <si>
    <t>Expansion Project</t>
  </si>
  <si>
    <t>%</t>
  </si>
  <si>
    <t>Cash Flow Statement</t>
  </si>
  <si>
    <r>
      <t>R</t>
    </r>
    <r>
      <rPr>
        <vertAlign val="subscript"/>
        <sz val="10"/>
        <rFont val="Times New Roman"/>
        <family val="1"/>
      </rPr>
      <t>0</t>
    </r>
  </si>
  <si>
    <r>
      <t>Divide by R</t>
    </r>
    <r>
      <rPr>
        <vertAlign val="subscript"/>
        <sz val="10"/>
        <rFont val="Times New Roman"/>
        <family val="1"/>
      </rPr>
      <t>0</t>
    </r>
  </si>
  <si>
    <r>
      <t>T</t>
    </r>
    <r>
      <rPr>
        <vertAlign val="subscript"/>
        <sz val="10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</si>
</sst>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&quot;x&quot;;\(#,##0.0&quot;x&quot;\)"/>
    <numFmt numFmtId="167" formatCode="#,##0.0_);\(#,##0.0\)"/>
    <numFmt numFmtId="168" formatCode="0_);\(0\)"/>
    <numFmt numFmtId="169" formatCode="&quot;$&quot;#,##0.0_);\(&quot;$&quot;#,##0.0\)"/>
    <numFmt numFmtId="170" formatCode="#,##0.0_);\(#,##0.0\);@_)"/>
    <numFmt numFmtId="171" formatCode="#,##0&quot;yrs.&quot;;\(#,##0\)"/>
    <numFmt numFmtId="172" formatCode="_(&quot;$&quot;* #,##0_);_(&quot;$&quot;* \(#,##0\);_(&quot;$&quot;* &quot;-&quot;??_);_(@_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4"/>
      <color theme="1"/>
      <name val="Times New Roman"/>
      <family val="2"/>
    </font>
    <font>
      <sz val="8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1"/>
      <color theme="1"/>
      <name val="Times New Roman"/>
      <family val="1"/>
    </font>
    <font>
      <u/>
      <sz val="10"/>
      <name val="Times New Roman"/>
      <family val="1"/>
    </font>
    <font>
      <sz val="10"/>
      <name val="Times New Roman"/>
      <family val="1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9">
    <xf numFmtId="0" fontId="0" fillId="0" borderId="0" xfId="0"/>
    <xf numFmtId="37" fontId="0" fillId="4" borderId="0" xfId="0" applyNumberFormat="1" applyFill="1"/>
    <xf numFmtId="0" fontId="0" fillId="3" borderId="0" xfId="0" applyFill="1"/>
    <xf numFmtId="37" fontId="3" fillId="3" borderId="0" xfId="0" applyNumberFormat="1" applyFont="1" applyFill="1"/>
    <xf numFmtId="37" fontId="3" fillId="3" borderId="0" xfId="0" applyNumberFormat="1" applyFont="1" applyFill="1" applyAlignment="1">
      <alignment horizontal="right"/>
    </xf>
    <xf numFmtId="0" fontId="0" fillId="4" borderId="0" xfId="0" applyFill="1"/>
    <xf numFmtId="37" fontId="2" fillId="4" borderId="0" xfId="0" applyNumberFormat="1" applyFont="1" applyFill="1"/>
    <xf numFmtId="167" fontId="0" fillId="4" borderId="0" xfId="0" applyNumberFormat="1" applyFont="1" applyFill="1"/>
    <xf numFmtId="0" fontId="0" fillId="4" borderId="0" xfId="0" applyFont="1" applyFill="1"/>
    <xf numFmtId="37" fontId="0" fillId="4" borderId="0" xfId="0" applyNumberFormat="1" applyFont="1" applyFill="1"/>
    <xf numFmtId="37" fontId="1" fillId="4" borderId="0" xfId="0" applyNumberFormat="1" applyFont="1" applyFill="1"/>
    <xf numFmtId="37" fontId="8" fillId="4" borderId="0" xfId="0" applyNumberFormat="1" applyFont="1" applyFill="1"/>
    <xf numFmtId="37" fontId="3" fillId="4" borderId="0" xfId="0" applyNumberFormat="1" applyFont="1" applyFill="1"/>
    <xf numFmtId="37" fontId="8" fillId="4" borderId="0" xfId="0" applyNumberFormat="1" applyFont="1" applyFill="1" applyAlignment="1">
      <alignment horizontal="right"/>
    </xf>
    <xf numFmtId="37" fontId="3" fillId="4" borderId="0" xfId="0" applyNumberFormat="1" applyFont="1" applyFill="1" applyAlignment="1">
      <alignment horizontal="right"/>
    </xf>
    <xf numFmtId="0" fontId="0" fillId="0" borderId="0" xfId="0"/>
    <xf numFmtId="37" fontId="6" fillId="4" borderId="0" xfId="0" applyNumberFormat="1" applyFont="1" applyFill="1"/>
    <xf numFmtId="37" fontId="7" fillId="4" borderId="0" xfId="0" applyNumberFormat="1" applyFont="1" applyFill="1"/>
    <xf numFmtId="9" fontId="6" fillId="4" borderId="0" xfId="2" applyFont="1" applyFill="1"/>
    <xf numFmtId="0" fontId="6" fillId="4" borderId="0" xfId="0" applyFont="1" applyFill="1"/>
    <xf numFmtId="0" fontId="9" fillId="0" borderId="0" xfId="0" applyFont="1"/>
    <xf numFmtId="0" fontId="10" fillId="0" borderId="0" xfId="0" applyFont="1"/>
    <xf numFmtId="0" fontId="10" fillId="4" borderId="0" xfId="0" applyFont="1" applyFill="1"/>
    <xf numFmtId="0" fontId="10" fillId="3" borderId="0" xfId="0" applyFont="1" applyFill="1"/>
    <xf numFmtId="0" fontId="11" fillId="4" borderId="0" xfId="0" applyFont="1" applyFill="1"/>
    <xf numFmtId="37" fontId="12" fillId="4" borderId="0" xfId="0" applyNumberFormat="1" applyFont="1" applyFill="1"/>
    <xf numFmtId="37" fontId="10" fillId="4" borderId="0" xfId="0" applyNumberFormat="1" applyFont="1" applyFill="1"/>
    <xf numFmtId="37" fontId="12" fillId="4" borderId="0" xfId="0" applyNumberFormat="1" applyFont="1" applyFill="1" applyAlignment="1">
      <alignment horizontal="center"/>
    </xf>
    <xf numFmtId="37" fontId="12" fillId="4" borderId="7" xfId="0" applyNumberFormat="1" applyFont="1" applyFill="1" applyBorder="1"/>
    <xf numFmtId="37" fontId="10" fillId="4" borderId="7" xfId="0" applyNumberFormat="1" applyFont="1" applyFill="1" applyBorder="1"/>
    <xf numFmtId="37" fontId="12" fillId="4" borderId="7" xfId="0" applyNumberFormat="1" applyFont="1" applyFill="1" applyBorder="1" applyAlignment="1">
      <alignment horizontal="center"/>
    </xf>
    <xf numFmtId="37" fontId="13" fillId="4" borderId="0" xfId="0" applyNumberFormat="1" applyFont="1" applyFill="1"/>
    <xf numFmtId="37" fontId="10" fillId="4" borderId="0" xfId="0" applyNumberFormat="1" applyFont="1" applyFill="1" applyAlignment="1">
      <alignment horizontal="center"/>
    </xf>
    <xf numFmtId="5" fontId="10" fillId="4" borderId="0" xfId="0" applyNumberFormat="1" applyFont="1" applyFill="1" applyAlignment="1">
      <alignment horizontal="center"/>
    </xf>
    <xf numFmtId="171" fontId="10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171" fontId="10" fillId="4" borderId="0" xfId="0" applyNumberFormat="1" applyFont="1" applyFill="1"/>
    <xf numFmtId="37" fontId="14" fillId="4" borderId="0" xfId="0" applyNumberFormat="1" applyFont="1" applyFill="1" applyAlignment="1">
      <alignment horizontal="center"/>
    </xf>
    <xf numFmtId="37" fontId="10" fillId="4" borderId="1" xfId="0" quotePrefix="1" applyNumberFormat="1" applyFont="1" applyFill="1" applyBorder="1"/>
    <xf numFmtId="37" fontId="10" fillId="4" borderId="1" xfId="0" applyNumberFormat="1" applyFont="1" applyFill="1" applyBorder="1"/>
    <xf numFmtId="37" fontId="15" fillId="4" borderId="0" xfId="0" applyNumberFormat="1" applyFont="1" applyFill="1"/>
    <xf numFmtId="168" fontId="12" fillId="5" borderId="8" xfId="0" applyNumberFormat="1" applyFont="1" applyFill="1" applyBorder="1"/>
    <xf numFmtId="168" fontId="12" fillId="5" borderId="9" xfId="0" applyNumberFormat="1" applyFont="1" applyFill="1" applyBorder="1"/>
    <xf numFmtId="168" fontId="12" fillId="5" borderId="10" xfId="0" applyNumberFormat="1" applyFont="1" applyFill="1" applyBorder="1"/>
    <xf numFmtId="169" fontId="12" fillId="4" borderId="0" xfId="0" applyNumberFormat="1" applyFont="1" applyFill="1"/>
    <xf numFmtId="167" fontId="10" fillId="4" borderId="0" xfId="0" applyNumberFormat="1" applyFont="1" applyFill="1"/>
    <xf numFmtId="167" fontId="14" fillId="4" borderId="0" xfId="0" applyNumberFormat="1" applyFont="1" applyFill="1"/>
    <xf numFmtId="169" fontId="10" fillId="4" borderId="0" xfId="0" applyNumberFormat="1" applyFont="1" applyFill="1"/>
    <xf numFmtId="167" fontId="12" fillId="4" borderId="0" xfId="0" applyNumberFormat="1" applyFont="1" applyFill="1"/>
    <xf numFmtId="165" fontId="10" fillId="4" borderId="0" xfId="0" applyNumberFormat="1" applyFont="1" applyFill="1"/>
    <xf numFmtId="170" fontId="10" fillId="4" borderId="0" xfId="0" applyNumberFormat="1" applyFont="1" applyFill="1"/>
    <xf numFmtId="0" fontId="9" fillId="4" borderId="0" xfId="0" applyFont="1" applyFill="1"/>
    <xf numFmtId="37" fontId="12" fillId="5" borderId="8" xfId="0" applyNumberFormat="1" applyFont="1" applyFill="1" applyBorder="1" applyAlignment="1">
      <alignment horizontal="centerContinuous"/>
    </xf>
    <xf numFmtId="37" fontId="12" fillId="5" borderId="9" xfId="0" applyNumberFormat="1" applyFont="1" applyFill="1" applyBorder="1" applyAlignment="1">
      <alignment horizontal="centerContinuous"/>
    </xf>
    <xf numFmtId="37" fontId="12" fillId="5" borderId="10" xfId="0" applyNumberFormat="1" applyFont="1" applyFill="1" applyBorder="1" applyAlignment="1">
      <alignment horizontal="centerContinuous"/>
    </xf>
    <xf numFmtId="37" fontId="10" fillId="4" borderId="11" xfId="0" applyNumberFormat="1" applyFont="1" applyFill="1" applyBorder="1"/>
    <xf numFmtId="37" fontId="10" fillId="4" borderId="0" xfId="0" applyNumberFormat="1" applyFont="1" applyFill="1" applyBorder="1"/>
    <xf numFmtId="165" fontId="10" fillId="4" borderId="0" xfId="0" applyNumberFormat="1" applyFont="1" applyFill="1" applyBorder="1" applyAlignment="1">
      <alignment horizontal="right"/>
    </xf>
    <xf numFmtId="165" fontId="10" fillId="4" borderId="12" xfId="0" applyNumberFormat="1" applyFont="1" applyFill="1" applyBorder="1" applyAlignment="1">
      <alignment horizontal="right"/>
    </xf>
    <xf numFmtId="165" fontId="10" fillId="4" borderId="0" xfId="0" applyNumberFormat="1" applyFont="1" applyFill="1" applyBorder="1"/>
    <xf numFmtId="165" fontId="10" fillId="4" borderId="12" xfId="0" applyNumberFormat="1" applyFont="1" applyFill="1" applyBorder="1"/>
    <xf numFmtId="37" fontId="10" fillId="4" borderId="5" xfId="0" applyNumberFormat="1" applyFont="1" applyFill="1" applyBorder="1"/>
    <xf numFmtId="165" fontId="10" fillId="4" borderId="7" xfId="0" applyNumberFormat="1" applyFont="1" applyFill="1" applyBorder="1"/>
    <xf numFmtId="165" fontId="10" fillId="4" borderId="6" xfId="0" applyNumberFormat="1" applyFont="1" applyFill="1" applyBorder="1"/>
    <xf numFmtId="37" fontId="12" fillId="5" borderId="3" xfId="0" applyNumberFormat="1" applyFont="1" applyFill="1" applyBorder="1" applyAlignment="1">
      <alignment horizontal="center"/>
    </xf>
    <xf numFmtId="37" fontId="12" fillId="5" borderId="1" xfId="0" applyNumberFormat="1" applyFont="1" applyFill="1" applyBorder="1" applyAlignment="1">
      <alignment horizontal="center"/>
    </xf>
    <xf numFmtId="37" fontId="12" fillId="5" borderId="4" xfId="0" applyNumberFormat="1" applyFont="1" applyFill="1" applyBorder="1" applyAlignment="1">
      <alignment horizontal="center"/>
    </xf>
    <xf numFmtId="37" fontId="16" fillId="4" borderId="0" xfId="0" applyNumberFormat="1" applyFont="1" applyFill="1" applyProtection="1">
      <protection hidden="1"/>
    </xf>
    <xf numFmtId="37" fontId="10" fillId="4" borderId="0" xfId="0" applyNumberFormat="1" applyFont="1" applyFill="1" applyProtection="1">
      <protection hidden="1"/>
    </xf>
    <xf numFmtId="37" fontId="12" fillId="5" borderId="5" xfId="0" applyNumberFormat="1" applyFont="1" applyFill="1" applyBorder="1" applyAlignment="1" applyProtection="1">
      <alignment horizontal="center"/>
      <protection hidden="1"/>
    </xf>
    <xf numFmtId="37" fontId="12" fillId="5" borderId="7" xfId="0" applyNumberFormat="1" applyFont="1" applyFill="1" applyBorder="1" applyAlignment="1" applyProtection="1">
      <alignment horizontal="center"/>
      <protection hidden="1"/>
    </xf>
    <xf numFmtId="37" fontId="12" fillId="5" borderId="6" xfId="0" applyNumberFormat="1" applyFont="1" applyFill="1" applyBorder="1" applyAlignment="1" applyProtection="1">
      <alignment horizontal="center"/>
      <protection hidden="1"/>
    </xf>
    <xf numFmtId="37" fontId="12" fillId="4" borderId="0" xfId="0" applyNumberFormat="1" applyFont="1" applyFill="1" applyProtection="1">
      <protection hidden="1"/>
    </xf>
    <xf numFmtId="37" fontId="9" fillId="0" borderId="0" xfId="0" applyNumberFormat="1" applyFont="1"/>
    <xf numFmtId="37" fontId="17" fillId="4" borderId="0" xfId="0" applyNumberFormat="1" applyFont="1" applyFill="1"/>
    <xf numFmtId="37" fontId="10" fillId="3" borderId="0" xfId="0" applyNumberFormat="1" applyFont="1" applyFill="1"/>
    <xf numFmtId="37" fontId="11" fillId="4" borderId="0" xfId="0" applyNumberFormat="1" applyFont="1" applyFill="1"/>
    <xf numFmtId="37" fontId="15" fillId="4" borderId="0" xfId="0" applyNumberFormat="1" applyFont="1" applyFill="1" applyProtection="1">
      <protection hidden="1"/>
    </xf>
    <xf numFmtId="168" fontId="12" fillId="5" borderId="8" xfId="0" applyNumberFormat="1" applyFont="1" applyFill="1" applyBorder="1" applyProtection="1">
      <protection hidden="1"/>
    </xf>
    <xf numFmtId="168" fontId="12" fillId="5" borderId="9" xfId="0" applyNumberFormat="1" applyFont="1" applyFill="1" applyBorder="1" applyProtection="1">
      <protection hidden="1"/>
    </xf>
    <xf numFmtId="168" fontId="12" fillId="5" borderId="10" xfId="0" applyNumberFormat="1" applyFont="1" applyFill="1" applyBorder="1" applyProtection="1">
      <protection hidden="1"/>
    </xf>
    <xf numFmtId="37" fontId="10" fillId="4" borderId="1" xfId="0" quotePrefix="1" applyNumberFormat="1" applyFont="1" applyFill="1" applyBorder="1" applyProtection="1">
      <protection hidden="1"/>
    </xf>
    <xf numFmtId="37" fontId="17" fillId="0" borderId="0" xfId="0" applyNumberFormat="1" applyFont="1"/>
    <xf numFmtId="37" fontId="17" fillId="3" borderId="0" xfId="0" applyNumberFormat="1" applyFont="1" applyFill="1"/>
    <xf numFmtId="37" fontId="12" fillId="5" borderId="3" xfId="0" applyNumberFormat="1" applyFont="1" applyFill="1" applyBorder="1" applyAlignment="1">
      <alignment horizontal="right"/>
    </xf>
    <xf numFmtId="37" fontId="12" fillId="5" borderId="1" xfId="0" applyNumberFormat="1" applyFont="1" applyFill="1" applyBorder="1" applyAlignment="1">
      <alignment horizontal="right"/>
    </xf>
    <xf numFmtId="37" fontId="12" fillId="5" borderId="4" xfId="0" applyNumberFormat="1" applyFont="1" applyFill="1" applyBorder="1" applyAlignment="1">
      <alignment horizontal="right"/>
    </xf>
    <xf numFmtId="37" fontId="12" fillId="5" borderId="5" xfId="0" applyNumberFormat="1" applyFont="1" applyFill="1" applyBorder="1" applyAlignment="1">
      <alignment horizontal="right"/>
    </xf>
    <xf numFmtId="37" fontId="12" fillId="5" borderId="7" xfId="0" applyNumberFormat="1" applyFont="1" applyFill="1" applyBorder="1" applyAlignment="1">
      <alignment horizontal="right"/>
    </xf>
    <xf numFmtId="37" fontId="12" fillId="5" borderId="6" xfId="0" applyNumberFormat="1" applyFont="1" applyFill="1" applyBorder="1" applyAlignment="1">
      <alignment horizontal="right"/>
    </xf>
    <xf numFmtId="0" fontId="10" fillId="4" borderId="0" xfId="0" applyFont="1" applyFill="1" applyProtection="1">
      <protection hidden="1"/>
    </xf>
    <xf numFmtId="0" fontId="12" fillId="4" borderId="0" xfId="0" applyFont="1" applyFill="1"/>
    <xf numFmtId="0" fontId="10" fillId="4" borderId="0" xfId="0" applyFont="1" applyFill="1" applyAlignment="1">
      <alignment horizontal="center"/>
    </xf>
    <xf numFmtId="0" fontId="18" fillId="4" borderId="0" xfId="0" applyFont="1" applyFill="1" applyAlignment="1" applyProtection="1">
      <alignment horizontal="center"/>
      <protection hidden="1"/>
    </xf>
    <xf numFmtId="0" fontId="9" fillId="0" borderId="0" xfId="0" applyFont="1" applyAlignment="1">
      <alignment horizontal="left"/>
    </xf>
    <xf numFmtId="0" fontId="12" fillId="4" borderId="0" xfId="0" applyFont="1" applyFill="1" applyAlignment="1"/>
    <xf numFmtId="0" fontId="12" fillId="3" borderId="0" xfId="0" applyFont="1" applyFill="1" applyAlignment="1">
      <alignment horizontal="left"/>
    </xf>
    <xf numFmtId="0" fontId="12" fillId="3" borderId="0" xfId="0" applyFont="1" applyFill="1" applyAlignment="1"/>
    <xf numFmtId="0" fontId="12" fillId="4" borderId="0" xfId="0" applyFont="1" applyFill="1" applyAlignment="1">
      <alignment horizontal="left"/>
    </xf>
    <xf numFmtId="0" fontId="9" fillId="0" borderId="0" xfId="0" applyFont="1" applyAlignment="1"/>
    <xf numFmtId="0" fontId="11" fillId="4" borderId="0" xfId="0" applyFont="1" applyFill="1" applyAlignment="1">
      <alignment horizontal="left"/>
    </xf>
    <xf numFmtId="0" fontId="19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37" fontId="10" fillId="4" borderId="0" xfId="0" applyNumberFormat="1" applyFont="1" applyFill="1" applyProtection="1">
      <protection locked="0" hidden="1"/>
    </xf>
    <xf numFmtId="167" fontId="10" fillId="4" borderId="0" xfId="0" applyNumberFormat="1" applyFont="1" applyFill="1" applyAlignment="1" applyProtection="1">
      <alignment horizontal="center"/>
      <protection locked="0" hidden="1"/>
    </xf>
    <xf numFmtId="39" fontId="10" fillId="4" borderId="0" xfId="0" applyNumberFormat="1" applyFont="1" applyFill="1" applyAlignment="1" applyProtection="1">
      <alignment horizontal="center"/>
      <protection locked="0" hidden="1"/>
    </xf>
    <xf numFmtId="167" fontId="10" fillId="4" borderId="0" xfId="0" applyNumberFormat="1" applyFont="1" applyFill="1" applyProtection="1">
      <protection locked="0" hidden="1"/>
    </xf>
    <xf numFmtId="37" fontId="16" fillId="4" borderId="0" xfId="0" applyNumberFormat="1" applyFont="1" applyFill="1" applyProtection="1">
      <protection locked="0" hidden="1"/>
    </xf>
    <xf numFmtId="37" fontId="12" fillId="5" borderId="8" xfId="0" applyNumberFormat="1" applyFont="1" applyFill="1" applyBorder="1" applyAlignment="1" applyProtection="1">
      <alignment horizontal="center"/>
      <protection locked="0" hidden="1"/>
    </xf>
    <xf numFmtId="37" fontId="12" fillId="5" borderId="9" xfId="0" applyNumberFormat="1" applyFont="1" applyFill="1" applyBorder="1" applyAlignment="1" applyProtection="1">
      <alignment horizontal="center"/>
      <protection locked="0" hidden="1"/>
    </xf>
    <xf numFmtId="37" fontId="12" fillId="5" borderId="10" xfId="0" applyNumberFormat="1" applyFont="1" applyFill="1" applyBorder="1" applyAlignment="1" applyProtection="1">
      <alignment horizontal="center"/>
      <protection locked="0" hidden="1"/>
    </xf>
    <xf numFmtId="165" fontId="10" fillId="4" borderId="0" xfId="0" applyNumberFormat="1" applyFont="1" applyFill="1" applyProtection="1">
      <protection locked="0" hidden="1"/>
    </xf>
    <xf numFmtId="165" fontId="10" fillId="4" borderId="0" xfId="0" applyNumberFormat="1" applyFont="1" applyFill="1" applyAlignment="1" applyProtection="1">
      <alignment horizontal="center"/>
      <protection locked="0" hidden="1"/>
    </xf>
    <xf numFmtId="166" fontId="10" fillId="4" borderId="0" xfId="0" applyNumberFormat="1" applyFont="1" applyFill="1" applyAlignment="1" applyProtection="1">
      <alignment horizontal="center"/>
      <protection locked="0" hidden="1"/>
    </xf>
    <xf numFmtId="165" fontId="14" fillId="4" borderId="0" xfId="0" applyNumberFormat="1" applyFont="1" applyFill="1" applyAlignment="1" applyProtection="1">
      <alignment horizontal="center"/>
      <protection locked="0" hidden="1"/>
    </xf>
    <xf numFmtId="166" fontId="14" fillId="4" borderId="0" xfId="0" applyNumberFormat="1" applyFont="1" applyFill="1" applyAlignment="1" applyProtection="1">
      <alignment horizontal="center"/>
      <protection locked="0" hidden="1"/>
    </xf>
    <xf numFmtId="37" fontId="12" fillId="4" borderId="0" xfId="0" applyNumberFormat="1" applyFont="1" applyFill="1" applyProtection="1">
      <protection locked="0" hidden="1"/>
    </xf>
    <xf numFmtId="165" fontId="12" fillId="4" borderId="0" xfId="0" applyNumberFormat="1" applyFont="1" applyFill="1" applyProtection="1">
      <protection locked="0" hidden="1"/>
    </xf>
    <xf numFmtId="165" fontId="12" fillId="4" borderId="0" xfId="0" applyNumberFormat="1" applyFont="1" applyFill="1" applyAlignment="1" applyProtection="1">
      <alignment horizontal="center"/>
      <protection locked="0" hidden="1"/>
    </xf>
    <xf numFmtId="166" fontId="12" fillId="4" borderId="0" xfId="0" applyNumberFormat="1" applyFont="1" applyFill="1" applyAlignment="1" applyProtection="1">
      <alignment horizontal="center"/>
      <protection locked="0" hidden="1"/>
    </xf>
    <xf numFmtId="165" fontId="14" fillId="4" borderId="0" xfId="0" applyNumberFormat="1" applyFont="1" applyFill="1" applyProtection="1">
      <protection locked="0" hidden="1"/>
    </xf>
    <xf numFmtId="39" fontId="14" fillId="4" borderId="0" xfId="0" applyNumberFormat="1" applyFont="1" applyFill="1" applyProtection="1">
      <protection locked="0" hidden="1"/>
    </xf>
    <xf numFmtId="39" fontId="10" fillId="4" borderId="0" xfId="0" applyNumberFormat="1" applyFont="1" applyFill="1" applyProtection="1">
      <protection locked="0" hidden="1"/>
    </xf>
    <xf numFmtId="167" fontId="14" fillId="4" borderId="0" xfId="0" applyNumberFormat="1" applyFont="1" applyFill="1" applyProtection="1">
      <protection locked="0" hidden="1"/>
    </xf>
    <xf numFmtId="167" fontId="12" fillId="4" borderId="0" xfId="0" applyNumberFormat="1" applyFont="1" applyFill="1" applyProtection="1">
      <protection locked="0" hidden="1"/>
    </xf>
    <xf numFmtId="37" fontId="14" fillId="4" borderId="0" xfId="0" applyNumberFormat="1" applyFont="1" applyFill="1" applyProtection="1">
      <protection locked="0" hidden="1"/>
    </xf>
    <xf numFmtId="10" fontId="10" fillId="4" borderId="0" xfId="3" applyNumberFormat="1" applyFont="1" applyFill="1" applyProtection="1">
      <protection locked="0" hidden="1"/>
    </xf>
    <xf numFmtId="37" fontId="10" fillId="4" borderId="1" xfId="0" applyNumberFormat="1" applyFont="1" applyFill="1" applyBorder="1" applyProtection="1">
      <protection locked="0" hidden="1"/>
    </xf>
    <xf numFmtId="37" fontId="10" fillId="4" borderId="0" xfId="0" applyNumberFormat="1" applyFont="1" applyFill="1" applyAlignment="1" applyProtection="1">
      <alignment horizontal="left"/>
      <protection locked="0" hidden="1"/>
    </xf>
    <xf numFmtId="37" fontId="0" fillId="4" borderId="0" xfId="0" applyNumberFormat="1" applyFont="1" applyFill="1" applyProtection="1">
      <protection locked="0"/>
    </xf>
    <xf numFmtId="39" fontId="12" fillId="4" borderId="0" xfId="0" applyNumberFormat="1" applyFont="1" applyFill="1" applyProtection="1">
      <protection locked="0" hidden="1"/>
    </xf>
    <xf numFmtId="39" fontId="0" fillId="4" borderId="0" xfId="0" applyNumberFormat="1" applyFont="1" applyFill="1" applyProtection="1">
      <protection locked="0"/>
    </xf>
    <xf numFmtId="0" fontId="10" fillId="4" borderId="0" xfId="0" applyFont="1" applyFill="1" applyProtection="1">
      <protection locked="0" hidden="1"/>
    </xf>
    <xf numFmtId="37" fontId="12" fillId="5" borderId="3" xfId="0" applyNumberFormat="1" applyFont="1" applyFill="1" applyBorder="1" applyAlignment="1" applyProtection="1">
      <alignment horizontal="right"/>
      <protection locked="0" hidden="1"/>
    </xf>
    <xf numFmtId="37" fontId="12" fillId="5" borderId="1" xfId="0" applyNumberFormat="1" applyFont="1" applyFill="1" applyBorder="1" applyAlignment="1" applyProtection="1">
      <alignment horizontal="right"/>
      <protection locked="0" hidden="1"/>
    </xf>
    <xf numFmtId="37" fontId="12" fillId="5" borderId="4" xfId="0" applyNumberFormat="1" applyFont="1" applyFill="1" applyBorder="1" applyAlignment="1" applyProtection="1">
      <alignment horizontal="right"/>
      <protection locked="0" hidden="1"/>
    </xf>
    <xf numFmtId="0" fontId="0" fillId="4" borderId="0" xfId="0" applyFont="1" applyFill="1" applyProtection="1">
      <protection locked="0"/>
    </xf>
    <xf numFmtId="37" fontId="12" fillId="5" borderId="5" xfId="0" applyNumberFormat="1" applyFont="1" applyFill="1" applyBorder="1" applyAlignment="1" applyProtection="1">
      <alignment horizontal="right"/>
      <protection locked="0" hidden="1"/>
    </xf>
    <xf numFmtId="37" fontId="12" fillId="5" borderId="7" xfId="0" applyNumberFormat="1" applyFont="1" applyFill="1" applyBorder="1" applyAlignment="1" applyProtection="1">
      <alignment horizontal="right"/>
      <protection locked="0" hidden="1"/>
    </xf>
    <xf numFmtId="37" fontId="12" fillId="5" borderId="6" xfId="0" applyNumberFormat="1" applyFont="1" applyFill="1" applyBorder="1" applyAlignment="1" applyProtection="1">
      <alignment horizontal="right"/>
      <protection locked="0" hidden="1"/>
    </xf>
    <xf numFmtId="10" fontId="10" fillId="4" borderId="0" xfId="0" applyNumberFormat="1" applyFont="1" applyFill="1" applyProtection="1">
      <protection locked="0" hidden="1"/>
    </xf>
    <xf numFmtId="0" fontId="10" fillId="2" borderId="0" xfId="0" applyFont="1" applyFill="1" applyProtection="1">
      <protection locked="0" hidden="1"/>
    </xf>
    <xf numFmtId="165" fontId="10" fillId="2" borderId="0" xfId="0" applyNumberFormat="1" applyFont="1" applyFill="1" applyProtection="1">
      <protection locked="0" hidden="1"/>
    </xf>
    <xf numFmtId="39" fontId="10" fillId="2" borderId="0" xfId="0" applyNumberFormat="1" applyFont="1" applyFill="1" applyProtection="1">
      <protection locked="0" hidden="1"/>
    </xf>
    <xf numFmtId="10" fontId="10" fillId="2" borderId="0" xfId="0" applyNumberFormat="1" applyFont="1" applyFill="1" applyProtection="1">
      <protection locked="0" hidden="1"/>
    </xf>
    <xf numFmtId="165" fontId="10" fillId="4" borderId="0" xfId="0" applyNumberFormat="1" applyFont="1" applyFill="1" applyProtection="1">
      <protection locked="0"/>
    </xf>
    <xf numFmtId="39" fontId="10" fillId="4" borderId="0" xfId="0" applyNumberFormat="1" applyFont="1" applyFill="1" applyProtection="1">
      <protection locked="0"/>
    </xf>
    <xf numFmtId="10" fontId="10" fillId="4" borderId="0" xfId="0" applyNumberFormat="1" applyFont="1" applyFill="1" applyProtection="1">
      <protection locked="0"/>
    </xf>
    <xf numFmtId="0" fontId="10" fillId="4" borderId="0" xfId="0" applyFont="1" applyFill="1" applyProtection="1">
      <protection locked="0"/>
    </xf>
    <xf numFmtId="37" fontId="10" fillId="4" borderId="0" xfId="0" applyNumberFormat="1" applyFont="1" applyFill="1" applyProtection="1">
      <protection locked="0"/>
    </xf>
    <xf numFmtId="37" fontId="12" fillId="5" borderId="8" xfId="0" applyNumberFormat="1" applyFont="1" applyFill="1" applyBorder="1" applyAlignment="1" applyProtection="1">
      <alignment horizontal="centerContinuous"/>
      <protection locked="0"/>
    </xf>
    <xf numFmtId="37" fontId="12" fillId="5" borderId="9" xfId="0" applyNumberFormat="1" applyFont="1" applyFill="1" applyBorder="1" applyAlignment="1" applyProtection="1">
      <alignment horizontal="centerContinuous"/>
      <protection locked="0"/>
    </xf>
    <xf numFmtId="37" fontId="12" fillId="5" borderId="10" xfId="0" applyNumberFormat="1" applyFont="1" applyFill="1" applyBorder="1" applyAlignment="1" applyProtection="1">
      <alignment horizontal="centerContinuous"/>
      <protection locked="0"/>
    </xf>
    <xf numFmtId="166" fontId="10" fillId="4" borderId="0" xfId="0" applyNumberFormat="1" applyFont="1" applyFill="1" applyProtection="1">
      <protection locked="0"/>
    </xf>
    <xf numFmtId="167" fontId="10" fillId="4" borderId="0" xfId="0" applyNumberFormat="1" applyFont="1" applyFill="1" applyProtection="1">
      <protection locked="0"/>
    </xf>
    <xf numFmtId="9" fontId="0" fillId="4" borderId="0" xfId="0" applyNumberFormat="1" applyFont="1" applyFill="1" applyProtection="1">
      <protection locked="0"/>
    </xf>
    <xf numFmtId="167" fontId="14" fillId="4" borderId="0" xfId="0" applyNumberFormat="1" applyFont="1" applyFill="1" applyProtection="1">
      <protection locked="0"/>
    </xf>
    <xf numFmtId="37" fontId="12" fillId="4" borderId="0" xfId="0" applyNumberFormat="1" applyFont="1" applyFill="1" applyProtection="1">
      <protection locked="0"/>
    </xf>
    <xf numFmtId="167" fontId="12" fillId="4" borderId="0" xfId="0" applyNumberFormat="1" applyFont="1" applyFill="1" applyProtection="1">
      <protection locked="0"/>
    </xf>
    <xf numFmtId="0" fontId="12" fillId="4" borderId="0" xfId="0" applyFont="1" applyFill="1" applyProtection="1">
      <protection locked="0" hidden="1"/>
    </xf>
    <xf numFmtId="43" fontId="10" fillId="4" borderId="0" xfId="0" applyNumberFormat="1" applyFont="1" applyFill="1" applyAlignment="1" applyProtection="1">
      <alignment horizontal="center"/>
      <protection locked="0" hidden="1"/>
    </xf>
    <xf numFmtId="37" fontId="10" fillId="4" borderId="0" xfId="0" applyNumberFormat="1" applyFont="1" applyFill="1" applyAlignment="1" applyProtection="1">
      <alignment horizontal="center"/>
      <protection locked="0" hidden="1"/>
    </xf>
    <xf numFmtId="0" fontId="12" fillId="4" borderId="1" xfId="0" applyFont="1" applyFill="1" applyBorder="1" applyProtection="1">
      <protection locked="0" hidden="1"/>
    </xf>
    <xf numFmtId="43" fontId="12" fillId="4" borderId="1" xfId="0" applyNumberFormat="1" applyFont="1" applyFill="1" applyBorder="1" applyAlignment="1" applyProtection="1">
      <alignment horizontal="center"/>
      <protection locked="0" hidden="1"/>
    </xf>
    <xf numFmtId="37" fontId="12" fillId="4" borderId="1" xfId="0" applyNumberFormat="1" applyFont="1" applyFill="1" applyBorder="1" applyAlignment="1" applyProtection="1">
      <alignment horizontal="center"/>
      <protection locked="0" hidden="1"/>
    </xf>
    <xf numFmtId="37" fontId="10" fillId="4" borderId="0" xfId="0" applyNumberFormat="1" applyFont="1" applyFill="1" applyBorder="1" applyAlignment="1" applyProtection="1">
      <alignment horizontal="center"/>
      <protection locked="0" hidden="1"/>
    </xf>
    <xf numFmtId="164" fontId="10" fillId="4" borderId="0" xfId="0" applyNumberFormat="1" applyFont="1" applyFill="1" applyAlignment="1" applyProtection="1">
      <alignment horizontal="center"/>
      <protection locked="0" hidden="1"/>
    </xf>
    <xf numFmtId="5" fontId="10" fillId="4" borderId="0" xfId="0" applyNumberFormat="1" applyFont="1" applyFill="1" applyAlignment="1" applyProtection="1">
      <alignment horizontal="center"/>
      <protection locked="0" hidden="1"/>
    </xf>
    <xf numFmtId="0" fontId="12" fillId="4" borderId="2" xfId="0" applyFont="1" applyFill="1" applyBorder="1" applyProtection="1">
      <protection locked="0" hidden="1"/>
    </xf>
    <xf numFmtId="37" fontId="10" fillId="4" borderId="2" xfId="0" applyNumberFormat="1" applyFont="1" applyFill="1" applyBorder="1" applyAlignment="1" applyProtection="1">
      <alignment horizontal="center"/>
      <protection locked="0" hidden="1"/>
    </xf>
    <xf numFmtId="0" fontId="10" fillId="4" borderId="0" xfId="0" applyFont="1" applyFill="1" applyAlignment="1" applyProtection="1">
      <alignment horizontal="center"/>
      <protection locked="0" hidden="1"/>
    </xf>
    <xf numFmtId="4" fontId="10" fillId="4" borderId="0" xfId="0" applyNumberFormat="1" applyFont="1" applyFill="1" applyAlignment="1" applyProtection="1">
      <alignment horizontal="center"/>
      <protection locked="0" hidden="1"/>
    </xf>
    <xf numFmtId="0" fontId="10" fillId="2" borderId="3" xfId="0" applyFont="1" applyFill="1" applyBorder="1" applyProtection="1">
      <protection locked="0" hidden="1"/>
    </xf>
    <xf numFmtId="5" fontId="10" fillId="2" borderId="4" xfId="0" applyNumberFormat="1" applyFont="1" applyFill="1" applyBorder="1" applyAlignment="1" applyProtection="1">
      <alignment horizontal="center"/>
      <protection locked="0" hidden="1"/>
    </xf>
    <xf numFmtId="0" fontId="10" fillId="2" borderId="5" xfId="0" applyFont="1" applyFill="1" applyBorder="1" applyProtection="1">
      <protection locked="0" hidden="1"/>
    </xf>
    <xf numFmtId="165" fontId="10" fillId="2" borderId="6" xfId="0" applyNumberFormat="1" applyFont="1" applyFill="1" applyBorder="1" applyAlignment="1" applyProtection="1">
      <alignment horizontal="center"/>
      <protection locked="0" hidden="1"/>
    </xf>
    <xf numFmtId="6" fontId="10" fillId="4" borderId="0" xfId="0" applyNumberFormat="1" applyFont="1" applyFill="1" applyAlignment="1" applyProtection="1">
      <alignment horizontal="center"/>
      <protection locked="0" hidden="1"/>
    </xf>
    <xf numFmtId="172" fontId="10" fillId="4" borderId="0" xfId="0" applyNumberFormat="1" applyFont="1" applyFill="1" applyProtection="1">
      <protection locked="0" hidden="1"/>
    </xf>
    <xf numFmtId="0" fontId="20" fillId="4" borderId="0" xfId="0" applyFont="1" applyFill="1" applyProtection="1">
      <protection locked="0" hidden="1"/>
    </xf>
    <xf numFmtId="44" fontId="10" fillId="4" borderId="0" xfId="0" applyNumberFormat="1" applyFont="1" applyFill="1" applyProtection="1">
      <protection locked="0" hidden="1"/>
    </xf>
    <xf numFmtId="0" fontId="12" fillId="4" borderId="0" xfId="0" applyFont="1" applyFill="1" applyAlignment="1" applyProtection="1">
      <alignment horizontal="center"/>
      <protection locked="0" hidden="1"/>
    </xf>
    <xf numFmtId="0" fontId="10" fillId="4" borderId="7" xfId="0" applyFont="1" applyFill="1" applyBorder="1" applyProtection="1">
      <protection locked="0" hidden="1"/>
    </xf>
    <xf numFmtId="0" fontId="12" fillId="4" borderId="7" xfId="0" applyFont="1" applyFill="1" applyBorder="1" applyAlignment="1" applyProtection="1">
      <alignment horizontal="center"/>
      <protection locked="0" hidden="1"/>
    </xf>
    <xf numFmtId="172" fontId="10" fillId="4" borderId="7" xfId="0" applyNumberFormat="1" applyFont="1" applyFill="1" applyBorder="1" applyProtection="1">
      <protection locked="0" hidden="1"/>
    </xf>
    <xf numFmtId="172" fontId="10" fillId="4" borderId="0" xfId="0" applyNumberFormat="1" applyFont="1" applyFill="1" applyBorder="1" applyProtection="1">
      <protection locked="0" hidden="1"/>
    </xf>
    <xf numFmtId="0" fontId="22" fillId="4" borderId="0" xfId="0" applyFont="1" applyFill="1" applyProtection="1">
      <protection locked="0" hidden="1"/>
    </xf>
    <xf numFmtId="172" fontId="24" fillId="4" borderId="0" xfId="0" applyNumberFormat="1" applyFont="1" applyFill="1" applyBorder="1" applyProtection="1">
      <protection locked="0" hidden="1"/>
    </xf>
    <xf numFmtId="44" fontId="10" fillId="4" borderId="7" xfId="0" applyNumberFormat="1" applyFont="1" applyFill="1" applyBorder="1" applyProtection="1">
      <protection locked="0" hidden="1"/>
    </xf>
    <xf numFmtId="44" fontId="23" fillId="4" borderId="0" xfId="0" applyNumberFormat="1" applyFont="1" applyFill="1" applyProtection="1">
      <protection locked="0" hidden="1"/>
    </xf>
    <xf numFmtId="0" fontId="10" fillId="4" borderId="7" xfId="0" applyFont="1" applyFill="1" applyBorder="1" applyAlignment="1" applyProtection="1">
      <alignment horizontal="right"/>
      <protection locked="0" hidden="1"/>
    </xf>
    <xf numFmtId="42" fontId="23" fillId="4" borderId="0" xfId="0" applyNumberFormat="1" applyFont="1" applyFill="1" applyProtection="1">
      <protection locked="0" hidden="1"/>
    </xf>
    <xf numFmtId="42" fontId="10" fillId="4" borderId="0" xfId="0" applyNumberFormat="1" applyFont="1" applyFill="1" applyProtection="1">
      <protection locked="0" hidden="1"/>
    </xf>
    <xf numFmtId="42" fontId="22" fillId="4" borderId="0" xfId="0" applyNumberFormat="1" applyFont="1" applyFill="1" applyProtection="1">
      <protection locked="0" hidden="1"/>
    </xf>
    <xf numFmtId="42" fontId="10" fillId="4" borderId="7" xfId="0" applyNumberFormat="1" applyFont="1" applyFill="1" applyBorder="1" applyProtection="1">
      <protection locked="0" hidden="1"/>
    </xf>
    <xf numFmtId="42" fontId="10" fillId="4" borderId="9" xfId="0" applyNumberFormat="1" applyFont="1" applyFill="1" applyBorder="1" applyProtection="1">
      <protection locked="0" hidden="1"/>
    </xf>
    <xf numFmtId="42" fontId="20" fillId="4" borderId="0" xfId="0" applyNumberFormat="1" applyFont="1" applyFill="1" applyProtection="1">
      <protection locked="0" hidden="1"/>
    </xf>
    <xf numFmtId="42" fontId="20" fillId="4" borderId="7" xfId="0" applyNumberFormat="1" applyFont="1" applyFill="1" applyBorder="1" applyProtection="1">
      <protection locked="0" hidden="1"/>
    </xf>
    <xf numFmtId="42" fontId="23" fillId="4" borderId="2" xfId="0" applyNumberFormat="1" applyFont="1" applyFill="1" applyBorder="1" applyProtection="1">
      <protection locked="0" hidden="1"/>
    </xf>
    <xf numFmtId="6" fontId="10" fillId="4" borderId="0" xfId="0" applyNumberFormat="1" applyFont="1" applyFill="1" applyProtection="1">
      <protection locked="0" hidden="1"/>
    </xf>
  </cellXfs>
  <cellStyles count="4">
    <cellStyle name="Normal" xfId="0" builtinId="0"/>
    <cellStyle name="Normal 2" xfId="1" xr:uid="{00000000-0005-0000-0000-000001000000}"/>
    <cellStyle name="Percent" xfId="3" builtinId="5"/>
    <cellStyle name="Percent 2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d3384/AppData/Local/Temp/7zO4D8058E0/Copy%20of%204025-XLS-ENG%20Hansson%20Stud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 Inc"/>
      <sheetName val="Hist Bal"/>
      <sheetName val="Hist Cash"/>
      <sheetName val="Comps"/>
      <sheetName val="Investment"/>
      <sheetName val="Assumptions"/>
      <sheetName val="WACC"/>
      <sheetName val="Model"/>
      <sheetName val="Sheet2"/>
    </sheetNames>
    <sheetDataSet>
      <sheetData sheetId="0">
        <row r="80">
          <cell r="D80">
            <v>0.39988072552427945</v>
          </cell>
        </row>
      </sheetData>
      <sheetData sheetId="1"/>
      <sheetData sheetId="2"/>
      <sheetData sheetId="3"/>
      <sheetData sheetId="4"/>
      <sheetData sheetId="5"/>
      <sheetData sheetId="6">
        <row r="69">
          <cell r="I69">
            <v>9.3133438347718825E-2</v>
          </cell>
          <cell r="N69">
            <v>0.4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"/>
  <sheetViews>
    <sheetView tabSelected="1" workbookViewId="0">
      <selection activeCell="A2" sqref="A2"/>
    </sheetView>
  </sheetViews>
  <sheetFormatPr defaultRowHeight="14.5" x14ac:dyDescent="0.35"/>
  <sheetData>
    <row r="1" spans="1:28" ht="25" x14ac:dyDescent="0.5">
      <c r="A1" s="51" t="s">
        <v>84</v>
      </c>
      <c r="B1" s="22"/>
      <c r="C1" s="22"/>
      <c r="D1" s="22"/>
      <c r="E1" s="22"/>
      <c r="F1" s="22"/>
      <c r="G1" s="22"/>
      <c r="H1" s="22"/>
      <c r="I1" s="2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s="2" customForma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28" ht="18" x14ac:dyDescent="0.4">
      <c r="A3" s="24" t="s">
        <v>135</v>
      </c>
      <c r="B3" s="22"/>
      <c r="C3" s="22"/>
      <c r="D3" s="22"/>
      <c r="E3" s="22"/>
      <c r="F3" s="22"/>
      <c r="G3" s="22"/>
      <c r="H3" s="22"/>
      <c r="I3" s="2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A4" s="22"/>
      <c r="B4" s="22"/>
      <c r="C4" s="22"/>
      <c r="D4" s="22"/>
      <c r="E4" s="22"/>
      <c r="F4" s="22"/>
      <c r="G4" s="22"/>
      <c r="H4" s="22"/>
      <c r="I4" s="2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35">
      <c r="A5" s="40" t="s">
        <v>136</v>
      </c>
      <c r="B5" s="26"/>
      <c r="C5" s="26"/>
      <c r="D5" s="26"/>
      <c r="E5" s="41">
        <v>2003</v>
      </c>
      <c r="F5" s="42">
        <f>E5+1</f>
        <v>2004</v>
      </c>
      <c r="G5" s="42">
        <f>F5+1</f>
        <v>2005</v>
      </c>
      <c r="H5" s="42">
        <f>G5+1</f>
        <v>2006</v>
      </c>
      <c r="I5" s="43">
        <f>H5+1</f>
        <v>2007</v>
      </c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</row>
    <row r="6" spans="1:28" x14ac:dyDescent="0.35">
      <c r="A6" s="26" t="s">
        <v>1</v>
      </c>
      <c r="B6" s="26"/>
      <c r="C6" s="26"/>
      <c r="D6" s="26"/>
      <c r="E6" s="47">
        <v>503.4</v>
      </c>
      <c r="F6" s="47">
        <v>543.70000000000005</v>
      </c>
      <c r="G6" s="47">
        <v>587.20000000000005</v>
      </c>
      <c r="H6" s="47">
        <v>636.1</v>
      </c>
      <c r="I6" s="47">
        <v>680.7</v>
      </c>
      <c r="J6" s="17"/>
      <c r="K6" s="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5"/>
      <c r="X6" s="5"/>
      <c r="Y6" s="5"/>
      <c r="Z6" s="5"/>
      <c r="AA6" s="5"/>
      <c r="AB6" s="5"/>
    </row>
    <row r="7" spans="1:28" x14ac:dyDescent="0.35">
      <c r="A7" s="26" t="s">
        <v>137</v>
      </c>
      <c r="B7" s="26"/>
      <c r="C7" s="26"/>
      <c r="D7" s="26"/>
      <c r="E7" s="46">
        <v>405.2</v>
      </c>
      <c r="F7" s="46">
        <v>432.3</v>
      </c>
      <c r="G7" s="46">
        <v>496.2</v>
      </c>
      <c r="H7" s="46">
        <v>513.4</v>
      </c>
      <c r="I7" s="46">
        <v>558.20000000000005</v>
      </c>
      <c r="J7" s="1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5"/>
      <c r="AA7" s="5"/>
      <c r="AB7" s="5"/>
    </row>
    <row r="8" spans="1:28" x14ac:dyDescent="0.35">
      <c r="A8" s="25" t="s">
        <v>138</v>
      </c>
      <c r="B8" s="25"/>
      <c r="C8" s="25"/>
      <c r="D8" s="25"/>
      <c r="E8" s="48">
        <f>E6-E7</f>
        <v>98.199999999999989</v>
      </c>
      <c r="F8" s="48">
        <f>F6-F7</f>
        <v>111.40000000000003</v>
      </c>
      <c r="G8" s="48">
        <f>G6-G7</f>
        <v>91.000000000000057</v>
      </c>
      <c r="H8" s="48">
        <f>H6-H7</f>
        <v>122.70000000000005</v>
      </c>
      <c r="I8" s="48">
        <f>I6-I7</f>
        <v>122.5</v>
      </c>
      <c r="J8" s="1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5"/>
      <c r="X8" s="5"/>
      <c r="Y8" s="5"/>
      <c r="Z8" s="5"/>
      <c r="AA8" s="5"/>
      <c r="AB8" s="5"/>
    </row>
    <row r="9" spans="1:28" x14ac:dyDescent="0.35">
      <c r="A9" s="26" t="s">
        <v>139</v>
      </c>
      <c r="B9" s="26"/>
      <c r="C9" s="26"/>
      <c r="D9" s="26"/>
      <c r="E9" s="46">
        <v>37.799999999999997</v>
      </c>
      <c r="F9" s="46">
        <v>44.6</v>
      </c>
      <c r="G9" s="46">
        <v>45.8</v>
      </c>
      <c r="H9" s="46">
        <v>51.5</v>
      </c>
      <c r="I9" s="46">
        <v>49</v>
      </c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5"/>
      <c r="X9" s="5"/>
      <c r="Y9" s="5"/>
      <c r="Z9" s="5"/>
      <c r="AA9" s="5"/>
      <c r="AB9" s="5"/>
    </row>
    <row r="10" spans="1:28" x14ac:dyDescent="0.35">
      <c r="A10" s="25" t="s">
        <v>140</v>
      </c>
      <c r="B10" s="25"/>
      <c r="C10" s="25"/>
      <c r="D10" s="25"/>
      <c r="E10" s="48">
        <f>E8-E9</f>
        <v>60.399999999999991</v>
      </c>
      <c r="F10" s="48">
        <f>F8-F9</f>
        <v>66.80000000000004</v>
      </c>
      <c r="G10" s="48">
        <f>G8-G9</f>
        <v>45.20000000000006</v>
      </c>
      <c r="H10" s="48">
        <f>H8-H9</f>
        <v>71.200000000000045</v>
      </c>
      <c r="I10" s="48">
        <f>I8-I9</f>
        <v>73.5</v>
      </c>
      <c r="J10" s="17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5"/>
      <c r="X10" s="5"/>
      <c r="Y10" s="5"/>
      <c r="Z10" s="5"/>
      <c r="AA10" s="5"/>
      <c r="AB10" s="5"/>
    </row>
    <row r="11" spans="1:28" x14ac:dyDescent="0.35">
      <c r="A11" s="26" t="s">
        <v>141</v>
      </c>
      <c r="B11" s="26"/>
      <c r="C11" s="26"/>
      <c r="D11" s="26"/>
      <c r="E11" s="46">
        <v>6.8</v>
      </c>
      <c r="F11" s="46">
        <v>6.2</v>
      </c>
      <c r="G11" s="46">
        <v>6</v>
      </c>
      <c r="H11" s="46">
        <v>5.9</v>
      </c>
      <c r="I11" s="46">
        <v>6.1</v>
      </c>
      <c r="J11" s="1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5"/>
      <c r="X11" s="5"/>
      <c r="Y11" s="5"/>
      <c r="Z11" s="5"/>
      <c r="AA11" s="5"/>
      <c r="AB11" s="5"/>
    </row>
    <row r="12" spans="1:28" x14ac:dyDescent="0.35">
      <c r="A12" s="25" t="s">
        <v>8</v>
      </c>
      <c r="B12" s="25"/>
      <c r="C12" s="25"/>
      <c r="D12" s="25"/>
      <c r="E12" s="48">
        <f>E10-E11</f>
        <v>53.599999999999994</v>
      </c>
      <c r="F12" s="48">
        <f>F10-F11</f>
        <v>60.600000000000037</v>
      </c>
      <c r="G12" s="48">
        <f>G10-G11</f>
        <v>39.20000000000006</v>
      </c>
      <c r="H12" s="48">
        <f>H10-H11</f>
        <v>65.30000000000004</v>
      </c>
      <c r="I12" s="48">
        <f>I10-I11</f>
        <v>67.400000000000006</v>
      </c>
      <c r="J12" s="1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</row>
    <row r="13" spans="1:28" x14ac:dyDescent="0.35">
      <c r="A13" s="26" t="s">
        <v>142</v>
      </c>
      <c r="B13" s="26"/>
      <c r="C13" s="26"/>
      <c r="D13" s="26"/>
      <c r="E13" s="46">
        <v>5.5</v>
      </c>
      <c r="F13" s="46">
        <v>5.8</v>
      </c>
      <c r="G13" s="46">
        <v>5.9</v>
      </c>
      <c r="H13" s="46">
        <v>5.3</v>
      </c>
      <c r="I13" s="46">
        <v>3.3</v>
      </c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5"/>
      <c r="X13" s="5"/>
      <c r="Y13" s="5"/>
      <c r="Z13" s="5"/>
      <c r="AA13" s="5"/>
      <c r="AB13" s="5"/>
    </row>
    <row r="14" spans="1:28" x14ac:dyDescent="0.35">
      <c r="A14" s="25" t="s">
        <v>143</v>
      </c>
      <c r="B14" s="25"/>
      <c r="C14" s="25"/>
      <c r="D14" s="25"/>
      <c r="E14" s="48">
        <f>E12-E13</f>
        <v>48.099999999999994</v>
      </c>
      <c r="F14" s="48">
        <f>F12-F13</f>
        <v>54.80000000000004</v>
      </c>
      <c r="G14" s="48">
        <f>G12-G13</f>
        <v>33.300000000000061</v>
      </c>
      <c r="H14" s="48">
        <f>H12-H13</f>
        <v>60.000000000000043</v>
      </c>
      <c r="I14" s="48">
        <f>I12-I13</f>
        <v>64.100000000000009</v>
      </c>
      <c r="J14" s="1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5"/>
      <c r="X14" s="5"/>
      <c r="Y14" s="5"/>
      <c r="Z14" s="5"/>
      <c r="AA14" s="5"/>
      <c r="AB14" s="5"/>
    </row>
    <row r="15" spans="1:28" x14ac:dyDescent="0.35">
      <c r="A15" s="26" t="s">
        <v>144</v>
      </c>
      <c r="B15" s="26"/>
      <c r="C15" s="26"/>
      <c r="D15" s="26"/>
      <c r="E15" s="46">
        <v>19.2</v>
      </c>
      <c r="F15" s="46">
        <v>22</v>
      </c>
      <c r="G15" s="46">
        <v>13.3</v>
      </c>
      <c r="H15" s="46">
        <v>24</v>
      </c>
      <c r="I15" s="46">
        <v>25.6</v>
      </c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5"/>
      <c r="X15" s="5"/>
      <c r="Y15" s="5"/>
      <c r="Z15" s="5"/>
      <c r="AA15" s="5"/>
      <c r="AB15" s="5"/>
    </row>
    <row r="16" spans="1:28" x14ac:dyDescent="0.35">
      <c r="A16" s="25" t="s">
        <v>118</v>
      </c>
      <c r="B16" s="25"/>
      <c r="C16" s="25"/>
      <c r="D16" s="25"/>
      <c r="E16" s="44">
        <f>E14-E15</f>
        <v>28.899999999999995</v>
      </c>
      <c r="F16" s="44">
        <f>F14-F15</f>
        <v>32.80000000000004</v>
      </c>
      <c r="G16" s="44">
        <f>G14-G15</f>
        <v>20.00000000000006</v>
      </c>
      <c r="H16" s="44">
        <f>H14-H15</f>
        <v>36.000000000000043</v>
      </c>
      <c r="I16" s="44">
        <f>I14-I15</f>
        <v>38.500000000000007</v>
      </c>
      <c r="J16" s="1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5"/>
      <c r="X16" s="5"/>
      <c r="Y16" s="5"/>
      <c r="Z16" s="5"/>
      <c r="AA16" s="5"/>
      <c r="AB16" s="5"/>
    </row>
    <row r="17" spans="1:28" x14ac:dyDescent="0.35">
      <c r="A17" s="26"/>
      <c r="B17" s="26"/>
      <c r="C17" s="26"/>
      <c r="D17" s="26"/>
      <c r="E17" s="45"/>
      <c r="F17" s="45"/>
      <c r="G17" s="45"/>
      <c r="H17" s="45"/>
      <c r="I17" s="45"/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5"/>
      <c r="X17" s="5"/>
      <c r="Y17" s="5"/>
      <c r="Z17" s="5"/>
      <c r="AA17" s="5"/>
      <c r="AB17" s="5"/>
    </row>
    <row r="18" spans="1:28" x14ac:dyDescent="0.35">
      <c r="A18" s="26"/>
      <c r="B18" s="26"/>
      <c r="C18" s="26"/>
      <c r="D18" s="26"/>
      <c r="E18" s="26"/>
      <c r="F18" s="26"/>
      <c r="G18" s="26"/>
      <c r="H18" s="26"/>
      <c r="I18" s="26"/>
      <c r="J18" s="1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5"/>
      <c r="X18" s="5"/>
      <c r="Y18" s="5"/>
      <c r="Z18" s="5"/>
      <c r="AA18" s="5"/>
      <c r="AB18" s="5"/>
    </row>
    <row r="19" spans="1:28" x14ac:dyDescent="0.35">
      <c r="A19" s="52" t="s">
        <v>145</v>
      </c>
      <c r="B19" s="53"/>
      <c r="C19" s="53"/>
      <c r="D19" s="53"/>
      <c r="E19" s="53"/>
      <c r="F19" s="53"/>
      <c r="G19" s="53"/>
      <c r="H19" s="53"/>
      <c r="I19" s="54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5"/>
      <c r="X19" s="5"/>
      <c r="Y19" s="5"/>
      <c r="Z19" s="5"/>
      <c r="AA19" s="5"/>
      <c r="AB19" s="5"/>
    </row>
    <row r="20" spans="1:28" x14ac:dyDescent="0.35">
      <c r="A20" s="55" t="s">
        <v>146</v>
      </c>
      <c r="B20" s="56"/>
      <c r="C20" s="56"/>
      <c r="D20" s="56"/>
      <c r="E20" s="57" t="s">
        <v>147</v>
      </c>
      <c r="F20" s="57">
        <f>(F6-E6)/E6</f>
        <v>8.0055621771950872E-2</v>
      </c>
      <c r="G20" s="57">
        <f>(G6-F6)/F6</f>
        <v>8.0007356998344673E-2</v>
      </c>
      <c r="H20" s="57">
        <f>(H6-G6)/G6</f>
        <v>8.3276566757493148E-2</v>
      </c>
      <c r="I20" s="58">
        <f>(I6-H6)/H6</f>
        <v>7.0114761829900993E-2</v>
      </c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5"/>
      <c r="X20" s="5"/>
      <c r="Y20" s="5"/>
      <c r="Z20" s="5"/>
      <c r="AA20" s="5"/>
      <c r="AB20" s="5"/>
    </row>
    <row r="21" spans="1:28" x14ac:dyDescent="0.35">
      <c r="A21" s="55" t="s">
        <v>148</v>
      </c>
      <c r="B21" s="56"/>
      <c r="C21" s="56"/>
      <c r="D21" s="56"/>
      <c r="E21" s="59">
        <f>E8/E6</f>
        <v>0.19507350019864916</v>
      </c>
      <c r="F21" s="59">
        <f>F8/F6</f>
        <v>0.20489240389920918</v>
      </c>
      <c r="G21" s="59">
        <f>G8/G6</f>
        <v>0.15497275204359681</v>
      </c>
      <c r="H21" s="59">
        <f>H8/H6</f>
        <v>0.19289419902531055</v>
      </c>
      <c r="I21" s="60">
        <f>I8/I6</f>
        <v>0.1799618040252681</v>
      </c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5"/>
      <c r="X21" s="5"/>
      <c r="Y21" s="5"/>
      <c r="Z21" s="5"/>
      <c r="AA21" s="5"/>
      <c r="AB21" s="5"/>
    </row>
    <row r="22" spans="1:28" x14ac:dyDescent="0.35">
      <c r="A22" s="55" t="s">
        <v>73</v>
      </c>
      <c r="B22" s="56"/>
      <c r="C22" s="56"/>
      <c r="D22" s="56"/>
      <c r="E22" s="59">
        <f>E9/E6</f>
        <v>7.508939213349225E-2</v>
      </c>
      <c r="F22" s="59">
        <f>F9/F6</f>
        <v>8.2030531543130392E-2</v>
      </c>
      <c r="G22" s="59">
        <f>G9/G6</f>
        <v>7.7997275204359659E-2</v>
      </c>
      <c r="H22" s="59">
        <f>H9/H6</f>
        <v>8.0962112875334058E-2</v>
      </c>
      <c r="I22" s="60">
        <f>I9/I6</f>
        <v>7.1984721610107244E-2</v>
      </c>
      <c r="J22" s="1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5"/>
      <c r="X22" s="5"/>
      <c r="Y22" s="5"/>
      <c r="Z22" s="5"/>
      <c r="AA22" s="5"/>
      <c r="AB22" s="5"/>
    </row>
    <row r="23" spans="1:28" x14ac:dyDescent="0.35">
      <c r="A23" s="55" t="s">
        <v>149</v>
      </c>
      <c r="B23" s="56"/>
      <c r="C23" s="56"/>
      <c r="D23" s="56"/>
      <c r="E23" s="59">
        <f>E10/E6</f>
        <v>0.11998410806515693</v>
      </c>
      <c r="F23" s="59">
        <f>F10/F6</f>
        <v>0.12286187235607879</v>
      </c>
      <c r="G23" s="59">
        <f>G10/G6</f>
        <v>7.6975476839237153E-2</v>
      </c>
      <c r="H23" s="59">
        <f>H10/H6</f>
        <v>0.11193208614997649</v>
      </c>
      <c r="I23" s="60">
        <f>I10/I6</f>
        <v>0.10797708241516085</v>
      </c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5"/>
      <c r="X23" s="5"/>
      <c r="Y23" s="5"/>
      <c r="Z23" s="5"/>
      <c r="AA23" s="5"/>
      <c r="AB23" s="5"/>
    </row>
    <row r="24" spans="1:28" x14ac:dyDescent="0.35">
      <c r="A24" s="55" t="s">
        <v>150</v>
      </c>
      <c r="B24" s="56"/>
      <c r="C24" s="56"/>
      <c r="D24" s="56"/>
      <c r="E24" s="59">
        <f>E12/E6</f>
        <v>0.10647596344854986</v>
      </c>
      <c r="F24" s="59">
        <f>F12/F6</f>
        <v>0.11145852492183195</v>
      </c>
      <c r="G24" s="59">
        <f>G12/G6</f>
        <v>6.6757493188010997E-2</v>
      </c>
      <c r="H24" s="59">
        <f>H12/H6</f>
        <v>0.10265681496620034</v>
      </c>
      <c r="I24" s="60">
        <f>I12/I6</f>
        <v>9.9015719112678133E-2</v>
      </c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5"/>
      <c r="X24" s="5"/>
      <c r="Y24" s="5"/>
      <c r="Z24" s="5"/>
      <c r="AA24" s="5"/>
      <c r="AB24" s="5"/>
    </row>
    <row r="25" spans="1:28" x14ac:dyDescent="0.35">
      <c r="A25" s="55" t="s">
        <v>151</v>
      </c>
      <c r="B25" s="56"/>
      <c r="C25" s="56"/>
      <c r="D25" s="56"/>
      <c r="E25" s="59">
        <f>E16/E6</f>
        <v>5.740961462058005E-2</v>
      </c>
      <c r="F25" s="59">
        <f>F16/F6</f>
        <v>6.0327386426338121E-2</v>
      </c>
      <c r="G25" s="59">
        <f>G16/G6</f>
        <v>3.4059945504087294E-2</v>
      </c>
      <c r="H25" s="59">
        <f>H16/H6</f>
        <v>5.6594875019651061E-2</v>
      </c>
      <c r="I25" s="60">
        <f>I16/I6</f>
        <v>5.6559424122227128E-2</v>
      </c>
      <c r="J25" s="1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5"/>
      <c r="X25" s="5"/>
      <c r="Y25" s="5"/>
      <c r="Z25" s="5"/>
      <c r="AA25" s="5"/>
      <c r="AB25" s="5"/>
    </row>
    <row r="26" spans="1:28" x14ac:dyDescent="0.35">
      <c r="A26" s="61" t="s">
        <v>152</v>
      </c>
      <c r="B26" s="29"/>
      <c r="C26" s="29"/>
      <c r="D26" s="29"/>
      <c r="E26" s="62">
        <f>E15/E14</f>
        <v>0.39916839916839919</v>
      </c>
      <c r="F26" s="62">
        <f>F15/F14</f>
        <v>0.40145985401459827</v>
      </c>
      <c r="G26" s="62">
        <f>G15/G14</f>
        <v>0.39939939939939867</v>
      </c>
      <c r="H26" s="62">
        <f>H15/H14</f>
        <v>0.39999999999999969</v>
      </c>
      <c r="I26" s="63">
        <f>I15/I14</f>
        <v>0.39937597503900152</v>
      </c>
      <c r="J26" s="1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5"/>
      <c r="X26" s="5"/>
      <c r="Y26" s="5"/>
      <c r="Z26" s="5"/>
      <c r="AA26" s="5"/>
      <c r="AB26" s="5"/>
    </row>
    <row r="27" spans="1:28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5"/>
      <c r="X27" s="5"/>
      <c r="Y27" s="5"/>
      <c r="Z27" s="5"/>
      <c r="AA27" s="5"/>
      <c r="AB27" s="5"/>
    </row>
    <row r="28" spans="1:28" x14ac:dyDescent="0.35">
      <c r="A28" s="16"/>
      <c r="B28" s="16"/>
      <c r="C28" s="16" t="s">
        <v>42</v>
      </c>
      <c r="D28" s="18">
        <f>AVERAGE(E26:I26)</f>
        <v>0.39988072552427945</v>
      </c>
      <c r="E28" s="16"/>
      <c r="F28" s="16"/>
      <c r="G28" s="16"/>
      <c r="H28" s="16"/>
      <c r="I28" s="16"/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5"/>
      <c r="X28" s="5"/>
      <c r="Y28" s="5"/>
      <c r="Z28" s="5"/>
      <c r="AA28" s="5"/>
      <c r="AB28" s="5"/>
    </row>
    <row r="29" spans="1:28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5"/>
      <c r="X29" s="5"/>
      <c r="Y29" s="5"/>
      <c r="Z29" s="5"/>
      <c r="AA29" s="5"/>
      <c r="AB29" s="5"/>
    </row>
    <row r="30" spans="1:28" x14ac:dyDescent="0.3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380"/>
  <sheetViews>
    <sheetView workbookViewId="0">
      <selection activeCell="A2" sqref="A2"/>
    </sheetView>
  </sheetViews>
  <sheetFormatPr defaultRowHeight="14.5" x14ac:dyDescent="0.35"/>
  <cols>
    <col min="1" max="1" width="24.453125" bestFit="1" customWidth="1"/>
    <col min="2" max="2" width="13.26953125" bestFit="1" customWidth="1"/>
    <col min="3" max="7" width="12.26953125" bestFit="1" customWidth="1"/>
  </cols>
  <sheetData>
    <row r="1" spans="1:35" ht="25" x14ac:dyDescent="0.5">
      <c r="A1" s="99" t="s">
        <v>84</v>
      </c>
      <c r="B1" s="95"/>
      <c r="C1" s="95"/>
      <c r="D1" s="95"/>
      <c r="E1" s="95"/>
      <c r="F1" s="95"/>
      <c r="G1" s="9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5" s="2" customFormat="1" x14ac:dyDescent="0.35">
      <c r="A2" s="97"/>
      <c r="B2" s="97"/>
      <c r="C2" s="97"/>
      <c r="D2" s="97"/>
      <c r="E2" s="97"/>
      <c r="F2" s="97"/>
      <c r="G2" s="97"/>
    </row>
    <row r="3" spans="1:35" ht="18" x14ac:dyDescent="0.4">
      <c r="A3" s="102" t="s">
        <v>104</v>
      </c>
      <c r="B3" s="102"/>
      <c r="C3" s="102"/>
      <c r="D3" s="102"/>
      <c r="E3" s="102"/>
      <c r="F3" s="102"/>
      <c r="G3" s="10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s="15" customFormat="1" ht="18" x14ac:dyDescent="0.4">
      <c r="A4" s="100"/>
      <c r="B4" s="100"/>
      <c r="C4" s="100"/>
      <c r="D4" s="100"/>
      <c r="E4" s="100"/>
      <c r="F4" s="100"/>
      <c r="G4" s="100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35">
      <c r="A5" s="101" t="s">
        <v>105</v>
      </c>
      <c r="B5" s="101"/>
      <c r="C5" s="101"/>
      <c r="D5" s="101"/>
      <c r="E5" s="101"/>
      <c r="F5" s="101"/>
      <c r="G5" s="10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35">
      <c r="A6" s="22"/>
      <c r="B6" s="22"/>
      <c r="C6" s="22"/>
      <c r="D6" s="22"/>
      <c r="E6" s="22"/>
      <c r="F6" s="22"/>
      <c r="G6" s="2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35">
      <c r="A7" s="132" t="s">
        <v>97</v>
      </c>
      <c r="B7" s="111">
        <v>0.34</v>
      </c>
      <c r="C7" s="132"/>
      <c r="D7" s="132"/>
      <c r="E7" s="132"/>
      <c r="F7" s="132"/>
      <c r="G7" s="132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35">
      <c r="A8" s="132" t="s">
        <v>106</v>
      </c>
      <c r="B8" s="111">
        <v>0.1</v>
      </c>
      <c r="C8" s="132"/>
      <c r="D8" s="132"/>
      <c r="E8" s="132"/>
      <c r="F8" s="132"/>
      <c r="G8" s="13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35">
      <c r="A9" s="132" t="s">
        <v>107</v>
      </c>
      <c r="B9" s="111">
        <v>0.18</v>
      </c>
      <c r="C9" s="132"/>
      <c r="D9" s="132"/>
      <c r="E9" s="132"/>
      <c r="F9" s="132"/>
      <c r="G9" s="13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35">
      <c r="A10" s="132"/>
      <c r="B10" s="132"/>
      <c r="C10" s="132"/>
      <c r="D10" s="132"/>
      <c r="E10" s="132"/>
      <c r="F10" s="132"/>
      <c r="G10" s="13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35">
      <c r="A11" s="181"/>
      <c r="B11" s="189" t="s">
        <v>108</v>
      </c>
      <c r="C11" s="189" t="s">
        <v>109</v>
      </c>
      <c r="D11" s="189" t="s">
        <v>110</v>
      </c>
      <c r="E11" s="189" t="s">
        <v>111</v>
      </c>
      <c r="F11" s="189" t="s">
        <v>112</v>
      </c>
      <c r="G11" s="189" t="s">
        <v>113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35">
      <c r="A12" s="185" t="s">
        <v>114</v>
      </c>
      <c r="B12" s="190">
        <v>-10000000</v>
      </c>
      <c r="C12" s="132"/>
      <c r="D12" s="132"/>
      <c r="E12" s="132"/>
      <c r="F12" s="132"/>
      <c r="G12" s="13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35">
      <c r="A13" s="132" t="s">
        <v>115</v>
      </c>
      <c r="B13" s="132"/>
      <c r="C13" s="191">
        <f>-ROUND($B$12/5,0)</f>
        <v>2000000</v>
      </c>
      <c r="D13" s="191">
        <f>-ROUND($B$12/5,0)</f>
        <v>2000000</v>
      </c>
      <c r="E13" s="191">
        <f>-ROUND($B$12/5,0)</f>
        <v>2000000</v>
      </c>
      <c r="F13" s="191">
        <f>-ROUND($B$12/5,0)</f>
        <v>2000000</v>
      </c>
      <c r="G13" s="191">
        <f>-ROUND($B$12/5,0)</f>
        <v>2000000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35">
      <c r="A14" s="185"/>
      <c r="B14" s="192"/>
      <c r="C14" s="132"/>
      <c r="D14" s="132"/>
      <c r="E14" s="132"/>
      <c r="F14" s="132"/>
      <c r="G14" s="13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35">
      <c r="A15" s="132" t="s">
        <v>116</v>
      </c>
      <c r="B15" s="132"/>
      <c r="C15" s="191">
        <v>3500000</v>
      </c>
      <c r="D15" s="191">
        <v>3500000</v>
      </c>
      <c r="E15" s="191">
        <v>3500000</v>
      </c>
      <c r="F15" s="191">
        <v>3500000</v>
      </c>
      <c r="G15" s="191">
        <v>3500000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35">
      <c r="A16" s="178" t="s">
        <v>115</v>
      </c>
      <c r="B16" s="132"/>
      <c r="C16" s="193">
        <f>C13</f>
        <v>2000000</v>
      </c>
      <c r="D16" s="193">
        <f>D13</f>
        <v>2000000</v>
      </c>
      <c r="E16" s="193">
        <f>E13</f>
        <v>2000000</v>
      </c>
      <c r="F16" s="193">
        <f>F13</f>
        <v>2000000</v>
      </c>
      <c r="G16" s="193">
        <f>G13</f>
        <v>2000000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35">
      <c r="A17" s="178" t="s">
        <v>8</v>
      </c>
      <c r="B17" s="132"/>
      <c r="C17" s="191">
        <f>C15-C16</f>
        <v>1500000</v>
      </c>
      <c r="D17" s="191">
        <f>D15-D16</f>
        <v>1500000</v>
      </c>
      <c r="E17" s="191">
        <f>E15-E16</f>
        <v>1500000</v>
      </c>
      <c r="F17" s="191">
        <f>F15-F16</f>
        <v>1500000</v>
      </c>
      <c r="G17" s="191">
        <f>G15-G16</f>
        <v>1500000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35">
      <c r="A18" s="178" t="s">
        <v>117</v>
      </c>
      <c r="B18" s="132"/>
      <c r="C18" s="193">
        <f>C17*$B$7</f>
        <v>510000.00000000006</v>
      </c>
      <c r="D18" s="193">
        <f>D17*$B$7</f>
        <v>510000.00000000006</v>
      </c>
      <c r="E18" s="193">
        <f>E17*$B$7</f>
        <v>510000.00000000006</v>
      </c>
      <c r="F18" s="193">
        <f>F17*$B$7</f>
        <v>510000.00000000006</v>
      </c>
      <c r="G18" s="193">
        <f>G17*$B$7</f>
        <v>510000.00000000006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35">
      <c r="A19" s="178" t="s">
        <v>118</v>
      </c>
      <c r="B19" s="132"/>
      <c r="C19" s="191">
        <f>C17-C18</f>
        <v>990000</v>
      </c>
      <c r="D19" s="191">
        <f>D17-D18</f>
        <v>990000</v>
      </c>
      <c r="E19" s="191">
        <f>E17-E18</f>
        <v>990000</v>
      </c>
      <c r="F19" s="191">
        <f>F17-F18</f>
        <v>990000</v>
      </c>
      <c r="G19" s="191">
        <f>G17-G18</f>
        <v>990000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35">
      <c r="A20" s="178" t="s">
        <v>119</v>
      </c>
      <c r="B20" s="132"/>
      <c r="C20" s="193">
        <f>C16</f>
        <v>2000000</v>
      </c>
      <c r="D20" s="193">
        <f>D16</f>
        <v>2000000</v>
      </c>
      <c r="E20" s="193">
        <f>E16</f>
        <v>2000000</v>
      </c>
      <c r="F20" s="193">
        <f>F16</f>
        <v>2000000</v>
      </c>
      <c r="G20" s="193">
        <f>G16</f>
        <v>2000000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35">
      <c r="A21" s="178" t="s">
        <v>120</v>
      </c>
      <c r="B21" s="181"/>
      <c r="C21" s="193">
        <f>C19+C20</f>
        <v>2990000</v>
      </c>
      <c r="D21" s="193">
        <f>D19+D20</f>
        <v>2990000</v>
      </c>
      <c r="E21" s="193">
        <f>E19+E20</f>
        <v>2990000</v>
      </c>
      <c r="F21" s="193">
        <f>F19+F20</f>
        <v>2990000</v>
      </c>
      <c r="G21" s="193">
        <f>G19+G20</f>
        <v>2990000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35">
      <c r="A22" s="178" t="s">
        <v>121</v>
      </c>
      <c r="B22" s="194">
        <f t="shared" ref="B22:G22" si="0">B12+B21</f>
        <v>-10000000</v>
      </c>
      <c r="C22" s="191">
        <f t="shared" si="0"/>
        <v>2990000</v>
      </c>
      <c r="D22" s="191">
        <f>D12+D21</f>
        <v>2990000</v>
      </c>
      <c r="E22" s="191">
        <f t="shared" si="0"/>
        <v>2990000</v>
      </c>
      <c r="F22" s="191">
        <f t="shared" si="0"/>
        <v>2990000</v>
      </c>
      <c r="G22" s="191">
        <f t="shared" si="0"/>
        <v>2990000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35">
      <c r="A23" s="185" t="s">
        <v>122</v>
      </c>
      <c r="B23" s="190">
        <f>NPV(B9,C22:G22)+B22</f>
        <v>-649758.64738372527</v>
      </c>
      <c r="C23" s="132"/>
      <c r="D23" s="132"/>
      <c r="E23" s="132"/>
      <c r="F23" s="132"/>
      <c r="G23" s="13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35">
      <c r="A24" s="132"/>
      <c r="B24" s="132"/>
      <c r="C24" s="132"/>
      <c r="D24" s="132"/>
      <c r="E24" s="132"/>
      <c r="F24" s="132"/>
      <c r="G24" s="13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35">
      <c r="A25" s="132" t="s">
        <v>123</v>
      </c>
      <c r="B25" s="195">
        <v>7500000</v>
      </c>
      <c r="C25" s="132"/>
      <c r="D25" s="132"/>
      <c r="E25" s="132"/>
      <c r="F25" s="132"/>
      <c r="G25" s="13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35">
      <c r="A26" s="132" t="s">
        <v>124</v>
      </c>
      <c r="B26" s="132"/>
      <c r="C26" s="195">
        <f>-C35</f>
        <v>-750000</v>
      </c>
      <c r="D26" s="195">
        <f>-D35</f>
        <v>-627151.88940394099</v>
      </c>
      <c r="E26" s="195">
        <f>-E35</f>
        <v>-492018.96774827596</v>
      </c>
      <c r="F26" s="195">
        <f>-F35</f>
        <v>-343372.75392704451</v>
      </c>
      <c r="G26" s="195">
        <f>-G35</f>
        <v>-179861.91872368989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35">
      <c r="A27" s="132" t="s">
        <v>125</v>
      </c>
      <c r="B27" s="132"/>
      <c r="C27" s="196">
        <f>-(C26*$B$7)</f>
        <v>255000.00000000003</v>
      </c>
      <c r="D27" s="196">
        <f>-(D26*$B$7)</f>
        <v>213231.64239733995</v>
      </c>
      <c r="E27" s="196">
        <f>-(E26*$B$7)</f>
        <v>167286.44903441385</v>
      </c>
      <c r="F27" s="196">
        <f>-(F26*$B$7)</f>
        <v>116746.73633519514</v>
      </c>
      <c r="G27" s="196">
        <f>-(G26*$B$7)</f>
        <v>61153.052366054566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35">
      <c r="A28" s="132" t="s">
        <v>126</v>
      </c>
      <c r="B28" s="132"/>
      <c r="C28" s="191">
        <f>SUM(C26:C27)</f>
        <v>-495000</v>
      </c>
      <c r="D28" s="191">
        <f>SUM(D26:D27)</f>
        <v>-413920.24700660107</v>
      </c>
      <c r="E28" s="191">
        <f>SUM(E26:E27)</f>
        <v>-324732.51871386211</v>
      </c>
      <c r="F28" s="191">
        <f>SUM(F26:F27)</f>
        <v>-226626.01759184938</v>
      </c>
      <c r="G28" s="191">
        <f>SUM(G26:G27)</f>
        <v>-118708.86635763533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35">
      <c r="A29" s="132" t="s">
        <v>127</v>
      </c>
      <c r="B29" s="181"/>
      <c r="C29" s="193">
        <f>-C37</f>
        <v>-1228481.1059605905</v>
      </c>
      <c r="D29" s="193">
        <f>-D37</f>
        <v>-1351329.2165566497</v>
      </c>
      <c r="E29" s="193">
        <f>-E37</f>
        <v>-1486462.1382123146</v>
      </c>
      <c r="F29" s="193">
        <f>-F37</f>
        <v>-1635108.352033546</v>
      </c>
      <c r="G29" s="193">
        <f>-G37</f>
        <v>-1798619.1872369007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35">
      <c r="A30" s="132" t="s">
        <v>128</v>
      </c>
      <c r="B30" s="191">
        <f t="shared" ref="B30:G30" si="1">B25+B28+B29</f>
        <v>7500000</v>
      </c>
      <c r="C30" s="191">
        <f t="shared" si="1"/>
        <v>-1723481.1059605905</v>
      </c>
      <c r="D30" s="191">
        <f t="shared" si="1"/>
        <v>-1765249.4635632508</v>
      </c>
      <c r="E30" s="191">
        <f t="shared" si="1"/>
        <v>-1811194.6569261767</v>
      </c>
      <c r="F30" s="191">
        <f t="shared" si="1"/>
        <v>-1861734.3696253954</v>
      </c>
      <c r="G30" s="191">
        <f t="shared" si="1"/>
        <v>-1917328.0535945359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35">
      <c r="A31" s="185" t="s">
        <v>129</v>
      </c>
      <c r="B31" s="190">
        <f>NPV($B$8,C30:G30)+B30</f>
        <v>651438.29078817926</v>
      </c>
      <c r="C31" s="132"/>
      <c r="D31" s="132"/>
      <c r="E31" s="132"/>
      <c r="F31" s="132"/>
      <c r="G31" s="13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15" thickBot="1" x14ac:dyDescent="0.4">
      <c r="A32" s="132" t="s">
        <v>104</v>
      </c>
      <c r="B32" s="197">
        <f>B23+B31</f>
        <v>1679.6434044539928</v>
      </c>
      <c r="C32" s="132"/>
      <c r="D32" s="132"/>
      <c r="E32" s="132"/>
      <c r="F32" s="132"/>
      <c r="G32" s="13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15" thickTop="1" x14ac:dyDescent="0.35">
      <c r="A33" s="132"/>
      <c r="B33" s="132"/>
      <c r="C33" s="132"/>
      <c r="D33" s="132"/>
      <c r="E33" s="132"/>
      <c r="F33" s="132"/>
      <c r="G33" s="13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35">
      <c r="A34" s="132" t="s">
        <v>130</v>
      </c>
      <c r="B34" s="132"/>
      <c r="C34" s="191">
        <f>B25</f>
        <v>7500000</v>
      </c>
      <c r="D34" s="191">
        <f>C38</f>
        <v>6271518.8940394092</v>
      </c>
      <c r="E34" s="191">
        <f>D38</f>
        <v>4920189.6774827596</v>
      </c>
      <c r="F34" s="191">
        <f>E38</f>
        <v>3433727.5392704448</v>
      </c>
      <c r="G34" s="191">
        <f>F38</f>
        <v>1798619.1872368988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35">
      <c r="A35" s="132" t="s">
        <v>131</v>
      </c>
      <c r="B35" s="132"/>
      <c r="C35" s="191">
        <f>C34*$B$8</f>
        <v>750000</v>
      </c>
      <c r="D35" s="191">
        <f>D34*$B$8</f>
        <v>627151.88940394099</v>
      </c>
      <c r="E35" s="191">
        <f>E34*$B$8</f>
        <v>492018.96774827596</v>
      </c>
      <c r="F35" s="191">
        <f>F34*$B$8</f>
        <v>343372.75392704451</v>
      </c>
      <c r="G35" s="191">
        <f>G34*$B$8</f>
        <v>179861.91872368989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35">
      <c r="A36" s="132" t="s">
        <v>132</v>
      </c>
      <c r="B36" s="132"/>
      <c r="C36" s="198">
        <f>PMT($B$8,5,-$C$34)</f>
        <v>1978481.1059605905</v>
      </c>
      <c r="D36" s="198">
        <f>PMT($B$8,5,-$C$34)</f>
        <v>1978481.1059605905</v>
      </c>
      <c r="E36" s="198">
        <f>PMT($B$8,5,-$C$34)</f>
        <v>1978481.1059605905</v>
      </c>
      <c r="F36" s="198">
        <f>PMT($B$8,5,-$C$34)</f>
        <v>1978481.1059605905</v>
      </c>
      <c r="G36" s="198">
        <f>PMT($B$8,5,-$C$34)</f>
        <v>1978481.1059605905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35">
      <c r="A37" s="132" t="s">
        <v>133</v>
      </c>
      <c r="B37" s="132"/>
      <c r="C37" s="198">
        <f>C36-C35</f>
        <v>1228481.1059605905</v>
      </c>
      <c r="D37" s="198">
        <f>D36-D35</f>
        <v>1351329.2165566497</v>
      </c>
      <c r="E37" s="198">
        <f>E36-E35</f>
        <v>1486462.1382123146</v>
      </c>
      <c r="F37" s="198">
        <f>F36-F35</f>
        <v>1635108.352033546</v>
      </c>
      <c r="G37" s="198">
        <f>G36-G35</f>
        <v>1798619.1872369007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35">
      <c r="A38" s="132" t="s">
        <v>134</v>
      </c>
      <c r="B38" s="132"/>
      <c r="C38" s="191">
        <f>C34-C37</f>
        <v>6271518.8940394092</v>
      </c>
      <c r="D38" s="191">
        <f>D34-D37</f>
        <v>4920189.6774827596</v>
      </c>
      <c r="E38" s="191">
        <f>E34-E37</f>
        <v>3433727.5392704448</v>
      </c>
      <c r="F38" s="191">
        <f>F34-F37</f>
        <v>1798619.1872368988</v>
      </c>
      <c r="G38" s="191">
        <f>G34-G37</f>
        <v>-1.862645149230957E-9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 spans="1:35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 spans="1:35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 spans="1:35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 spans="1:35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 spans="1:35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 spans="1:35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 spans="1:35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 spans="1:35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 spans="1:35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 spans="1:35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 spans="1:35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 spans="1:35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 spans="1:35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 spans="1:35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 spans="1:35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 spans="1:35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 spans="1:35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 spans="1:35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 spans="1:35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 spans="1:35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 spans="1:35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 spans="1:35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 spans="1:35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 spans="1:35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 spans="1:35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 spans="1:35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 spans="1:35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 spans="1:35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 spans="1:35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 spans="1:35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 spans="1:35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 spans="1:35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 spans="1:35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 spans="1:35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 spans="1:35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 spans="1:35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 spans="1:35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 spans="1:35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 spans="1:35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 spans="1:35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 spans="1:35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 spans="1:35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 spans="1:35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 spans="1:35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 spans="1:35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 spans="1:35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</sheetData>
  <sheetProtection algorithmName="SHA-512" hashValue="2Yq+RFEJR6oNZT3mK/5whToxJj8nTuuxffGx7I22xwFqdjZBbVHJk+J26QKMfJJXgWfnO68WQK3+OQG4LfBjJw==" saltValue="bx3zSeUqaCnmihBa8am14w==" spinCount="100000" sheet="1" objects="1" scenarios="1"/>
  <mergeCells count="2">
    <mergeCell ref="A3:G3"/>
    <mergeCell ref="A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2"/>
  <sheetViews>
    <sheetView workbookViewId="0">
      <selection activeCell="A2" sqref="A2"/>
    </sheetView>
  </sheetViews>
  <sheetFormatPr defaultRowHeight="14.5" x14ac:dyDescent="0.35"/>
  <cols>
    <col min="1" max="9" width="8.7265625" style="21"/>
  </cols>
  <sheetData>
    <row r="1" spans="1:43" ht="25" x14ac:dyDescent="0.5">
      <c r="A1" s="20" t="s">
        <v>84</v>
      </c>
      <c r="B1" s="22"/>
      <c r="C1" s="22"/>
      <c r="D1" s="22"/>
      <c r="E1" s="22"/>
      <c r="F1" s="22"/>
      <c r="G1" s="22"/>
      <c r="H1" s="22"/>
      <c r="I1" s="2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s="2" customForma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43" ht="18" x14ac:dyDescent="0.4">
      <c r="A3" s="24" t="s">
        <v>215</v>
      </c>
      <c r="B3" s="22"/>
      <c r="C3" s="22"/>
      <c r="D3" s="22"/>
      <c r="E3" s="22"/>
      <c r="F3" s="22"/>
      <c r="G3" s="22"/>
      <c r="H3" s="22"/>
      <c r="I3" s="22"/>
      <c r="J3" s="8"/>
      <c r="K3" s="8"/>
      <c r="L3" s="8"/>
      <c r="M3" s="5"/>
      <c r="N3" s="5"/>
      <c r="O3" s="5"/>
      <c r="P3" s="5"/>
      <c r="Q3" s="5"/>
      <c r="R3" s="5"/>
      <c r="S3" s="5"/>
    </row>
    <row r="4" spans="1:43" ht="18" x14ac:dyDescent="0.4">
      <c r="A4" s="24"/>
      <c r="B4" s="22"/>
      <c r="C4" s="22"/>
      <c r="D4" s="22"/>
      <c r="E4" s="22"/>
      <c r="F4" s="22"/>
      <c r="G4" s="22"/>
      <c r="H4" s="22"/>
      <c r="I4" s="22"/>
      <c r="J4" s="8"/>
      <c r="K4" s="8"/>
      <c r="L4" s="8"/>
      <c r="M4" s="5"/>
      <c r="N4" s="5"/>
      <c r="O4" s="5"/>
      <c r="P4" s="5"/>
      <c r="Q4" s="5"/>
      <c r="R4" s="5"/>
      <c r="S4" s="5"/>
    </row>
    <row r="5" spans="1:43" x14ac:dyDescent="0.35">
      <c r="A5" s="40" t="s">
        <v>153</v>
      </c>
      <c r="B5" s="26"/>
      <c r="C5" s="26"/>
      <c r="D5" s="26"/>
      <c r="E5" s="41">
        <v>2003</v>
      </c>
      <c r="F5" s="42">
        <f>E5+1</f>
        <v>2004</v>
      </c>
      <c r="G5" s="42">
        <f>F5+1</f>
        <v>2005</v>
      </c>
      <c r="H5" s="42">
        <f>G5+1</f>
        <v>2006</v>
      </c>
      <c r="I5" s="43">
        <f>H5+1</f>
        <v>2007</v>
      </c>
      <c r="J5" s="9"/>
      <c r="K5" s="8"/>
      <c r="L5" s="8"/>
      <c r="M5" s="5"/>
      <c r="N5" s="5"/>
      <c r="O5" s="5"/>
      <c r="P5" s="5"/>
      <c r="Q5" s="5"/>
      <c r="R5" s="5"/>
      <c r="S5" s="5"/>
    </row>
    <row r="6" spans="1:43" x14ac:dyDescent="0.35">
      <c r="A6" s="26" t="s">
        <v>154</v>
      </c>
      <c r="B6" s="26"/>
      <c r="C6" s="26"/>
      <c r="D6" s="26"/>
      <c r="E6" s="47">
        <v>4.3</v>
      </c>
      <c r="F6" s="47">
        <v>5.0999999999999996</v>
      </c>
      <c r="G6" s="47">
        <v>4.8</v>
      </c>
      <c r="H6" s="47">
        <v>7.8</v>
      </c>
      <c r="I6" s="47">
        <v>5</v>
      </c>
      <c r="J6" s="9"/>
      <c r="K6" s="8"/>
      <c r="L6" s="8"/>
      <c r="M6" s="5"/>
      <c r="N6" s="5"/>
      <c r="O6" s="5"/>
      <c r="P6" s="5"/>
      <c r="Q6" s="5"/>
      <c r="R6" s="5"/>
      <c r="S6" s="5"/>
    </row>
    <row r="7" spans="1:43" x14ac:dyDescent="0.35">
      <c r="A7" s="26" t="s">
        <v>155</v>
      </c>
      <c r="B7" s="26"/>
      <c r="C7" s="26"/>
      <c r="D7" s="26"/>
      <c r="E7" s="45">
        <v>62.1</v>
      </c>
      <c r="F7" s="45">
        <v>70.099999999999994</v>
      </c>
      <c r="G7" s="45">
        <v>78.8</v>
      </c>
      <c r="H7" s="45">
        <v>87.1</v>
      </c>
      <c r="I7" s="45">
        <v>93.3</v>
      </c>
      <c r="J7" s="9"/>
      <c r="K7" s="8"/>
      <c r="L7" s="8"/>
      <c r="M7" s="5"/>
      <c r="N7" s="5"/>
      <c r="O7" s="5"/>
      <c r="P7" s="5"/>
      <c r="Q7" s="5"/>
      <c r="R7" s="5"/>
      <c r="S7" s="5"/>
    </row>
    <row r="8" spans="1:43" x14ac:dyDescent="0.35">
      <c r="A8" s="26" t="s">
        <v>156</v>
      </c>
      <c r="B8" s="26"/>
      <c r="C8" s="26"/>
      <c r="D8" s="26"/>
      <c r="E8" s="46">
        <v>57.7</v>
      </c>
      <c r="F8" s="46">
        <v>58</v>
      </c>
      <c r="G8" s="46">
        <v>61.2</v>
      </c>
      <c r="H8" s="46">
        <v>61.9</v>
      </c>
      <c r="I8" s="46">
        <v>67.3</v>
      </c>
      <c r="J8" s="9"/>
      <c r="K8" s="8"/>
      <c r="L8" s="8"/>
      <c r="M8" s="5"/>
      <c r="N8" s="5"/>
      <c r="O8" s="5"/>
      <c r="P8" s="5"/>
      <c r="Q8" s="5"/>
      <c r="R8" s="5"/>
      <c r="S8" s="5"/>
    </row>
    <row r="9" spans="1:43" x14ac:dyDescent="0.35">
      <c r="A9" s="25" t="s">
        <v>157</v>
      </c>
      <c r="B9" s="25"/>
      <c r="C9" s="25"/>
      <c r="D9" s="25"/>
      <c r="E9" s="48">
        <f>SUM(E6:E8)</f>
        <v>124.10000000000001</v>
      </c>
      <c r="F9" s="48">
        <f>SUM(F6:F8)</f>
        <v>133.19999999999999</v>
      </c>
      <c r="G9" s="48">
        <f>SUM(G6:G8)</f>
        <v>144.80000000000001</v>
      </c>
      <c r="H9" s="48">
        <f>SUM(H6:H8)</f>
        <v>156.79999999999998</v>
      </c>
      <c r="I9" s="48">
        <f>SUM(I6:I8)</f>
        <v>165.6</v>
      </c>
      <c r="J9" s="10"/>
      <c r="K9" s="8"/>
      <c r="L9" s="8"/>
      <c r="M9" s="5"/>
      <c r="N9" s="5"/>
      <c r="O9" s="5"/>
      <c r="P9" s="5"/>
      <c r="Q9" s="5"/>
      <c r="R9" s="5"/>
      <c r="S9" s="5"/>
    </row>
    <row r="10" spans="1:43" x14ac:dyDescent="0.35">
      <c r="A10" s="26"/>
      <c r="B10" s="26"/>
      <c r="C10" s="26"/>
      <c r="D10" s="26"/>
      <c r="E10" s="45"/>
      <c r="F10" s="45"/>
      <c r="G10" s="45"/>
      <c r="H10" s="45"/>
      <c r="I10" s="45"/>
      <c r="J10" s="9"/>
      <c r="K10" s="8"/>
      <c r="L10" s="8"/>
      <c r="M10" s="5"/>
      <c r="N10" s="5"/>
      <c r="O10" s="5"/>
      <c r="P10" s="5"/>
      <c r="Q10" s="5"/>
      <c r="R10" s="5"/>
      <c r="S10" s="5"/>
    </row>
    <row r="11" spans="1:43" x14ac:dyDescent="0.35">
      <c r="A11" s="26" t="s">
        <v>158</v>
      </c>
      <c r="B11" s="26"/>
      <c r="C11" s="26"/>
      <c r="D11" s="26"/>
      <c r="E11" s="45">
        <v>201.4</v>
      </c>
      <c r="F11" s="45">
        <v>202.9</v>
      </c>
      <c r="G11" s="45">
        <v>203.1</v>
      </c>
      <c r="H11" s="45">
        <v>202.3</v>
      </c>
      <c r="I11" s="45">
        <v>204.4</v>
      </c>
      <c r="J11" s="9"/>
      <c r="K11" s="8"/>
      <c r="L11" s="8"/>
      <c r="M11" s="5"/>
      <c r="N11" s="5"/>
      <c r="O11" s="5"/>
      <c r="P11" s="5"/>
      <c r="Q11" s="5"/>
      <c r="R11" s="5"/>
      <c r="S11" s="5"/>
    </row>
    <row r="12" spans="1:43" x14ac:dyDescent="0.35">
      <c r="A12" s="26" t="s">
        <v>159</v>
      </c>
      <c r="B12" s="26"/>
      <c r="C12" s="26"/>
      <c r="D12" s="26"/>
      <c r="E12" s="46">
        <v>12.3</v>
      </c>
      <c r="F12" s="46">
        <v>12.1</v>
      </c>
      <c r="G12" s="46">
        <v>11.8</v>
      </c>
      <c r="H12" s="46">
        <v>12.5</v>
      </c>
      <c r="I12" s="46">
        <v>10.8</v>
      </c>
      <c r="J12" s="9"/>
      <c r="K12" s="8"/>
      <c r="L12" s="8"/>
      <c r="M12" s="5"/>
      <c r="N12" s="5"/>
      <c r="O12" s="5"/>
      <c r="P12" s="5"/>
      <c r="Q12" s="5"/>
      <c r="R12" s="5"/>
      <c r="S12" s="5"/>
    </row>
    <row r="13" spans="1:43" x14ac:dyDescent="0.35">
      <c r="A13" s="25" t="s">
        <v>160</v>
      </c>
      <c r="B13" s="25"/>
      <c r="C13" s="25"/>
      <c r="D13" s="25"/>
      <c r="E13" s="44">
        <f>SUM(E11:E12)+E9</f>
        <v>337.8</v>
      </c>
      <c r="F13" s="44">
        <f>SUM(F11:F12)+F9</f>
        <v>348.2</v>
      </c>
      <c r="G13" s="44">
        <f>SUM(G11:G12)+G9</f>
        <v>359.70000000000005</v>
      </c>
      <c r="H13" s="44">
        <f>SUM(H11:H12)+H9</f>
        <v>371.6</v>
      </c>
      <c r="I13" s="44">
        <f>SUM(I11:I12)+I9</f>
        <v>380.8</v>
      </c>
      <c r="J13" s="10"/>
      <c r="K13" s="8"/>
      <c r="L13" s="8"/>
      <c r="M13" s="5"/>
      <c r="N13" s="5"/>
      <c r="O13" s="5"/>
      <c r="P13" s="5"/>
      <c r="Q13" s="5"/>
      <c r="R13" s="5"/>
      <c r="S13" s="5"/>
    </row>
    <row r="14" spans="1:43" x14ac:dyDescent="0.35">
      <c r="A14" s="26"/>
      <c r="B14" s="26"/>
      <c r="C14" s="26"/>
      <c r="D14" s="26"/>
      <c r="E14" s="45"/>
      <c r="F14" s="45"/>
      <c r="G14" s="45"/>
      <c r="H14" s="45"/>
      <c r="I14" s="45"/>
      <c r="J14" s="9"/>
      <c r="K14" s="8"/>
      <c r="L14" s="8"/>
      <c r="M14" s="5"/>
      <c r="N14" s="5"/>
      <c r="O14" s="5"/>
      <c r="P14" s="5"/>
      <c r="Q14" s="5"/>
      <c r="R14" s="5"/>
      <c r="S14" s="5"/>
    </row>
    <row r="15" spans="1:43" x14ac:dyDescent="0.35">
      <c r="A15" s="40" t="s">
        <v>161</v>
      </c>
      <c r="B15" s="26"/>
      <c r="C15" s="26"/>
      <c r="D15" s="26"/>
      <c r="E15" s="45"/>
      <c r="F15" s="45"/>
      <c r="G15" s="45"/>
      <c r="H15" s="45"/>
      <c r="I15" s="45"/>
      <c r="J15" s="9"/>
      <c r="K15" s="8"/>
      <c r="L15" s="8"/>
      <c r="M15" s="5"/>
      <c r="N15" s="5"/>
      <c r="O15" s="5"/>
      <c r="P15" s="5"/>
      <c r="Q15" s="5"/>
      <c r="R15" s="5"/>
      <c r="S15" s="5"/>
    </row>
    <row r="16" spans="1:43" x14ac:dyDescent="0.35">
      <c r="A16" s="26" t="s">
        <v>162</v>
      </c>
      <c r="B16" s="26"/>
      <c r="C16" s="26"/>
      <c r="D16" s="26"/>
      <c r="E16" s="47">
        <v>42.2</v>
      </c>
      <c r="F16" s="47">
        <v>45</v>
      </c>
      <c r="G16" s="47">
        <v>51.6</v>
      </c>
      <c r="H16" s="47">
        <v>53.4</v>
      </c>
      <c r="I16" s="47">
        <v>58.1</v>
      </c>
      <c r="J16" s="9"/>
      <c r="K16" s="8"/>
      <c r="L16" s="8"/>
      <c r="M16" s="5"/>
      <c r="N16" s="5"/>
      <c r="O16" s="5"/>
      <c r="P16" s="5"/>
      <c r="Q16" s="5"/>
      <c r="R16" s="5"/>
      <c r="S16" s="5"/>
    </row>
    <row r="17" spans="1:19" x14ac:dyDescent="0.35">
      <c r="A17" s="26"/>
      <c r="B17" s="26"/>
      <c r="C17" s="26"/>
      <c r="D17" s="26"/>
      <c r="E17" s="45"/>
      <c r="F17" s="45"/>
      <c r="G17" s="45"/>
      <c r="H17" s="45"/>
      <c r="I17" s="45"/>
      <c r="J17" s="9"/>
      <c r="K17" s="8"/>
      <c r="L17" s="8"/>
      <c r="M17" s="5"/>
      <c r="N17" s="5"/>
      <c r="O17" s="5"/>
      <c r="P17" s="5"/>
      <c r="Q17" s="5"/>
      <c r="R17" s="5"/>
      <c r="S17" s="5"/>
    </row>
    <row r="18" spans="1:19" x14ac:dyDescent="0.35">
      <c r="A18" s="26" t="s">
        <v>163</v>
      </c>
      <c r="B18" s="26"/>
      <c r="C18" s="26"/>
      <c r="D18" s="26"/>
      <c r="E18" s="45">
        <v>91.6</v>
      </c>
      <c r="F18" s="45">
        <v>82.8</v>
      </c>
      <c r="G18" s="45">
        <v>73.8</v>
      </c>
      <c r="H18" s="45">
        <v>65.8</v>
      </c>
      <c r="I18" s="45">
        <v>54.8</v>
      </c>
      <c r="J18" s="9"/>
      <c r="K18" s="8"/>
      <c r="L18" s="8"/>
      <c r="M18" s="5"/>
      <c r="N18" s="5"/>
      <c r="O18" s="5"/>
      <c r="P18" s="5"/>
      <c r="Q18" s="5"/>
      <c r="R18" s="5"/>
      <c r="S18" s="5"/>
    </row>
    <row r="19" spans="1:19" x14ac:dyDescent="0.35">
      <c r="A19" s="26"/>
      <c r="B19" s="26"/>
      <c r="C19" s="26"/>
      <c r="D19" s="26"/>
      <c r="E19" s="45"/>
      <c r="F19" s="45"/>
      <c r="G19" s="45"/>
      <c r="H19" s="45"/>
      <c r="I19" s="45"/>
      <c r="J19" s="9"/>
      <c r="K19" s="8"/>
      <c r="L19" s="8"/>
      <c r="M19" s="5"/>
      <c r="N19" s="5"/>
      <c r="O19" s="5"/>
      <c r="P19" s="5"/>
      <c r="Q19" s="5"/>
      <c r="R19" s="5"/>
      <c r="S19" s="5"/>
    </row>
    <row r="20" spans="1:19" x14ac:dyDescent="0.35">
      <c r="A20" s="26" t="s">
        <v>164</v>
      </c>
      <c r="B20" s="26"/>
      <c r="C20" s="26"/>
      <c r="D20" s="26"/>
      <c r="E20" s="46">
        <v>204</v>
      </c>
      <c r="F20" s="46">
        <v>220.4</v>
      </c>
      <c r="G20" s="46">
        <v>234.3</v>
      </c>
      <c r="H20" s="46">
        <v>252.4</v>
      </c>
      <c r="I20" s="46">
        <v>267.89999999999998</v>
      </c>
      <c r="J20" s="9"/>
      <c r="K20" s="8"/>
      <c r="L20" s="8"/>
      <c r="M20" s="5"/>
      <c r="N20" s="5"/>
      <c r="O20" s="5"/>
      <c r="P20" s="5"/>
      <c r="Q20" s="5"/>
      <c r="R20" s="5"/>
      <c r="S20" s="5"/>
    </row>
    <row r="21" spans="1:19" x14ac:dyDescent="0.35">
      <c r="A21" s="25" t="s">
        <v>165</v>
      </c>
      <c r="B21" s="25"/>
      <c r="C21" s="25"/>
      <c r="D21" s="25"/>
      <c r="E21" s="44">
        <f>E20+E18+E16</f>
        <v>337.8</v>
      </c>
      <c r="F21" s="44">
        <f>F20+F18+F16</f>
        <v>348.2</v>
      </c>
      <c r="G21" s="44">
        <f>G20+G18+G16</f>
        <v>359.70000000000005</v>
      </c>
      <c r="H21" s="44">
        <f>H20+H18+H16</f>
        <v>371.59999999999997</v>
      </c>
      <c r="I21" s="44">
        <f>I20+I18+I16</f>
        <v>380.8</v>
      </c>
      <c r="J21" s="10"/>
      <c r="K21" s="8"/>
      <c r="L21" s="8"/>
      <c r="M21" s="5"/>
      <c r="N21" s="5"/>
      <c r="O21" s="5"/>
      <c r="P21" s="5"/>
      <c r="Q21" s="5"/>
      <c r="R21" s="5"/>
      <c r="S21" s="5"/>
    </row>
    <row r="22" spans="1:19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9"/>
      <c r="K22" s="8"/>
      <c r="L22" s="8"/>
      <c r="M22" s="5"/>
      <c r="N22" s="5"/>
      <c r="O22" s="5"/>
      <c r="P22" s="5"/>
      <c r="Q22" s="5"/>
      <c r="R22" s="5"/>
      <c r="S22" s="5"/>
    </row>
    <row r="23" spans="1:19" x14ac:dyDescent="0.35">
      <c r="A23" s="26"/>
      <c r="B23" s="26"/>
      <c r="C23" s="26"/>
      <c r="D23" s="26"/>
      <c r="E23" s="26"/>
      <c r="F23" s="26"/>
      <c r="G23" s="26"/>
      <c r="H23" s="26"/>
      <c r="I23" s="26"/>
      <c r="J23" s="9"/>
      <c r="K23" s="8"/>
      <c r="L23" s="8"/>
      <c r="M23" s="5"/>
      <c r="N23" s="5"/>
      <c r="O23" s="5"/>
      <c r="P23" s="5"/>
      <c r="Q23" s="5"/>
      <c r="R23" s="5"/>
      <c r="S23" s="5"/>
    </row>
    <row r="24" spans="1:19" x14ac:dyDescent="0.35">
      <c r="A24" s="40" t="s">
        <v>166</v>
      </c>
      <c r="B24" s="26"/>
      <c r="C24" s="26"/>
      <c r="D24" s="26"/>
      <c r="E24" s="26"/>
      <c r="F24" s="26"/>
      <c r="G24" s="26"/>
      <c r="H24" s="26"/>
      <c r="I24" s="26"/>
      <c r="J24" s="9"/>
      <c r="K24" s="8"/>
      <c r="L24" s="8"/>
      <c r="M24" s="5"/>
      <c r="N24" s="5"/>
      <c r="O24" s="5"/>
      <c r="P24" s="5"/>
      <c r="Q24" s="5"/>
      <c r="R24" s="5"/>
      <c r="S24" s="5"/>
    </row>
    <row r="25" spans="1:19" x14ac:dyDescent="0.35">
      <c r="A25" s="26" t="s">
        <v>155</v>
      </c>
      <c r="B25" s="26"/>
      <c r="C25" s="26"/>
      <c r="D25" s="26"/>
      <c r="E25" s="45">
        <f t="shared" ref="E25:I26" si="0">E7</f>
        <v>62.1</v>
      </c>
      <c r="F25" s="45">
        <f t="shared" si="0"/>
        <v>70.099999999999994</v>
      </c>
      <c r="G25" s="45">
        <f t="shared" si="0"/>
        <v>78.8</v>
      </c>
      <c r="H25" s="45">
        <f t="shared" si="0"/>
        <v>87.1</v>
      </c>
      <c r="I25" s="45">
        <f t="shared" si="0"/>
        <v>93.3</v>
      </c>
      <c r="J25" s="9"/>
      <c r="K25" s="8"/>
      <c r="L25" s="8"/>
      <c r="M25" s="5"/>
      <c r="N25" s="5"/>
      <c r="O25" s="5"/>
      <c r="P25" s="5"/>
      <c r="Q25" s="5"/>
      <c r="R25" s="5"/>
      <c r="S25" s="5"/>
    </row>
    <row r="26" spans="1:19" x14ac:dyDescent="0.35">
      <c r="A26" s="26" t="s">
        <v>167</v>
      </c>
      <c r="B26" s="26"/>
      <c r="C26" s="26"/>
      <c r="D26" s="26"/>
      <c r="E26" s="45">
        <f t="shared" si="0"/>
        <v>57.7</v>
      </c>
      <c r="F26" s="45">
        <f t="shared" si="0"/>
        <v>58</v>
      </c>
      <c r="G26" s="45">
        <f t="shared" si="0"/>
        <v>61.2</v>
      </c>
      <c r="H26" s="45">
        <f t="shared" si="0"/>
        <v>61.9</v>
      </c>
      <c r="I26" s="45">
        <f t="shared" si="0"/>
        <v>67.3</v>
      </c>
      <c r="J26" s="9"/>
      <c r="K26" s="8"/>
      <c r="L26" s="8"/>
      <c r="M26" s="5"/>
      <c r="N26" s="5"/>
      <c r="O26" s="5"/>
      <c r="P26" s="5"/>
      <c r="Q26" s="5"/>
      <c r="R26" s="5"/>
      <c r="S26" s="5"/>
    </row>
    <row r="27" spans="1:19" x14ac:dyDescent="0.35">
      <c r="A27" s="26" t="s">
        <v>168</v>
      </c>
      <c r="B27" s="26"/>
      <c r="C27" s="26"/>
      <c r="D27" s="26"/>
      <c r="E27" s="46">
        <f>E16</f>
        <v>42.2</v>
      </c>
      <c r="F27" s="46">
        <f>F16</f>
        <v>45</v>
      </c>
      <c r="G27" s="46">
        <f>G16</f>
        <v>51.6</v>
      </c>
      <c r="H27" s="46">
        <f>H16</f>
        <v>53.4</v>
      </c>
      <c r="I27" s="46">
        <f>I16</f>
        <v>58.1</v>
      </c>
      <c r="J27" s="9"/>
      <c r="K27" s="8"/>
      <c r="L27" s="8"/>
      <c r="M27" s="5"/>
      <c r="N27" s="5"/>
      <c r="O27" s="5"/>
      <c r="P27" s="5"/>
      <c r="Q27" s="5"/>
      <c r="R27" s="5"/>
      <c r="S27" s="5"/>
    </row>
    <row r="28" spans="1:19" x14ac:dyDescent="0.35">
      <c r="A28" s="25" t="s">
        <v>169</v>
      </c>
      <c r="B28" s="25"/>
      <c r="C28" s="25"/>
      <c r="D28" s="25"/>
      <c r="E28" s="48">
        <f>E25+E26-E27</f>
        <v>77.600000000000009</v>
      </c>
      <c r="F28" s="48">
        <f>F25+F26-F27</f>
        <v>83.1</v>
      </c>
      <c r="G28" s="48">
        <f>G25+G26-G27</f>
        <v>88.4</v>
      </c>
      <c r="H28" s="48">
        <f>H25+H26-H27</f>
        <v>95.6</v>
      </c>
      <c r="I28" s="48">
        <f>I25+I26-I27</f>
        <v>102.5</v>
      </c>
      <c r="J28" s="10"/>
      <c r="K28" s="8"/>
      <c r="L28" s="8"/>
      <c r="M28" s="5"/>
      <c r="N28" s="5"/>
      <c r="O28" s="5"/>
      <c r="P28" s="5"/>
      <c r="Q28" s="5"/>
      <c r="R28" s="5"/>
      <c r="S28" s="5"/>
    </row>
    <row r="29" spans="1:19" x14ac:dyDescent="0.35">
      <c r="A29" s="26"/>
      <c r="B29" s="26"/>
      <c r="C29" s="26"/>
      <c r="D29" s="26"/>
      <c r="E29" s="26"/>
      <c r="F29" s="26"/>
      <c r="G29" s="26"/>
      <c r="H29" s="26"/>
      <c r="I29" s="26"/>
      <c r="J29" s="9"/>
      <c r="K29" s="8"/>
      <c r="L29" s="8"/>
      <c r="M29" s="5"/>
      <c r="N29" s="5"/>
      <c r="O29" s="5"/>
      <c r="P29" s="5"/>
      <c r="Q29" s="5"/>
      <c r="R29" s="5"/>
      <c r="S29" s="5"/>
    </row>
    <row r="30" spans="1:19" x14ac:dyDescent="0.35">
      <c r="A30" s="26" t="s">
        <v>170</v>
      </c>
      <c r="B30" s="26"/>
      <c r="C30" s="26"/>
      <c r="D30" s="26"/>
      <c r="E30" s="49">
        <f>E28/IS!E6</f>
        <v>0.15415176797775132</v>
      </c>
      <c r="F30" s="49">
        <f>F28/IS!F6</f>
        <v>0.15284164061063085</v>
      </c>
      <c r="G30" s="49">
        <f>G28/IS!G6</f>
        <v>0.1505449591280654</v>
      </c>
      <c r="H30" s="49">
        <f>H28/IS!H6</f>
        <v>0.15029083477440652</v>
      </c>
      <c r="I30" s="49">
        <f>I28/IS!I6</f>
        <v>0.15058028500073453</v>
      </c>
      <c r="J30" s="9"/>
      <c r="K30" s="8"/>
      <c r="L30" s="8"/>
      <c r="M30" s="5"/>
      <c r="N30" s="5"/>
      <c r="O30" s="5"/>
      <c r="P30" s="5"/>
      <c r="Q30" s="5"/>
      <c r="R30" s="5"/>
      <c r="S30" s="5"/>
    </row>
    <row r="31" spans="1:19" x14ac:dyDescent="0.35">
      <c r="A31" s="26"/>
      <c r="B31" s="26"/>
      <c r="C31" s="26"/>
      <c r="D31" s="26"/>
      <c r="E31" s="26"/>
      <c r="F31" s="26"/>
      <c r="G31" s="26"/>
      <c r="H31" s="26"/>
      <c r="I31" s="26"/>
      <c r="J31" s="9"/>
      <c r="K31" s="8"/>
      <c r="L31" s="8"/>
      <c r="M31" s="5"/>
      <c r="N31" s="5"/>
      <c r="O31" s="5"/>
      <c r="P31" s="5"/>
      <c r="Q31" s="5"/>
      <c r="R31" s="5"/>
      <c r="S31" s="5"/>
    </row>
    <row r="32" spans="1:19" x14ac:dyDescent="0.35">
      <c r="A32" s="26" t="s">
        <v>75</v>
      </c>
      <c r="B32" s="26"/>
      <c r="C32" s="26"/>
      <c r="D32" s="26"/>
      <c r="E32" s="50">
        <f>E25/(IS!E6/360)</f>
        <v>44.410011918951135</v>
      </c>
      <c r="F32" s="50">
        <f>F25/(IS!F6/360)</f>
        <v>46.415302556556917</v>
      </c>
      <c r="G32" s="50">
        <f>G25/(IS!G6/360)</f>
        <v>48.310626702997268</v>
      </c>
      <c r="H32" s="50">
        <f>H25/(IS!H6/360)</f>
        <v>49.294136142116017</v>
      </c>
      <c r="I32" s="50">
        <f>I25/(IS!I6/360)</f>
        <v>49.343323049801675</v>
      </c>
      <c r="J32" s="9"/>
      <c r="K32" s="8"/>
      <c r="L32" s="8"/>
      <c r="M32" s="5"/>
      <c r="N32" s="5"/>
      <c r="O32" s="5"/>
      <c r="P32" s="5"/>
      <c r="Q32" s="5"/>
      <c r="R32" s="5"/>
      <c r="S32" s="5"/>
    </row>
    <row r="33" spans="1:19" x14ac:dyDescent="0.35">
      <c r="A33" s="26" t="s">
        <v>76</v>
      </c>
      <c r="B33" s="26"/>
      <c r="C33" s="26"/>
      <c r="D33" s="26"/>
      <c r="E33" s="50">
        <f>E26/(IS!E6/360)</f>
        <v>41.263408820023841</v>
      </c>
      <c r="F33" s="50">
        <f>F26/(IS!F6/360)</f>
        <v>38.403531359205445</v>
      </c>
      <c r="G33" s="50">
        <f>G26/(IS!G6/360)</f>
        <v>37.520435967302454</v>
      </c>
      <c r="H33" s="50">
        <f>H26/(IS!H6/360)</f>
        <v>35.03222763716397</v>
      </c>
      <c r="I33" s="50">
        <f>I26/(IS!I6/360)</f>
        <v>35.592772146319966</v>
      </c>
      <c r="J33" s="9"/>
      <c r="K33" s="8"/>
      <c r="L33" s="8"/>
      <c r="M33" s="5"/>
      <c r="N33" s="5"/>
      <c r="O33" s="5"/>
      <c r="P33" s="5"/>
      <c r="Q33" s="5"/>
      <c r="R33" s="5"/>
      <c r="S33" s="5"/>
    </row>
    <row r="34" spans="1:19" x14ac:dyDescent="0.35">
      <c r="A34" s="26" t="s">
        <v>171</v>
      </c>
      <c r="B34" s="26"/>
      <c r="C34" s="26"/>
      <c r="D34" s="26"/>
      <c r="E34" s="50">
        <f>E27/((IS!E7+IS!E9)/360)</f>
        <v>34.293453724604966</v>
      </c>
      <c r="F34" s="50">
        <f>F27/((IS!F7+IS!F9)/360)</f>
        <v>33.969385615432998</v>
      </c>
      <c r="G34" s="50">
        <f>G27/((IS!G7+IS!G9)/360)</f>
        <v>34.273062730627309</v>
      </c>
      <c r="H34" s="50">
        <f>H27/((IS!H7+IS!H9)/360)</f>
        <v>34.030801911842808</v>
      </c>
      <c r="I34" s="50">
        <f>I27/((IS!I7+IS!I9)/360)</f>
        <v>34.446640316205531</v>
      </c>
      <c r="J34" s="9"/>
      <c r="K34" s="8"/>
      <c r="L34" s="8"/>
      <c r="M34" s="5"/>
      <c r="N34" s="5"/>
      <c r="O34" s="5"/>
      <c r="P34" s="5"/>
      <c r="Q34" s="5"/>
      <c r="R34" s="5"/>
      <c r="S34" s="5"/>
    </row>
    <row r="35" spans="1:19" x14ac:dyDescent="0.35">
      <c r="A35" s="26" t="s">
        <v>172</v>
      </c>
      <c r="B35" s="26"/>
      <c r="C35" s="26"/>
      <c r="D35" s="26"/>
      <c r="E35" s="50">
        <f>E32+E33-E34</f>
        <v>51.379967014370017</v>
      </c>
      <c r="F35" s="50">
        <f>F32+F33-F34</f>
        <v>50.849448300329357</v>
      </c>
      <c r="G35" s="50">
        <f>G32+G33-G34</f>
        <v>51.55799993967242</v>
      </c>
      <c r="H35" s="50">
        <f>H32+H33-H34</f>
        <v>50.295561867437179</v>
      </c>
      <c r="I35" s="50">
        <f>I32+I33-I34</f>
        <v>50.48945487991611</v>
      </c>
      <c r="J35" s="9"/>
      <c r="K35" s="8"/>
      <c r="L35" s="8"/>
      <c r="M35" s="5"/>
      <c r="N35" s="5"/>
      <c r="O35" s="5"/>
      <c r="P35" s="5"/>
      <c r="Q35" s="5"/>
      <c r="R35" s="5"/>
      <c r="S35" s="5"/>
    </row>
    <row r="36" spans="1:19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8"/>
      <c r="K36" s="8"/>
      <c r="L36" s="8"/>
      <c r="M36" s="5"/>
      <c r="N36" s="5"/>
      <c r="O36" s="5"/>
      <c r="P36" s="5"/>
      <c r="Q36" s="5"/>
      <c r="R36" s="5"/>
      <c r="S36" s="5"/>
    </row>
    <row r="37" spans="1:19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8"/>
      <c r="K37" s="8"/>
      <c r="L37" s="8"/>
      <c r="M37" s="5"/>
      <c r="N37" s="5"/>
      <c r="O37" s="5"/>
      <c r="P37" s="5"/>
      <c r="Q37" s="5"/>
      <c r="R37" s="5"/>
      <c r="S37" s="5"/>
    </row>
    <row r="38" spans="1:19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8"/>
      <c r="K38" s="8"/>
      <c r="L38" s="8"/>
      <c r="M38" s="5"/>
      <c r="N38" s="5"/>
      <c r="O38" s="5"/>
      <c r="P38" s="5"/>
      <c r="Q38" s="5"/>
      <c r="R38" s="5"/>
      <c r="S38" s="5"/>
    </row>
    <row r="39" spans="1:19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8"/>
      <c r="K39" s="8"/>
      <c r="L39" s="8"/>
      <c r="M39" s="5"/>
      <c r="N39" s="5"/>
      <c r="O39" s="5"/>
      <c r="P39" s="5"/>
      <c r="Q39" s="5"/>
      <c r="R39" s="5"/>
      <c r="S39" s="5"/>
    </row>
    <row r="40" spans="1:19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8"/>
      <c r="K40" s="8"/>
      <c r="L40" s="8"/>
      <c r="M40" s="5"/>
      <c r="N40" s="5"/>
      <c r="O40" s="5"/>
      <c r="P40" s="5"/>
      <c r="Q40" s="5"/>
      <c r="R40" s="5"/>
      <c r="S40" s="5"/>
    </row>
    <row r="41" spans="1:19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8"/>
      <c r="K41" s="8"/>
      <c r="L41" s="8"/>
      <c r="M41" s="5"/>
      <c r="N41" s="5"/>
      <c r="O41" s="5"/>
      <c r="P41" s="5"/>
      <c r="Q41" s="5"/>
      <c r="R41" s="5"/>
      <c r="S41" s="5"/>
    </row>
    <row r="42" spans="1:19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8"/>
      <c r="K42" s="8"/>
      <c r="L42" s="8"/>
      <c r="M42" s="5"/>
      <c r="N42" s="5"/>
      <c r="O42" s="5"/>
      <c r="P42" s="5"/>
      <c r="Q42" s="5"/>
      <c r="R42" s="5"/>
      <c r="S42" s="5"/>
    </row>
    <row r="43" spans="1:19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8"/>
      <c r="K43" s="8"/>
      <c r="L43" s="8"/>
      <c r="M43" s="5"/>
      <c r="N43" s="5"/>
      <c r="O43" s="5"/>
      <c r="P43" s="5"/>
      <c r="Q43" s="5"/>
      <c r="R43" s="5"/>
      <c r="S43" s="5"/>
    </row>
    <row r="44" spans="1:19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8"/>
      <c r="K44" s="8"/>
      <c r="L44" s="8"/>
      <c r="M44" s="5"/>
      <c r="N44" s="5"/>
      <c r="O44" s="5"/>
      <c r="P44" s="5"/>
      <c r="Q44" s="5"/>
      <c r="R44" s="5"/>
      <c r="S44" s="5"/>
    </row>
    <row r="45" spans="1:19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8"/>
      <c r="K45" s="8"/>
      <c r="L45" s="8"/>
      <c r="M45" s="5"/>
      <c r="N45" s="5"/>
      <c r="O45" s="5"/>
      <c r="P45" s="5"/>
      <c r="Q45" s="5"/>
      <c r="R45" s="5"/>
      <c r="S45" s="5"/>
    </row>
    <row r="46" spans="1:19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35">
      <c r="A47" s="22"/>
      <c r="B47" s="22"/>
      <c r="C47" s="22"/>
      <c r="D47" s="22"/>
      <c r="E47" s="22"/>
      <c r="F47" s="22"/>
      <c r="G47" s="22"/>
      <c r="H47" s="22"/>
      <c r="I47" s="22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35">
      <c r="A48" s="22"/>
      <c r="B48" s="22"/>
      <c r="C48" s="22"/>
      <c r="D48" s="22"/>
      <c r="E48" s="22"/>
      <c r="F48" s="22"/>
      <c r="G48" s="22"/>
      <c r="H48" s="22"/>
      <c r="I48" s="22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35">
      <c r="A49" s="22"/>
      <c r="B49" s="22"/>
      <c r="C49" s="22"/>
      <c r="D49" s="22"/>
      <c r="E49" s="22"/>
      <c r="F49" s="22"/>
      <c r="G49" s="22"/>
      <c r="H49" s="22"/>
      <c r="I49" s="22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35">
      <c r="A50" s="22"/>
      <c r="B50" s="22"/>
      <c r="C50" s="22"/>
      <c r="D50" s="22"/>
      <c r="E50" s="22"/>
      <c r="F50" s="22"/>
      <c r="G50" s="22"/>
      <c r="H50" s="22"/>
      <c r="I50" s="22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35">
      <c r="A51" s="22"/>
      <c r="B51" s="22"/>
      <c r="C51" s="22"/>
      <c r="D51" s="22"/>
      <c r="E51" s="22"/>
      <c r="F51" s="22"/>
      <c r="G51" s="22"/>
      <c r="H51" s="22"/>
      <c r="I51" s="22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35">
      <c r="A52" s="22"/>
      <c r="B52" s="22"/>
      <c r="C52" s="22"/>
      <c r="D52" s="22"/>
      <c r="E52" s="22"/>
      <c r="F52" s="22"/>
      <c r="G52" s="22"/>
      <c r="H52" s="22"/>
      <c r="I52" s="22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35">
      <c r="A53" s="22"/>
      <c r="B53" s="22"/>
      <c r="C53" s="22"/>
      <c r="D53" s="22"/>
      <c r="E53" s="22"/>
      <c r="F53" s="22"/>
      <c r="G53" s="22"/>
      <c r="H53" s="22"/>
      <c r="I53" s="22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35">
      <c r="A54" s="22"/>
      <c r="B54" s="22"/>
      <c r="C54" s="22"/>
      <c r="D54" s="22"/>
      <c r="E54" s="22"/>
      <c r="F54" s="22"/>
      <c r="G54" s="22"/>
      <c r="H54" s="22"/>
      <c r="I54" s="22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35">
      <c r="A55" s="22"/>
      <c r="B55" s="22"/>
      <c r="C55" s="22"/>
      <c r="D55" s="22"/>
      <c r="E55" s="22"/>
      <c r="F55" s="22"/>
      <c r="G55" s="22"/>
      <c r="H55" s="22"/>
      <c r="I55" s="22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35">
      <c r="A56" s="22"/>
      <c r="B56" s="22"/>
      <c r="C56" s="22"/>
      <c r="D56" s="22"/>
      <c r="E56" s="22"/>
      <c r="F56" s="22"/>
      <c r="G56" s="22"/>
      <c r="H56" s="22"/>
      <c r="I56" s="22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35">
      <c r="A57" s="22"/>
      <c r="B57" s="22"/>
      <c r="C57" s="22"/>
      <c r="D57" s="22"/>
      <c r="E57" s="22"/>
      <c r="F57" s="22"/>
      <c r="G57" s="22"/>
      <c r="H57" s="22"/>
      <c r="I57" s="22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x14ac:dyDescent="0.35">
      <c r="A58" s="22"/>
      <c r="B58" s="22"/>
      <c r="C58" s="22"/>
      <c r="D58" s="22"/>
      <c r="E58" s="22"/>
      <c r="F58" s="22"/>
      <c r="G58" s="22"/>
      <c r="H58" s="22"/>
      <c r="I58" s="22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x14ac:dyDescent="0.35">
      <c r="A59" s="22"/>
      <c r="B59" s="22"/>
      <c r="C59" s="22"/>
      <c r="D59" s="22"/>
      <c r="E59" s="22"/>
      <c r="F59" s="22"/>
      <c r="G59" s="22"/>
      <c r="H59" s="22"/>
      <c r="I59" s="22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x14ac:dyDescent="0.35">
      <c r="A60" s="22"/>
      <c r="B60" s="22"/>
      <c r="C60" s="22"/>
      <c r="D60" s="22"/>
      <c r="E60" s="22"/>
      <c r="F60" s="22"/>
      <c r="G60" s="22"/>
      <c r="H60" s="22"/>
      <c r="I60" s="22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x14ac:dyDescent="0.35">
      <c r="A61" s="22"/>
      <c r="B61" s="22"/>
      <c r="C61" s="22"/>
      <c r="D61" s="22"/>
      <c r="E61" s="22"/>
      <c r="F61" s="22"/>
      <c r="G61" s="22"/>
      <c r="H61" s="22"/>
      <c r="I61" s="22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x14ac:dyDescent="0.35">
      <c r="A62" s="22"/>
      <c r="B62" s="22"/>
      <c r="C62" s="22"/>
      <c r="D62" s="22"/>
      <c r="E62" s="22"/>
      <c r="F62" s="22"/>
      <c r="G62" s="22"/>
      <c r="H62" s="22"/>
      <c r="I62" s="22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x14ac:dyDescent="0.35">
      <c r="A63" s="22"/>
      <c r="B63" s="22"/>
      <c r="C63" s="22"/>
      <c r="D63" s="22"/>
      <c r="E63" s="22"/>
      <c r="F63" s="22"/>
      <c r="G63" s="22"/>
      <c r="H63" s="22"/>
      <c r="I63" s="22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x14ac:dyDescent="0.35">
      <c r="A64" s="22"/>
      <c r="B64" s="22"/>
      <c r="C64" s="22"/>
      <c r="D64" s="22"/>
      <c r="E64" s="22"/>
      <c r="F64" s="22"/>
      <c r="G64" s="22"/>
      <c r="H64" s="22"/>
      <c r="I64" s="22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x14ac:dyDescent="0.35">
      <c r="A65" s="22"/>
      <c r="B65" s="22"/>
      <c r="C65" s="22"/>
      <c r="D65" s="22"/>
      <c r="E65" s="22"/>
      <c r="F65" s="22"/>
      <c r="G65" s="22"/>
      <c r="H65" s="22"/>
      <c r="I65" s="22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x14ac:dyDescent="0.35">
      <c r="A66" s="22"/>
      <c r="B66" s="22"/>
      <c r="C66" s="22"/>
      <c r="D66" s="22"/>
      <c r="E66" s="22"/>
      <c r="F66" s="22"/>
      <c r="G66" s="22"/>
      <c r="H66" s="22"/>
      <c r="I66" s="22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x14ac:dyDescent="0.35">
      <c r="A67" s="22"/>
      <c r="B67" s="22"/>
      <c r="C67" s="22"/>
      <c r="D67" s="22"/>
      <c r="E67" s="22"/>
      <c r="F67" s="22"/>
      <c r="G67" s="22"/>
      <c r="H67" s="22"/>
      <c r="I67" s="22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x14ac:dyDescent="0.35">
      <c r="A68" s="22"/>
      <c r="B68" s="22"/>
      <c r="C68" s="22"/>
      <c r="D68" s="22"/>
      <c r="E68" s="22"/>
      <c r="F68" s="22"/>
      <c r="G68" s="22"/>
      <c r="H68" s="22"/>
      <c r="I68" s="22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x14ac:dyDescent="0.35">
      <c r="A69" s="22"/>
      <c r="B69" s="22"/>
      <c r="C69" s="22"/>
      <c r="D69" s="22"/>
      <c r="E69" s="22"/>
      <c r="F69" s="22"/>
      <c r="G69" s="22"/>
      <c r="H69" s="22"/>
      <c r="I69" s="22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x14ac:dyDescent="0.35">
      <c r="A70" s="22"/>
      <c r="B70" s="22"/>
      <c r="C70" s="22"/>
      <c r="D70" s="22"/>
      <c r="E70" s="22"/>
      <c r="F70" s="22"/>
      <c r="G70" s="22"/>
      <c r="H70" s="22"/>
      <c r="I70" s="22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x14ac:dyDescent="0.35">
      <c r="A71" s="22"/>
      <c r="B71" s="22"/>
      <c r="C71" s="22"/>
      <c r="D71" s="22"/>
      <c r="E71" s="22"/>
      <c r="F71" s="22"/>
      <c r="G71" s="22"/>
      <c r="H71" s="22"/>
      <c r="I71" s="22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x14ac:dyDescent="0.35">
      <c r="A72" s="22"/>
      <c r="B72" s="22"/>
      <c r="C72" s="22"/>
      <c r="D72" s="22"/>
      <c r="E72" s="22"/>
      <c r="F72" s="22"/>
      <c r="G72" s="22"/>
      <c r="H72" s="22"/>
      <c r="I72" s="22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x14ac:dyDescent="0.35">
      <c r="A75" s="22"/>
      <c r="B75" s="22"/>
      <c r="C75" s="22"/>
      <c r="D75" s="22"/>
      <c r="E75" s="22"/>
      <c r="F75" s="22"/>
      <c r="G75" s="22"/>
      <c r="H75" s="22"/>
      <c r="I75" s="22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x14ac:dyDescent="0.35">
      <c r="A77" s="22"/>
      <c r="B77" s="22"/>
      <c r="C77" s="22"/>
      <c r="D77" s="22"/>
      <c r="E77" s="22"/>
      <c r="F77" s="22"/>
      <c r="G77" s="22"/>
      <c r="H77" s="22"/>
      <c r="I77" s="22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x14ac:dyDescent="0.35">
      <c r="A78" s="22"/>
      <c r="B78" s="22"/>
      <c r="C78" s="22"/>
      <c r="D78" s="22"/>
      <c r="E78" s="22"/>
      <c r="F78" s="22"/>
      <c r="G78" s="22"/>
      <c r="H78" s="22"/>
      <c r="I78" s="22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x14ac:dyDescent="0.35">
      <c r="A79" s="22"/>
      <c r="B79" s="22"/>
      <c r="C79" s="22"/>
      <c r="D79" s="22"/>
      <c r="E79" s="22"/>
      <c r="F79" s="22"/>
      <c r="G79" s="22"/>
      <c r="H79" s="22"/>
      <c r="I79" s="22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x14ac:dyDescent="0.35">
      <c r="A82" s="22"/>
      <c r="B82" s="22"/>
      <c r="C82" s="22"/>
      <c r="D82" s="22"/>
      <c r="E82" s="22"/>
      <c r="F82" s="22"/>
      <c r="G82" s="22"/>
      <c r="H82" s="22"/>
      <c r="I82" s="22"/>
      <c r="J82" s="5"/>
      <c r="K82" s="5"/>
      <c r="L82" s="5"/>
      <c r="M82" s="5"/>
      <c r="N82" s="5"/>
      <c r="O82" s="5"/>
      <c r="P82" s="5"/>
      <c r="Q82" s="5"/>
      <c r="R82" s="5"/>
      <c r="S8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1"/>
  <sheetViews>
    <sheetView zoomScaleNormal="100" workbookViewId="0">
      <selection activeCell="A2" sqref="A2"/>
    </sheetView>
  </sheetViews>
  <sheetFormatPr defaultRowHeight="14.5" x14ac:dyDescent="0.35"/>
  <sheetData>
    <row r="1" spans="1:27" ht="25" x14ac:dyDescent="0.5">
      <c r="A1" s="20" t="s">
        <v>84</v>
      </c>
      <c r="B1" s="21"/>
      <c r="C1" s="22"/>
      <c r="D1" s="22"/>
      <c r="E1" s="22"/>
      <c r="F1" s="22"/>
      <c r="G1" s="22"/>
      <c r="H1" s="22"/>
      <c r="I1" s="2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7" s="2" customFormat="1" x14ac:dyDescent="0.35">
      <c r="A2" s="23"/>
      <c r="B2" s="23"/>
      <c r="C2" s="23"/>
      <c r="D2" s="23"/>
      <c r="E2" s="23"/>
      <c r="F2" s="23"/>
      <c r="G2" s="23"/>
      <c r="H2" s="23"/>
      <c r="I2" s="23"/>
    </row>
    <row r="3" spans="1:27" ht="18" x14ac:dyDescent="0.4">
      <c r="A3" s="24" t="s">
        <v>220</v>
      </c>
      <c r="B3" s="22"/>
      <c r="C3" s="22"/>
      <c r="D3" s="22"/>
      <c r="E3" s="22"/>
      <c r="F3" s="22"/>
      <c r="G3" s="22"/>
      <c r="H3" s="22"/>
      <c r="I3" s="2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35">
      <c r="A4" s="22"/>
      <c r="B4" s="22"/>
      <c r="C4" s="22"/>
      <c r="D4" s="22"/>
      <c r="E4" s="22"/>
      <c r="F4" s="22"/>
      <c r="G4" s="22"/>
      <c r="H4" s="22"/>
      <c r="I4" s="2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35">
      <c r="A5" s="40" t="s">
        <v>173</v>
      </c>
      <c r="B5" s="26"/>
      <c r="C5" s="26"/>
      <c r="D5" s="26"/>
      <c r="E5" s="41">
        <v>2003</v>
      </c>
      <c r="F5" s="42">
        <f>E5+1</f>
        <v>2004</v>
      </c>
      <c r="G5" s="42">
        <f>F5+1</f>
        <v>2005</v>
      </c>
      <c r="H5" s="42">
        <f>G5+1</f>
        <v>2006</v>
      </c>
      <c r="I5" s="43">
        <f>H5+1</f>
        <v>2007</v>
      </c>
      <c r="J5" s="9"/>
      <c r="K5" s="9"/>
      <c r="L5" s="9"/>
      <c r="M5" s="9"/>
      <c r="N5" s="9"/>
      <c r="O5" s="9"/>
      <c r="P5" s="9"/>
      <c r="Q5" s="9"/>
      <c r="R5" s="9"/>
      <c r="S5" s="8"/>
      <c r="T5" s="8"/>
      <c r="U5" s="8"/>
      <c r="V5" s="8"/>
      <c r="W5" s="8"/>
      <c r="X5" s="8"/>
      <c r="Y5" s="8"/>
      <c r="Z5" s="8"/>
      <c r="AA5" s="8"/>
    </row>
    <row r="6" spans="1:27" x14ac:dyDescent="0.35">
      <c r="A6" s="25" t="s">
        <v>118</v>
      </c>
      <c r="B6" s="25"/>
      <c r="C6" s="25"/>
      <c r="D6" s="25"/>
      <c r="E6" s="44">
        <f>IS!E16</f>
        <v>28.899999999999995</v>
      </c>
      <c r="F6" s="44">
        <f>IS!F16</f>
        <v>32.80000000000004</v>
      </c>
      <c r="G6" s="44">
        <f>IS!G16</f>
        <v>20.00000000000006</v>
      </c>
      <c r="H6" s="44">
        <f>IS!H16</f>
        <v>36.000000000000043</v>
      </c>
      <c r="I6" s="44">
        <f>IS!I16</f>
        <v>38.500000000000007</v>
      </c>
      <c r="J6" s="10"/>
      <c r="K6" s="10"/>
      <c r="L6" s="10"/>
      <c r="M6" s="10"/>
      <c r="N6" s="10"/>
      <c r="O6" s="10"/>
      <c r="P6" s="10"/>
      <c r="Q6" s="10"/>
      <c r="R6" s="10"/>
      <c r="S6" s="8"/>
      <c r="T6" s="8"/>
      <c r="U6" s="8"/>
      <c r="V6" s="8"/>
      <c r="W6" s="8"/>
      <c r="X6" s="8"/>
      <c r="Y6" s="8"/>
      <c r="Z6" s="8"/>
      <c r="AA6" s="8"/>
    </row>
    <row r="7" spans="1:27" x14ac:dyDescent="0.35">
      <c r="A7" s="26" t="s">
        <v>174</v>
      </c>
      <c r="B7" s="26"/>
      <c r="C7" s="26"/>
      <c r="D7" s="26"/>
      <c r="E7" s="45">
        <f>IS!E11</f>
        <v>6.8</v>
      </c>
      <c r="F7" s="45">
        <f>IS!F11</f>
        <v>6.2</v>
      </c>
      <c r="G7" s="45">
        <f>IS!G11</f>
        <v>6</v>
      </c>
      <c r="H7" s="45">
        <f>IS!H11</f>
        <v>5.9</v>
      </c>
      <c r="I7" s="45">
        <f>IS!I11</f>
        <v>6.1</v>
      </c>
      <c r="J7" s="9"/>
      <c r="K7" s="9"/>
      <c r="L7" s="9"/>
      <c r="M7" s="9"/>
      <c r="N7" s="9"/>
      <c r="O7" s="9"/>
      <c r="P7" s="9"/>
      <c r="Q7" s="9"/>
      <c r="R7" s="9"/>
      <c r="S7" s="8"/>
      <c r="T7" s="8"/>
      <c r="U7" s="8"/>
      <c r="V7" s="8"/>
      <c r="W7" s="8"/>
      <c r="X7" s="8"/>
      <c r="Y7" s="8"/>
      <c r="Z7" s="8"/>
      <c r="AA7" s="8"/>
    </row>
    <row r="8" spans="1:27" x14ac:dyDescent="0.35">
      <c r="A8" s="26" t="s">
        <v>175</v>
      </c>
      <c r="B8" s="26"/>
      <c r="C8" s="26"/>
      <c r="D8" s="26"/>
      <c r="E8" s="45">
        <v>3.1</v>
      </c>
      <c r="F8" s="45">
        <f>BS!F7-BS!E7</f>
        <v>7.9999999999999929</v>
      </c>
      <c r="G8" s="45">
        <f>BS!G7-BS!F7</f>
        <v>8.7000000000000028</v>
      </c>
      <c r="H8" s="45">
        <f>BS!H7-BS!G7</f>
        <v>8.2999999999999972</v>
      </c>
      <c r="I8" s="45">
        <f>BS!I7-BS!H7</f>
        <v>6.2000000000000028</v>
      </c>
      <c r="J8" s="9"/>
      <c r="K8" s="9"/>
      <c r="L8" s="9"/>
      <c r="M8" s="9"/>
      <c r="N8" s="9"/>
      <c r="O8" s="9"/>
      <c r="P8" s="9"/>
      <c r="Q8" s="9"/>
      <c r="R8" s="9"/>
      <c r="S8" s="8"/>
      <c r="T8" s="8"/>
      <c r="U8" s="8"/>
      <c r="V8" s="8"/>
      <c r="W8" s="8"/>
      <c r="X8" s="8"/>
      <c r="Y8" s="8"/>
      <c r="Z8" s="8"/>
      <c r="AA8" s="8"/>
    </row>
    <row r="9" spans="1:27" x14ac:dyDescent="0.35">
      <c r="A9" s="26" t="s">
        <v>176</v>
      </c>
      <c r="B9" s="26"/>
      <c r="C9" s="26"/>
      <c r="D9" s="26"/>
      <c r="E9" s="45">
        <v>0.5</v>
      </c>
      <c r="F9" s="45">
        <f>BS!F8-BS!E8</f>
        <v>0.29999999999999716</v>
      </c>
      <c r="G9" s="45">
        <f>BS!G8-BS!F8</f>
        <v>3.2000000000000028</v>
      </c>
      <c r="H9" s="45">
        <f>BS!H8-BS!G8</f>
        <v>0.69999999999999574</v>
      </c>
      <c r="I9" s="45">
        <f>BS!I8-BS!H8</f>
        <v>5.3999999999999986</v>
      </c>
      <c r="J9" s="9"/>
      <c r="K9" s="9"/>
      <c r="L9" s="9"/>
      <c r="M9" s="9"/>
      <c r="N9" s="9"/>
      <c r="O9" s="9"/>
      <c r="P9" s="9"/>
      <c r="Q9" s="9"/>
      <c r="R9" s="9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35">
      <c r="A10" s="26" t="s">
        <v>177</v>
      </c>
      <c r="B10" s="26"/>
      <c r="C10" s="26"/>
      <c r="D10" s="26"/>
      <c r="E10" s="46">
        <v>0.3</v>
      </c>
      <c r="F10" s="46">
        <f>BS!F16-BS!E16</f>
        <v>2.7999999999999972</v>
      </c>
      <c r="G10" s="46">
        <f>BS!G16-BS!F16</f>
        <v>6.6000000000000014</v>
      </c>
      <c r="H10" s="46">
        <f>BS!H16-BS!G16</f>
        <v>1.7999999999999972</v>
      </c>
      <c r="I10" s="46">
        <f>BS!I16-BS!H16</f>
        <v>4.7000000000000028</v>
      </c>
      <c r="J10" s="9"/>
      <c r="K10" s="9"/>
      <c r="L10" s="9"/>
      <c r="M10" s="9"/>
      <c r="N10" s="9"/>
      <c r="O10" s="9"/>
      <c r="P10" s="9"/>
      <c r="Q10" s="9"/>
      <c r="R10" s="9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35">
      <c r="A11" s="25" t="s">
        <v>178</v>
      </c>
      <c r="B11" s="25"/>
      <c r="C11" s="25"/>
      <c r="D11" s="25"/>
      <c r="E11" s="44">
        <f>E6+E7-E8-E9+E10</f>
        <v>32.399999999999991</v>
      </c>
      <c r="F11" s="44">
        <f>F6+F7-F8-F9+F10</f>
        <v>33.50000000000005</v>
      </c>
      <c r="G11" s="44">
        <f>G6+G7-G8-G9+G10</f>
        <v>20.700000000000056</v>
      </c>
      <c r="H11" s="44">
        <f>H6+H7-H8-H9+H10</f>
        <v>34.700000000000045</v>
      </c>
      <c r="I11" s="44">
        <f>I6+I7-I8-I9+I10</f>
        <v>37.70000000000001</v>
      </c>
      <c r="J11" s="10"/>
      <c r="K11" s="10"/>
      <c r="L11" s="10"/>
      <c r="M11" s="10"/>
      <c r="N11" s="10"/>
      <c r="O11" s="10"/>
      <c r="P11" s="10"/>
      <c r="Q11" s="10"/>
      <c r="R11" s="10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35">
      <c r="A12" s="26"/>
      <c r="B12" s="26"/>
      <c r="C12" s="26"/>
      <c r="D12" s="26"/>
      <c r="E12" s="26"/>
      <c r="F12" s="26"/>
      <c r="G12" s="26"/>
      <c r="H12" s="26"/>
      <c r="I12" s="26"/>
      <c r="J12" s="9"/>
      <c r="K12" s="9"/>
      <c r="L12" s="9"/>
      <c r="M12" s="9"/>
      <c r="N12" s="9"/>
      <c r="O12" s="9"/>
      <c r="P12" s="9"/>
      <c r="Q12" s="9"/>
      <c r="R12" s="9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35">
      <c r="A13" s="40" t="s">
        <v>179</v>
      </c>
      <c r="B13" s="26"/>
      <c r="C13" s="26"/>
      <c r="D13" s="26"/>
      <c r="E13" s="26"/>
      <c r="F13" s="26"/>
      <c r="G13" s="26"/>
      <c r="H13" s="26"/>
      <c r="I13" s="26"/>
      <c r="J13" s="9"/>
      <c r="K13" s="9"/>
      <c r="L13" s="9"/>
      <c r="M13" s="9"/>
      <c r="N13" s="9"/>
      <c r="O13" s="9"/>
      <c r="P13" s="9"/>
      <c r="Q13" s="9"/>
      <c r="R13" s="9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35">
      <c r="A14" s="26" t="s">
        <v>180</v>
      </c>
      <c r="B14" s="26"/>
      <c r="C14" s="26"/>
      <c r="D14" s="26"/>
      <c r="E14" s="47">
        <v>7.3</v>
      </c>
      <c r="F14" s="47">
        <f>BS!F11-BS!E11+CFS!F7</f>
        <v>7.7</v>
      </c>
      <c r="G14" s="47">
        <f>BS!G11-BS!F11+CFS!G7</f>
        <v>6.1999999999999886</v>
      </c>
      <c r="H14" s="47">
        <f>BS!H11-BS!G11+CFS!H7</f>
        <v>5.1000000000000174</v>
      </c>
      <c r="I14" s="47">
        <f>BS!I11-BS!H11+CFS!I7</f>
        <v>8.199999999999994</v>
      </c>
      <c r="J14" s="9"/>
      <c r="K14" s="9"/>
      <c r="L14" s="9"/>
      <c r="M14" s="9"/>
      <c r="N14" s="9"/>
      <c r="O14" s="9"/>
      <c r="P14" s="9"/>
      <c r="Q14" s="9"/>
      <c r="R14" s="9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35">
      <c r="A15" s="26" t="s">
        <v>181</v>
      </c>
      <c r="B15" s="26"/>
      <c r="C15" s="26"/>
      <c r="D15" s="26"/>
      <c r="E15" s="46">
        <v>0.5</v>
      </c>
      <c r="F15" s="46">
        <f>BS!F12-BS!E12</f>
        <v>-0.20000000000000107</v>
      </c>
      <c r="G15" s="46">
        <f>BS!G12-BS!F12</f>
        <v>-0.29999999999999893</v>
      </c>
      <c r="H15" s="46">
        <f>BS!H12-BS!G12</f>
        <v>0.69999999999999929</v>
      </c>
      <c r="I15" s="46">
        <f>BS!I12-BS!H12</f>
        <v>-1.6999999999999993</v>
      </c>
      <c r="J15" s="9"/>
      <c r="K15" s="9"/>
      <c r="L15" s="9"/>
      <c r="M15" s="9"/>
      <c r="N15" s="9"/>
      <c r="O15" s="9"/>
      <c r="P15" s="9"/>
      <c r="Q15" s="9"/>
      <c r="R15" s="9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35">
      <c r="A16" s="25" t="s">
        <v>182</v>
      </c>
      <c r="B16" s="25"/>
      <c r="C16" s="25"/>
      <c r="D16" s="25"/>
      <c r="E16" s="44">
        <f>E14+E15</f>
        <v>7.8</v>
      </c>
      <c r="F16" s="44">
        <f>F14+F15</f>
        <v>7.4999999999999991</v>
      </c>
      <c r="G16" s="44">
        <f>G14+G15</f>
        <v>5.8999999999999897</v>
      </c>
      <c r="H16" s="44">
        <f>H14+H15</f>
        <v>5.8000000000000167</v>
      </c>
      <c r="I16" s="44">
        <f>I14+I15</f>
        <v>6.4999999999999947</v>
      </c>
      <c r="J16" s="10"/>
      <c r="K16" s="10"/>
      <c r="L16" s="10"/>
      <c r="M16" s="10"/>
      <c r="N16" s="10"/>
      <c r="O16" s="10"/>
      <c r="P16" s="10"/>
      <c r="Q16" s="10"/>
      <c r="R16" s="10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35">
      <c r="A17" s="26"/>
      <c r="B17" s="26"/>
      <c r="C17" s="26"/>
      <c r="D17" s="26"/>
      <c r="E17" s="26"/>
      <c r="F17" s="26"/>
      <c r="G17" s="26"/>
      <c r="H17" s="26"/>
      <c r="I17" s="26"/>
      <c r="J17" s="9"/>
      <c r="K17" s="9"/>
      <c r="L17" s="9"/>
      <c r="M17" s="9"/>
      <c r="N17" s="9"/>
      <c r="O17" s="9"/>
      <c r="P17" s="9"/>
      <c r="Q17" s="9"/>
      <c r="R17" s="9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35">
      <c r="A18" s="40" t="s">
        <v>183</v>
      </c>
      <c r="B18" s="26"/>
      <c r="C18" s="26"/>
      <c r="D18" s="26"/>
      <c r="E18" s="26"/>
      <c r="F18" s="45"/>
      <c r="G18" s="45"/>
      <c r="H18" s="45"/>
      <c r="I18" s="45"/>
      <c r="J18" s="9"/>
      <c r="K18" s="9"/>
      <c r="L18" s="9"/>
      <c r="M18" s="9"/>
      <c r="N18" s="9"/>
      <c r="O18" s="9"/>
      <c r="P18" s="9"/>
      <c r="Q18" s="9"/>
      <c r="R18" s="9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35">
      <c r="A19" s="26" t="s">
        <v>184</v>
      </c>
      <c r="B19" s="26"/>
      <c r="C19" s="26"/>
      <c r="D19" s="26"/>
      <c r="E19" s="47">
        <v>8</v>
      </c>
      <c r="F19" s="47">
        <f>-(BS!F18-BS!E18)</f>
        <v>8.7999999999999972</v>
      </c>
      <c r="G19" s="47">
        <f>-(BS!G18-BS!F18)</f>
        <v>9</v>
      </c>
      <c r="H19" s="47">
        <f>-(BS!H18-BS!G18)</f>
        <v>8</v>
      </c>
      <c r="I19" s="47">
        <f>-(BS!I18-BS!H18)</f>
        <v>11</v>
      </c>
      <c r="J19" s="9"/>
      <c r="K19" s="9"/>
      <c r="L19" s="9"/>
      <c r="M19" s="9"/>
      <c r="N19" s="9"/>
      <c r="O19" s="9"/>
      <c r="P19" s="9"/>
      <c r="Q19" s="9"/>
      <c r="R19" s="9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35">
      <c r="A20" s="26" t="s">
        <v>185</v>
      </c>
      <c r="B20" s="26"/>
      <c r="C20" s="26"/>
      <c r="D20" s="26"/>
      <c r="E20" s="46">
        <v>14.4</v>
      </c>
      <c r="F20" s="46">
        <f>-(BS!F20-BS!E20-CFS!F6)</f>
        <v>16.400000000000034</v>
      </c>
      <c r="G20" s="46">
        <f>-(BS!G20-BS!F20-CFS!G6)</f>
        <v>6.1000000000000547</v>
      </c>
      <c r="H20" s="46">
        <f>-(BS!H20-BS!G20-CFS!H6)</f>
        <v>17.900000000000048</v>
      </c>
      <c r="I20" s="46">
        <f>-(BS!I20-BS!H20-CFS!I6)</f>
        <v>23.000000000000036</v>
      </c>
      <c r="J20" s="9"/>
      <c r="K20" s="9"/>
      <c r="L20" s="9"/>
      <c r="M20" s="9"/>
      <c r="N20" s="9"/>
      <c r="O20" s="9"/>
      <c r="P20" s="9"/>
      <c r="Q20" s="9"/>
      <c r="R20" s="9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35">
      <c r="A21" s="25" t="s">
        <v>186</v>
      </c>
      <c r="B21" s="25"/>
      <c r="C21" s="25"/>
      <c r="D21" s="25"/>
      <c r="E21" s="44">
        <f>E19+E20</f>
        <v>22.4</v>
      </c>
      <c r="F21" s="44">
        <f>F19+F20</f>
        <v>25.200000000000031</v>
      </c>
      <c r="G21" s="44">
        <f>G19+G20</f>
        <v>15.100000000000055</v>
      </c>
      <c r="H21" s="44">
        <f>H19+H20</f>
        <v>25.900000000000048</v>
      </c>
      <c r="I21" s="44">
        <f>I19+I20</f>
        <v>34.000000000000036</v>
      </c>
      <c r="J21" s="10"/>
      <c r="K21" s="10"/>
      <c r="L21" s="10"/>
      <c r="M21" s="10"/>
      <c r="N21" s="10"/>
      <c r="O21" s="10"/>
      <c r="P21" s="10"/>
      <c r="Q21" s="10"/>
      <c r="R21" s="10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35">
      <c r="A22" s="26"/>
      <c r="B22" s="26"/>
      <c r="C22" s="26"/>
      <c r="D22" s="26"/>
      <c r="E22" s="26"/>
      <c r="F22" s="26"/>
      <c r="G22" s="26"/>
      <c r="H22" s="26"/>
      <c r="I22" s="26"/>
      <c r="J22" s="9"/>
      <c r="K22" s="9"/>
      <c r="L22" s="9"/>
      <c r="M22" s="9"/>
      <c r="N22" s="9"/>
      <c r="O22" s="9"/>
      <c r="P22" s="9"/>
      <c r="Q22" s="9"/>
      <c r="R22" s="9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35">
      <c r="A23" s="25" t="s">
        <v>187</v>
      </c>
      <c r="B23" s="25"/>
      <c r="C23" s="25"/>
      <c r="D23" s="25"/>
      <c r="E23" s="44">
        <f>E11-E16-E21</f>
        <v>2.1999999999999922</v>
      </c>
      <c r="F23" s="44">
        <f>F11-F16-F21</f>
        <v>0.80000000000001847</v>
      </c>
      <c r="G23" s="44">
        <f>G11-G16-G21</f>
        <v>-0.29999999999998828</v>
      </c>
      <c r="H23" s="44">
        <f>H11-H16-H21</f>
        <v>2.9999999999999787</v>
      </c>
      <c r="I23" s="44">
        <f>I11-I16-I21</f>
        <v>-2.8000000000000185</v>
      </c>
      <c r="J23" s="10"/>
      <c r="K23" s="10"/>
      <c r="L23" s="10"/>
      <c r="M23" s="10"/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35">
      <c r="A25" s="9"/>
      <c r="B25" s="9"/>
      <c r="C25" s="9"/>
      <c r="D25" s="9"/>
      <c r="E25" s="9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8"/>
      <c r="T38" s="8"/>
      <c r="U38" s="8"/>
      <c r="V38" s="8"/>
      <c r="W38" s="8"/>
      <c r="X38" s="8"/>
      <c r="Y38" s="8"/>
      <c r="Z38" s="8"/>
      <c r="AA38" s="8"/>
    </row>
    <row r="39" spans="1:27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8"/>
      <c r="T39" s="8"/>
      <c r="U39" s="8"/>
      <c r="V39" s="8"/>
      <c r="W39" s="8"/>
      <c r="X39" s="8"/>
      <c r="Y39" s="8"/>
      <c r="Z39" s="8"/>
      <c r="AA39" s="8"/>
    </row>
    <row r="40" spans="1:27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8"/>
      <c r="T41" s="8"/>
      <c r="U41" s="8"/>
      <c r="V41" s="8"/>
      <c r="W41" s="8"/>
      <c r="X41" s="8"/>
      <c r="Y41" s="8"/>
      <c r="Z41" s="8"/>
      <c r="AA4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W314"/>
  <sheetViews>
    <sheetView workbookViewId="0">
      <selection activeCell="A2" sqref="A2"/>
    </sheetView>
  </sheetViews>
  <sheetFormatPr defaultRowHeight="14.5" x14ac:dyDescent="0.35"/>
  <cols>
    <col min="1" max="1" width="14" customWidth="1"/>
    <col min="5" max="5" width="10.1796875" bestFit="1" customWidth="1"/>
  </cols>
  <sheetData>
    <row r="1" spans="1:49" ht="25" x14ac:dyDescent="0.5">
      <c r="A1" s="20" t="s">
        <v>84</v>
      </c>
      <c r="B1" s="21"/>
      <c r="C1" s="21"/>
      <c r="D1" s="21"/>
      <c r="E1" s="22"/>
      <c r="F1" s="22"/>
      <c r="G1" s="22"/>
      <c r="H1" s="22"/>
      <c r="I1" s="22"/>
      <c r="J1" s="22"/>
      <c r="K1" s="22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49" s="2" customForma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49" ht="18" x14ac:dyDescent="0.4">
      <c r="A3" s="24" t="s">
        <v>216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8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8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35">
      <c r="A5" s="26"/>
      <c r="B5" s="26"/>
      <c r="C5" s="64" t="s">
        <v>188</v>
      </c>
      <c r="D5" s="65" t="s">
        <v>189</v>
      </c>
      <c r="E5" s="65" t="s">
        <v>190</v>
      </c>
      <c r="F5" s="65" t="s">
        <v>26</v>
      </c>
      <c r="G5" s="65"/>
      <c r="H5" s="65"/>
      <c r="I5" s="65"/>
      <c r="J5" s="65" t="s">
        <v>189</v>
      </c>
      <c r="K5" s="66" t="s">
        <v>191</v>
      </c>
      <c r="L5" s="8"/>
      <c r="M5" s="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35">
      <c r="A6" s="67" t="s">
        <v>29</v>
      </c>
      <c r="B6" s="68"/>
      <c r="C6" s="69" t="s">
        <v>30</v>
      </c>
      <c r="D6" s="70" t="s">
        <v>27</v>
      </c>
      <c r="E6" s="70" t="s">
        <v>30</v>
      </c>
      <c r="F6" s="70" t="s">
        <v>31</v>
      </c>
      <c r="G6" s="70" t="s">
        <v>1</v>
      </c>
      <c r="H6" s="70" t="s">
        <v>140</v>
      </c>
      <c r="I6" s="70" t="s">
        <v>8</v>
      </c>
      <c r="J6" s="70" t="s">
        <v>192</v>
      </c>
      <c r="K6" s="71" t="s">
        <v>30</v>
      </c>
      <c r="L6" s="8"/>
      <c r="M6" s="8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35">
      <c r="A7" s="103" t="s">
        <v>32</v>
      </c>
      <c r="B7" s="103"/>
      <c r="C7" s="104">
        <v>298.86</v>
      </c>
      <c r="D7" s="104">
        <f>0.5+18.9+1203.2+107</f>
        <v>1329.6000000000001</v>
      </c>
      <c r="E7" s="104">
        <f>D7+C7</f>
        <v>1628.46</v>
      </c>
      <c r="F7" s="105">
        <v>2.2200000000000002</v>
      </c>
      <c r="G7" s="104">
        <v>1346.8</v>
      </c>
      <c r="H7" s="104">
        <v>255.3</v>
      </c>
      <c r="I7" s="104">
        <f>155+8.4</f>
        <v>163.4</v>
      </c>
      <c r="J7" s="104">
        <f>13.1+((8.4+5.6)*0.6)</f>
        <v>21.5</v>
      </c>
      <c r="K7" s="104">
        <v>-1112.8</v>
      </c>
      <c r="L7" s="8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35">
      <c r="A8" s="103" t="s">
        <v>33</v>
      </c>
      <c r="B8" s="103"/>
      <c r="C8" s="104">
        <f>E8-D8</f>
        <v>319.26000000000005</v>
      </c>
      <c r="D8" s="104">
        <f>(13.981+13.352+27.691-42.404)*5</f>
        <v>63.099999999999987</v>
      </c>
      <c r="E8" s="104">
        <v>382.36</v>
      </c>
      <c r="F8" s="105">
        <v>1.95</v>
      </c>
      <c r="G8" s="104">
        <v>446.12400000000002</v>
      </c>
      <c r="H8" s="104">
        <f>I8+9.925</f>
        <v>61.870000000000005</v>
      </c>
      <c r="I8" s="104">
        <f>51.009+0.936</f>
        <v>51.945</v>
      </c>
      <c r="J8" s="104">
        <v>23.765000000000001</v>
      </c>
      <c r="K8" s="104">
        <v>204.20099999999999</v>
      </c>
      <c r="L8" s="8"/>
      <c r="M8" s="8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35">
      <c r="A9" s="103" t="s">
        <v>34</v>
      </c>
      <c r="B9" s="103"/>
      <c r="C9" s="104">
        <f>E9-D9</f>
        <v>498.63499999999999</v>
      </c>
      <c r="D9" s="104">
        <f>(0.049597-1.922148)*4.5+63.73</f>
        <v>55.303520499999998</v>
      </c>
      <c r="E9" s="104">
        <v>553.93852049999998</v>
      </c>
      <c r="F9" s="105">
        <v>1.1399999999999999</v>
      </c>
      <c r="G9" s="104">
        <f>25.634126*15.5</f>
        <v>397.32895299999996</v>
      </c>
      <c r="H9" s="104">
        <f>3.40081*15.5</f>
        <v>52.712554999999995</v>
      </c>
      <c r="I9" s="104">
        <f>3.183725*15.5</f>
        <v>49.347737500000001</v>
      </c>
      <c r="J9" s="104">
        <f>4.966768*15.5</f>
        <v>76.984904</v>
      </c>
      <c r="K9" s="104">
        <f>9.709202*4.5</f>
        <v>43.691409</v>
      </c>
      <c r="L9" s="8"/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35">
      <c r="A10" s="103" t="s">
        <v>35</v>
      </c>
      <c r="B10" s="103"/>
      <c r="C10" s="104">
        <f>E10-D10</f>
        <v>1204.22</v>
      </c>
      <c r="D10" s="104">
        <f>(30.196+158.76-114.586)*5</f>
        <v>371.84999999999997</v>
      </c>
      <c r="E10" s="104">
        <v>1576.07</v>
      </c>
      <c r="F10" s="105">
        <v>1.35</v>
      </c>
      <c r="G10" s="104">
        <v>1247.646</v>
      </c>
      <c r="H10" s="104">
        <f>I10+30.393</f>
        <v>155.821</v>
      </c>
      <c r="I10" s="104">
        <f>125.428</f>
        <v>125.428</v>
      </c>
      <c r="J10" s="104">
        <v>65.346999999999994</v>
      </c>
      <c r="K10" s="104">
        <v>316.18</v>
      </c>
      <c r="L10" s="8"/>
      <c r="M10" s="8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35">
      <c r="A11" s="103"/>
      <c r="B11" s="103"/>
      <c r="C11" s="106"/>
      <c r="D11" s="106"/>
      <c r="E11" s="106"/>
      <c r="F11" s="106"/>
      <c r="G11" s="106"/>
      <c r="H11" s="106"/>
      <c r="I11" s="106"/>
      <c r="J11" s="106"/>
      <c r="K11" s="106"/>
      <c r="L11" s="8"/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3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8"/>
      <c r="M12" s="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35">
      <c r="A13" s="107" t="s">
        <v>29</v>
      </c>
      <c r="B13" s="103"/>
      <c r="C13" s="103"/>
      <c r="D13" s="108" t="s">
        <v>140</v>
      </c>
      <c r="E13" s="109" t="s">
        <v>8</v>
      </c>
      <c r="F13" s="109" t="s">
        <v>193</v>
      </c>
      <c r="G13" s="108" t="s">
        <v>1</v>
      </c>
      <c r="H13" s="109" t="s">
        <v>140</v>
      </c>
      <c r="I13" s="109" t="s">
        <v>8</v>
      </c>
      <c r="J13" s="109" t="s">
        <v>194</v>
      </c>
      <c r="K13" s="110" t="s">
        <v>195</v>
      </c>
      <c r="L13" s="8"/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35">
      <c r="A14" s="103" t="s">
        <v>32</v>
      </c>
      <c r="B14" s="103"/>
      <c r="C14" s="111"/>
      <c r="D14" s="112">
        <f>H7/G7</f>
        <v>0.18956043956043958</v>
      </c>
      <c r="E14" s="112">
        <f>I7/G7</f>
        <v>0.12132462132462134</v>
      </c>
      <c r="F14" s="112">
        <f>J7/G7</f>
        <v>1.5963765963765964E-2</v>
      </c>
      <c r="G14" s="113">
        <f>E7/G7</f>
        <v>1.2091327591327592</v>
      </c>
      <c r="H14" s="113">
        <f>E7/H7</f>
        <v>6.3786133960046998</v>
      </c>
      <c r="I14" s="113">
        <f>E7/I7</f>
        <v>9.9660954712362297</v>
      </c>
      <c r="J14" s="113">
        <f>C7/J7</f>
        <v>13.90046511627907</v>
      </c>
      <c r="K14" s="113" t="str">
        <f>IF(C7/K7&lt;=0,"NM",C7/K7)</f>
        <v>NM</v>
      </c>
      <c r="L14" s="8"/>
      <c r="M14" s="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35">
      <c r="A15" s="103" t="s">
        <v>33</v>
      </c>
      <c r="B15" s="103"/>
      <c r="C15" s="111"/>
      <c r="D15" s="112">
        <f>H8/G8</f>
        <v>0.13868341537330428</v>
      </c>
      <c r="E15" s="112">
        <f>I8/G8</f>
        <v>0.11643623745864377</v>
      </c>
      <c r="F15" s="112">
        <f>J8/G8</f>
        <v>5.3269942885834427E-2</v>
      </c>
      <c r="G15" s="113">
        <f>E8/G8</f>
        <v>0.85707112820650755</v>
      </c>
      <c r="H15" s="113">
        <f>E8/H8</f>
        <v>6.1800549539356711</v>
      </c>
      <c r="I15" s="113">
        <f>E8/I8</f>
        <v>7.3608624506689768</v>
      </c>
      <c r="J15" s="113">
        <f>C8/J8</f>
        <v>13.434041657900275</v>
      </c>
      <c r="K15" s="113">
        <f>IF(C8/K8&lt;=0,"NM",C8/K8)</f>
        <v>1.5634595325194296</v>
      </c>
      <c r="L15" s="8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35">
      <c r="A16" s="103" t="s">
        <v>34</v>
      </c>
      <c r="B16" s="103"/>
      <c r="C16" s="111"/>
      <c r="D16" s="112">
        <f>H9/G9</f>
        <v>0.13266728891010365</v>
      </c>
      <c r="E16" s="112">
        <f>I9/G9</f>
        <v>0.12419869513007779</v>
      </c>
      <c r="F16" s="112">
        <f>J9/G9</f>
        <v>0.19375608905097838</v>
      </c>
      <c r="G16" s="113">
        <f>E9/G9</f>
        <v>1.3941559413617663</v>
      </c>
      <c r="H16" s="113">
        <f>E9/H9</f>
        <v>10.508663837296448</v>
      </c>
      <c r="I16" s="113">
        <f>E9/I9</f>
        <v>11.225206028949149</v>
      </c>
      <c r="J16" s="113">
        <f>C9/J9</f>
        <v>6.4770490588648393</v>
      </c>
      <c r="K16" s="113">
        <f>IF(C9/K9&lt;=0,"NM",C9/K9)</f>
        <v>11.412655517701431</v>
      </c>
      <c r="L16" s="8"/>
      <c r="M16" s="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35">
      <c r="A17" s="103" t="s">
        <v>35</v>
      </c>
      <c r="B17" s="103"/>
      <c r="C17" s="111"/>
      <c r="D17" s="114">
        <f>H10/G10</f>
        <v>0.12489199660801222</v>
      </c>
      <c r="E17" s="114">
        <f>I10/G10</f>
        <v>0.10053172133762302</v>
      </c>
      <c r="F17" s="114">
        <f>J10/G10</f>
        <v>5.2376234925611907E-2</v>
      </c>
      <c r="G17" s="115">
        <f>E10/G10</f>
        <v>1.2632349240088936</v>
      </c>
      <c r="H17" s="115">
        <f>E10/H10</f>
        <v>10.114618697094743</v>
      </c>
      <c r="I17" s="115">
        <f>E10/I10</f>
        <v>12.565535606084765</v>
      </c>
      <c r="J17" s="115">
        <f>C10/J10</f>
        <v>18.428083921220562</v>
      </c>
      <c r="K17" s="115">
        <f>IF(C10/K10&lt;=0,"NM",C10/K10)</f>
        <v>3.8086532987538746</v>
      </c>
      <c r="L17" s="8"/>
      <c r="M17" s="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35">
      <c r="A18" s="116" t="s">
        <v>36</v>
      </c>
      <c r="B18" s="116"/>
      <c r="C18" s="117"/>
      <c r="D18" s="118">
        <f t="shared" ref="D18:K18" si="0">AVERAGE(D14:D17)</f>
        <v>0.14645078511296494</v>
      </c>
      <c r="E18" s="118">
        <f t="shared" si="0"/>
        <v>0.11562281881274147</v>
      </c>
      <c r="F18" s="118">
        <f t="shared" si="0"/>
        <v>7.8841508206547659E-2</v>
      </c>
      <c r="G18" s="119">
        <f t="shared" si="0"/>
        <v>1.1808986881774817</v>
      </c>
      <c r="H18" s="119">
        <f t="shared" si="0"/>
        <v>8.2954877210828908</v>
      </c>
      <c r="I18" s="119">
        <f t="shared" si="0"/>
        <v>10.279424889234779</v>
      </c>
      <c r="J18" s="119">
        <f t="shared" si="0"/>
        <v>13.059909938566186</v>
      </c>
      <c r="K18" s="119">
        <f t="shared" si="0"/>
        <v>5.5949227829915786</v>
      </c>
      <c r="L18" s="8"/>
      <c r="M18" s="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</sheetData>
  <sheetProtection algorithmName="SHA-512" hashValue="EBBZTLtbUaV1oKaPTmnMeicHf1NxUFRyjo9NRJRytY7k5pLOF3d9RQJQOMaePziqpnaLNtjNL2J/yXWiIA8OQA==" saltValue="lbHCp9ICnKJEVESxxOFjZ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S67"/>
  <sheetViews>
    <sheetView workbookViewId="0">
      <selection activeCell="A2" sqref="A2"/>
    </sheetView>
  </sheetViews>
  <sheetFormatPr defaultRowHeight="14.5" x14ac:dyDescent="0.35"/>
  <cols>
    <col min="5" max="5" width="11" customWidth="1"/>
    <col min="7" max="8" width="12.54296875" bestFit="1" customWidth="1"/>
  </cols>
  <sheetData>
    <row r="1" spans="1:45" ht="25" x14ac:dyDescent="0.5">
      <c r="A1" s="20" t="s">
        <v>84</v>
      </c>
      <c r="B1" s="21"/>
      <c r="C1" s="21"/>
      <c r="D1" s="21"/>
      <c r="E1" s="22"/>
      <c r="F1" s="22"/>
      <c r="G1" s="22"/>
      <c r="H1" s="2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45" s="2" customFormat="1" x14ac:dyDescent="0.35">
      <c r="A2" s="23"/>
      <c r="B2" s="23"/>
      <c r="C2" s="23"/>
      <c r="D2" s="23"/>
      <c r="E2" s="23"/>
      <c r="F2" s="23"/>
      <c r="G2" s="23"/>
      <c r="H2" s="23"/>
    </row>
    <row r="3" spans="1:45" ht="18" x14ac:dyDescent="0.4">
      <c r="A3" s="24" t="s">
        <v>217</v>
      </c>
      <c r="B3" s="22"/>
      <c r="C3" s="22"/>
      <c r="D3" s="22"/>
      <c r="E3" s="22"/>
      <c r="F3" s="22"/>
      <c r="G3" s="22"/>
      <c r="H3" s="2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35">
      <c r="A4" s="22"/>
      <c r="B4" s="22"/>
      <c r="C4" s="22"/>
      <c r="D4" s="22"/>
      <c r="E4" s="22"/>
      <c r="F4" s="22"/>
      <c r="G4" s="22"/>
      <c r="H4" s="22"/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35">
      <c r="A5" s="25" t="s">
        <v>196</v>
      </c>
      <c r="B5" s="26"/>
      <c r="C5" s="26"/>
      <c r="D5" s="25"/>
      <c r="E5" s="25"/>
      <c r="F5" s="25"/>
      <c r="G5" s="27" t="s">
        <v>219</v>
      </c>
      <c r="H5" s="27" t="s">
        <v>37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35">
      <c r="A6" s="28" t="s">
        <v>197</v>
      </c>
      <c r="B6" s="29"/>
      <c r="C6" s="29"/>
      <c r="D6" s="30" t="s">
        <v>198</v>
      </c>
      <c r="E6" s="30" t="s">
        <v>199</v>
      </c>
      <c r="F6" s="30" t="s">
        <v>200</v>
      </c>
      <c r="G6" s="30" t="s">
        <v>201</v>
      </c>
      <c r="H6" s="30" t="s">
        <v>201</v>
      </c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35">
      <c r="A7" s="26" t="s">
        <v>202</v>
      </c>
      <c r="B7" s="31"/>
      <c r="C7" s="26"/>
      <c r="D7" s="32">
        <v>10000</v>
      </c>
      <c r="E7" s="32">
        <v>20</v>
      </c>
      <c r="F7" s="32">
        <f>D7/E7</f>
        <v>500</v>
      </c>
      <c r="G7" s="32">
        <v>0.05</v>
      </c>
      <c r="H7" s="32">
        <f>G7*D7</f>
        <v>500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35">
      <c r="A8" s="26" t="s">
        <v>203</v>
      </c>
      <c r="B8" s="26"/>
      <c r="C8" s="26"/>
      <c r="D8" s="33">
        <v>20000</v>
      </c>
      <c r="E8" s="34">
        <v>10</v>
      </c>
      <c r="F8" s="32">
        <f>D8/E8</f>
        <v>2000</v>
      </c>
      <c r="G8" s="35">
        <v>0.05</v>
      </c>
      <c r="H8" s="32">
        <f>G8*D8</f>
        <v>1000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35">
      <c r="A9" s="26" t="s">
        <v>204</v>
      </c>
      <c r="B9" s="26"/>
      <c r="C9" s="26"/>
      <c r="D9" s="32">
        <v>15000</v>
      </c>
      <c r="E9" s="34">
        <v>10</v>
      </c>
      <c r="F9" s="32">
        <f>D9/E9</f>
        <v>1500</v>
      </c>
      <c r="G9" s="35">
        <v>0.05</v>
      </c>
      <c r="H9" s="32">
        <f>G9*D9</f>
        <v>750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35">
      <c r="A10" s="26" t="s">
        <v>205</v>
      </c>
      <c r="B10" s="26"/>
      <c r="C10" s="26"/>
      <c r="D10" s="32">
        <v>12817.3028456582</v>
      </c>
      <c r="E10" s="36"/>
      <c r="F10" s="32">
        <v>0</v>
      </c>
      <c r="G10" s="35">
        <v>0</v>
      </c>
      <c r="H10" s="32">
        <f>G10*D10</f>
        <v>0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35">
      <c r="A11" s="26" t="s">
        <v>206</v>
      </c>
      <c r="B11" s="26"/>
      <c r="C11" s="26"/>
      <c r="D11" s="37">
        <f>SUM(D7:D10)</f>
        <v>57817.302845658196</v>
      </c>
      <c r="E11" s="36"/>
      <c r="F11" s="37">
        <f>SUM(F7:F10)</f>
        <v>4000</v>
      </c>
      <c r="G11" s="35"/>
      <c r="H11" s="37">
        <f>SUM(H7:H10)</f>
        <v>2250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35">
      <c r="A12" s="25"/>
      <c r="B12" s="25"/>
      <c r="C12" s="25"/>
      <c r="D12" s="25"/>
      <c r="E12" s="26"/>
      <c r="F12" s="25"/>
      <c r="G12" s="32"/>
      <c r="H12" s="25"/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35">
      <c r="A13" s="26" t="s">
        <v>207</v>
      </c>
      <c r="B13" s="26"/>
      <c r="C13" s="26"/>
      <c r="D13" s="26"/>
      <c r="E13" s="26"/>
      <c r="F13" s="26"/>
      <c r="G13" s="26"/>
      <c r="H13" s="26"/>
      <c r="I13" s="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35">
      <c r="A14" s="38" t="s">
        <v>208</v>
      </c>
      <c r="B14" s="39"/>
      <c r="C14" s="26"/>
      <c r="D14" s="26"/>
      <c r="E14" s="26"/>
      <c r="F14" s="26"/>
      <c r="G14" s="26"/>
      <c r="H14" s="26"/>
      <c r="I14" s="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35">
      <c r="A15" s="26" t="s">
        <v>209</v>
      </c>
      <c r="B15" s="26"/>
      <c r="C15" s="26"/>
      <c r="D15" s="26"/>
      <c r="E15" s="26"/>
      <c r="F15" s="26"/>
      <c r="G15" s="26"/>
      <c r="H15" s="26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35">
      <c r="A16" s="26" t="s">
        <v>210</v>
      </c>
      <c r="B16" s="26"/>
      <c r="C16" s="26"/>
      <c r="D16" s="26"/>
      <c r="E16" s="26"/>
      <c r="F16" s="26"/>
      <c r="G16" s="26"/>
      <c r="H16" s="26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35">
      <c r="A17" s="26" t="s">
        <v>211</v>
      </c>
      <c r="B17" s="26"/>
      <c r="C17" s="26"/>
      <c r="D17" s="26"/>
      <c r="E17" s="26"/>
      <c r="F17" s="26"/>
      <c r="G17" s="26"/>
      <c r="H17" s="26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35">
      <c r="A18" s="26" t="s">
        <v>212</v>
      </c>
      <c r="B18" s="26"/>
      <c r="C18" s="26"/>
      <c r="D18" s="26"/>
      <c r="E18" s="26"/>
      <c r="F18" s="26"/>
      <c r="G18" s="26"/>
      <c r="H18" s="26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35">
      <c r="A19" s="26" t="s">
        <v>213</v>
      </c>
      <c r="B19" s="26"/>
      <c r="C19" s="26"/>
      <c r="D19" s="26"/>
      <c r="E19" s="26"/>
      <c r="F19" s="26"/>
      <c r="G19" s="26"/>
      <c r="H19" s="26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35">
      <c r="A20" s="26" t="s">
        <v>214</v>
      </c>
      <c r="B20" s="26"/>
      <c r="C20" s="26"/>
      <c r="D20" s="26"/>
      <c r="E20" s="26"/>
      <c r="F20" s="26"/>
      <c r="G20" s="26"/>
      <c r="H20" s="26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35">
      <c r="A21" s="9"/>
      <c r="B21" s="9"/>
      <c r="C21" s="9"/>
      <c r="D21" s="9"/>
      <c r="E21" s="9"/>
      <c r="F21" s="9"/>
      <c r="G21" s="9"/>
      <c r="H21" s="9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1:45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1:45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1:45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1:45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1:45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1:45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1:45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1:45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1:45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1:45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1:45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1:45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1:45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1:45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1:45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1:45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1:45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1:45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1:45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1:45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Y130"/>
  <sheetViews>
    <sheetView zoomScaleNormal="100" workbookViewId="0">
      <selection activeCell="A2" sqref="A2"/>
    </sheetView>
  </sheetViews>
  <sheetFormatPr defaultRowHeight="14.5" x14ac:dyDescent="0.35"/>
  <cols>
    <col min="5" max="5" width="9" bestFit="1" customWidth="1"/>
  </cols>
  <sheetData>
    <row r="1" spans="1:77" ht="25" x14ac:dyDescent="0.5">
      <c r="A1" s="73" t="s">
        <v>84</v>
      </c>
      <c r="B1" s="74"/>
      <c r="C1" s="74"/>
      <c r="D1" s="74"/>
      <c r="E1" s="74"/>
      <c r="F1" s="74"/>
      <c r="G1" s="74" t="str">
        <f>IF($B$7="Y","Draft","")</f>
        <v/>
      </c>
      <c r="H1" s="74"/>
      <c r="I1" s="74"/>
      <c r="J1" s="74"/>
      <c r="K1" s="74"/>
      <c r="L1" s="74"/>
      <c r="M1" s="74"/>
      <c r="N1" s="7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77" s="2" customFormat="1" x14ac:dyDescent="0.3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77" ht="18" x14ac:dyDescent="0.4">
      <c r="A3" s="76" t="s">
        <v>86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</row>
    <row r="4" spans="1:77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</row>
    <row r="5" spans="1:77" x14ac:dyDescent="0.35">
      <c r="A5" s="77" t="s">
        <v>53</v>
      </c>
      <c r="B5" s="68"/>
      <c r="C5" s="68"/>
      <c r="D5" s="68"/>
      <c r="E5" s="78">
        <v>2009</v>
      </c>
      <c r="F5" s="79">
        <f t="shared" ref="F5:N5" si="0">E5+1</f>
        <v>2010</v>
      </c>
      <c r="G5" s="79">
        <f t="shared" si="0"/>
        <v>2011</v>
      </c>
      <c r="H5" s="79">
        <f t="shared" si="0"/>
        <v>2012</v>
      </c>
      <c r="I5" s="79">
        <f t="shared" si="0"/>
        <v>2013</v>
      </c>
      <c r="J5" s="79">
        <f t="shared" si="0"/>
        <v>2014</v>
      </c>
      <c r="K5" s="79">
        <f t="shared" si="0"/>
        <v>2015</v>
      </c>
      <c r="L5" s="79">
        <f t="shared" si="0"/>
        <v>2016</v>
      </c>
      <c r="M5" s="79">
        <f t="shared" si="0"/>
        <v>2017</v>
      </c>
      <c r="N5" s="80">
        <f t="shared" si="0"/>
        <v>2018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</row>
    <row r="6" spans="1:77" x14ac:dyDescent="0.35">
      <c r="A6" s="68" t="s">
        <v>54</v>
      </c>
      <c r="B6" s="103"/>
      <c r="C6" s="103"/>
      <c r="D6" s="103"/>
      <c r="E6" s="103">
        <v>80000</v>
      </c>
      <c r="F6" s="103">
        <f>E6</f>
        <v>80000</v>
      </c>
      <c r="G6" s="103">
        <f t="shared" ref="G6:N6" si="1">F6</f>
        <v>80000</v>
      </c>
      <c r="H6" s="103">
        <f t="shared" si="1"/>
        <v>80000</v>
      </c>
      <c r="I6" s="103">
        <f t="shared" si="1"/>
        <v>80000</v>
      </c>
      <c r="J6" s="103">
        <f t="shared" si="1"/>
        <v>80000</v>
      </c>
      <c r="K6" s="103">
        <f t="shared" si="1"/>
        <v>80000</v>
      </c>
      <c r="L6" s="103">
        <f t="shared" si="1"/>
        <v>80000</v>
      </c>
      <c r="M6" s="103">
        <f t="shared" si="1"/>
        <v>80000</v>
      </c>
      <c r="N6" s="103">
        <f t="shared" si="1"/>
        <v>80000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</row>
    <row r="7" spans="1:77" x14ac:dyDescent="0.35">
      <c r="A7" s="68" t="s">
        <v>55</v>
      </c>
      <c r="B7" s="103"/>
      <c r="C7" s="103"/>
      <c r="D7" s="103"/>
      <c r="E7" s="120">
        <v>0.6</v>
      </c>
      <c r="F7" s="120">
        <v>0.65</v>
      </c>
      <c r="G7" s="120">
        <v>0.7</v>
      </c>
      <c r="H7" s="120">
        <v>0.75</v>
      </c>
      <c r="I7" s="120">
        <v>0.8</v>
      </c>
      <c r="J7" s="120">
        <v>0.85</v>
      </c>
      <c r="K7" s="120">
        <v>0.85</v>
      </c>
      <c r="L7" s="120">
        <v>0.85</v>
      </c>
      <c r="M7" s="120">
        <v>0.85</v>
      </c>
      <c r="N7" s="120">
        <v>0.85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</row>
    <row r="8" spans="1:77" x14ac:dyDescent="0.35">
      <c r="A8" s="72" t="s">
        <v>56</v>
      </c>
      <c r="B8" s="116"/>
      <c r="C8" s="103"/>
      <c r="D8" s="116"/>
      <c r="E8" s="116">
        <f>E7*E6</f>
        <v>48000</v>
      </c>
      <c r="F8" s="116">
        <f t="shared" ref="F8:N8" si="2">F7*F6</f>
        <v>52000</v>
      </c>
      <c r="G8" s="116">
        <f t="shared" si="2"/>
        <v>56000</v>
      </c>
      <c r="H8" s="116">
        <f t="shared" si="2"/>
        <v>60000</v>
      </c>
      <c r="I8" s="116">
        <f t="shared" si="2"/>
        <v>64000</v>
      </c>
      <c r="J8" s="116">
        <f t="shared" si="2"/>
        <v>68000</v>
      </c>
      <c r="K8" s="116">
        <f t="shared" si="2"/>
        <v>68000</v>
      </c>
      <c r="L8" s="116">
        <f t="shared" si="2"/>
        <v>68000</v>
      </c>
      <c r="M8" s="116">
        <f t="shared" si="2"/>
        <v>68000</v>
      </c>
      <c r="N8" s="116">
        <f t="shared" si="2"/>
        <v>68000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</row>
    <row r="9" spans="1:77" x14ac:dyDescent="0.35">
      <c r="A9" s="68" t="s">
        <v>57</v>
      </c>
      <c r="B9" s="103"/>
      <c r="C9" s="103"/>
      <c r="D9" s="111">
        <v>0.02</v>
      </c>
      <c r="E9" s="121">
        <v>1.77</v>
      </c>
      <c r="F9" s="121">
        <f t="shared" ref="F9:N9" si="3">E9*(1+$D9)</f>
        <v>1.8054000000000001</v>
      </c>
      <c r="G9" s="121">
        <f t="shared" si="3"/>
        <v>1.8415080000000001</v>
      </c>
      <c r="H9" s="121">
        <f t="shared" si="3"/>
        <v>1.8783381600000002</v>
      </c>
      <c r="I9" s="121">
        <f t="shared" si="3"/>
        <v>1.9159049232000003</v>
      </c>
      <c r="J9" s="121">
        <f t="shared" si="3"/>
        <v>1.9542230216640004</v>
      </c>
      <c r="K9" s="121">
        <f t="shared" si="3"/>
        <v>1.9933074820972805</v>
      </c>
      <c r="L9" s="121">
        <f t="shared" si="3"/>
        <v>2.0331736317392259</v>
      </c>
      <c r="M9" s="121">
        <f t="shared" si="3"/>
        <v>2.0738371043740105</v>
      </c>
      <c r="N9" s="121">
        <f t="shared" si="3"/>
        <v>2.1153138464614907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</row>
    <row r="10" spans="1:77" x14ac:dyDescent="0.35">
      <c r="A10" s="72" t="s">
        <v>1</v>
      </c>
      <c r="B10" s="116"/>
      <c r="C10" s="116"/>
      <c r="D10" s="116"/>
      <c r="E10" s="116">
        <f>E9*E8</f>
        <v>84960</v>
      </c>
      <c r="F10" s="116">
        <f t="shared" ref="F10:N10" si="4">F9*F8</f>
        <v>93880.8</v>
      </c>
      <c r="G10" s="116">
        <f t="shared" si="4"/>
        <v>103124.448</v>
      </c>
      <c r="H10" s="116">
        <f t="shared" si="4"/>
        <v>112700.28960000002</v>
      </c>
      <c r="I10" s="116">
        <f t="shared" si="4"/>
        <v>122617.91508480001</v>
      </c>
      <c r="J10" s="116">
        <f t="shared" si="4"/>
        <v>132887.16547315204</v>
      </c>
      <c r="K10" s="116">
        <f t="shared" si="4"/>
        <v>135544.90878261506</v>
      </c>
      <c r="L10" s="116">
        <f t="shared" si="4"/>
        <v>138255.80695826738</v>
      </c>
      <c r="M10" s="116">
        <f t="shared" si="4"/>
        <v>141020.92309743271</v>
      </c>
      <c r="N10" s="116">
        <f t="shared" si="4"/>
        <v>143841.34155938137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</row>
    <row r="11" spans="1:77" x14ac:dyDescent="0.35">
      <c r="A11" s="68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</row>
    <row r="12" spans="1:77" x14ac:dyDescent="0.35">
      <c r="A12" s="77" t="s">
        <v>58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</row>
    <row r="13" spans="1:77" x14ac:dyDescent="0.35">
      <c r="A13" s="68" t="s">
        <v>59</v>
      </c>
      <c r="B13" s="103"/>
      <c r="C13" s="103"/>
      <c r="D13" s="111">
        <v>0.01</v>
      </c>
      <c r="E13" s="122">
        <v>0.94</v>
      </c>
      <c r="F13" s="122">
        <f t="shared" ref="F13:N15" si="5">E13*(1+$D13)</f>
        <v>0.94939999999999991</v>
      </c>
      <c r="G13" s="122">
        <f t="shared" si="5"/>
        <v>0.95889399999999991</v>
      </c>
      <c r="H13" s="122">
        <f t="shared" si="5"/>
        <v>0.9684829399999999</v>
      </c>
      <c r="I13" s="122">
        <f t="shared" si="5"/>
        <v>0.97816776939999994</v>
      </c>
      <c r="J13" s="122">
        <f t="shared" si="5"/>
        <v>0.9879494470939999</v>
      </c>
      <c r="K13" s="122">
        <f t="shared" si="5"/>
        <v>0.99782894156493995</v>
      </c>
      <c r="L13" s="122">
        <f t="shared" si="5"/>
        <v>1.0078072309805894</v>
      </c>
      <c r="M13" s="122">
        <f t="shared" si="5"/>
        <v>1.0178853032903954</v>
      </c>
      <c r="N13" s="122">
        <f t="shared" si="5"/>
        <v>1.0280641563232993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</row>
    <row r="14" spans="1:77" x14ac:dyDescent="0.35">
      <c r="A14" s="68" t="s">
        <v>60</v>
      </c>
      <c r="B14" s="103"/>
      <c r="C14" s="103"/>
      <c r="D14" s="111">
        <v>0.03</v>
      </c>
      <c r="E14" s="103">
        <v>3600</v>
      </c>
      <c r="F14" s="103">
        <f t="shared" si="5"/>
        <v>3708</v>
      </c>
      <c r="G14" s="103">
        <f t="shared" si="5"/>
        <v>3819.2400000000002</v>
      </c>
      <c r="H14" s="103">
        <f t="shared" si="5"/>
        <v>3933.8172000000004</v>
      </c>
      <c r="I14" s="103">
        <f t="shared" si="5"/>
        <v>4051.8317160000006</v>
      </c>
      <c r="J14" s="103">
        <f t="shared" si="5"/>
        <v>4173.3866674800011</v>
      </c>
      <c r="K14" s="103">
        <f>J14*(1+$D14)</f>
        <v>4298.5882675044013</v>
      </c>
      <c r="L14" s="103">
        <f t="shared" si="5"/>
        <v>4427.5459155295339</v>
      </c>
      <c r="M14" s="103">
        <f t="shared" si="5"/>
        <v>4560.3722929954201</v>
      </c>
      <c r="N14" s="103">
        <f t="shared" si="5"/>
        <v>4697.1834617852828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</row>
    <row r="15" spans="1:77" x14ac:dyDescent="0.35">
      <c r="A15" s="68" t="s">
        <v>61</v>
      </c>
      <c r="B15" s="103"/>
      <c r="C15" s="103"/>
      <c r="D15" s="111">
        <v>0.03</v>
      </c>
      <c r="E15" s="103">
        <f>Investment!H11</f>
        <v>2250</v>
      </c>
      <c r="F15" s="103">
        <f t="shared" si="5"/>
        <v>2317.5</v>
      </c>
      <c r="G15" s="103">
        <f t="shared" si="5"/>
        <v>2387.0250000000001</v>
      </c>
      <c r="H15" s="103">
        <f t="shared" si="5"/>
        <v>2458.6357500000004</v>
      </c>
      <c r="I15" s="103">
        <f t="shared" si="5"/>
        <v>2532.3948225000004</v>
      </c>
      <c r="J15" s="103">
        <f t="shared" si="5"/>
        <v>2608.3666671750007</v>
      </c>
      <c r="K15" s="103">
        <f t="shared" si="5"/>
        <v>2686.6176671902508</v>
      </c>
      <c r="L15" s="103">
        <f t="shared" si="5"/>
        <v>2767.2161972059585</v>
      </c>
      <c r="M15" s="103">
        <f t="shared" si="5"/>
        <v>2850.2326831221371</v>
      </c>
      <c r="N15" s="103">
        <f t="shared" si="5"/>
        <v>2935.7396636158014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</row>
    <row r="16" spans="1:77" x14ac:dyDescent="0.35">
      <c r="A16" s="68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</row>
    <row r="17" spans="1:77" x14ac:dyDescent="0.35">
      <c r="A17" s="77" t="s">
        <v>62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1:77" x14ac:dyDescent="0.35">
      <c r="A18" s="68" t="s">
        <v>63</v>
      </c>
      <c r="B18" s="103"/>
      <c r="C18" s="103"/>
      <c r="D18" s="103"/>
      <c r="E18" s="103">
        <v>4</v>
      </c>
      <c r="F18" s="103">
        <v>4</v>
      </c>
      <c r="G18" s="103">
        <v>6</v>
      </c>
      <c r="H18" s="103">
        <v>6</v>
      </c>
      <c r="I18" s="103">
        <v>8</v>
      </c>
      <c r="J18" s="103">
        <v>8</v>
      </c>
      <c r="K18" s="103">
        <v>8</v>
      </c>
      <c r="L18" s="103">
        <v>8</v>
      </c>
      <c r="M18" s="103">
        <v>8</v>
      </c>
      <c r="N18" s="103">
        <v>8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</row>
    <row r="19" spans="1:77" x14ac:dyDescent="0.35">
      <c r="A19" s="68" t="s">
        <v>64</v>
      </c>
      <c r="B19" s="103"/>
      <c r="C19" s="103"/>
      <c r="D19" s="111">
        <v>3.5000000000000003E-2</v>
      </c>
      <c r="E19" s="123">
        <v>160</v>
      </c>
      <c r="F19" s="123">
        <f t="shared" ref="F19:N19" si="6">E19*(1+$D19)</f>
        <v>165.6</v>
      </c>
      <c r="G19" s="123">
        <f t="shared" si="6"/>
        <v>171.39599999999999</v>
      </c>
      <c r="H19" s="123">
        <f t="shared" si="6"/>
        <v>177.39485999999997</v>
      </c>
      <c r="I19" s="123">
        <f t="shared" si="6"/>
        <v>183.60368009999996</v>
      </c>
      <c r="J19" s="123">
        <f t="shared" si="6"/>
        <v>190.02980890349994</v>
      </c>
      <c r="K19" s="123">
        <f t="shared" si="6"/>
        <v>196.68085221512243</v>
      </c>
      <c r="L19" s="123">
        <f t="shared" si="6"/>
        <v>203.5646820426517</v>
      </c>
      <c r="M19" s="123">
        <f t="shared" si="6"/>
        <v>210.6894459141445</v>
      </c>
      <c r="N19" s="123">
        <f t="shared" si="6"/>
        <v>218.06357652113954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</row>
    <row r="20" spans="1:77" x14ac:dyDescent="0.35">
      <c r="A20" s="72" t="s">
        <v>65</v>
      </c>
      <c r="B20" s="116"/>
      <c r="C20" s="103"/>
      <c r="D20" s="116"/>
      <c r="E20" s="124">
        <f>E19*E18</f>
        <v>640</v>
      </c>
      <c r="F20" s="124">
        <f t="shared" ref="F20:N20" si="7">F19*F18</f>
        <v>662.4</v>
      </c>
      <c r="G20" s="124">
        <f t="shared" si="7"/>
        <v>1028.376</v>
      </c>
      <c r="H20" s="124">
        <f t="shared" si="7"/>
        <v>1064.3691599999997</v>
      </c>
      <c r="I20" s="124">
        <f t="shared" si="7"/>
        <v>1468.8294407999997</v>
      </c>
      <c r="J20" s="124">
        <f t="shared" si="7"/>
        <v>1520.2384712279995</v>
      </c>
      <c r="K20" s="124">
        <f t="shared" si="7"/>
        <v>1573.4468177209794</v>
      </c>
      <c r="L20" s="124">
        <f t="shared" si="7"/>
        <v>1628.5174563412136</v>
      </c>
      <c r="M20" s="124">
        <f t="shared" si="7"/>
        <v>1685.515567313156</v>
      </c>
      <c r="N20" s="124">
        <f t="shared" si="7"/>
        <v>1744.5086121691163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</row>
    <row r="21" spans="1:77" x14ac:dyDescent="0.35">
      <c r="A21" s="6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</row>
    <row r="22" spans="1:77" x14ac:dyDescent="0.35">
      <c r="A22" s="77" t="s">
        <v>66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</row>
    <row r="23" spans="1:77" x14ac:dyDescent="0.35">
      <c r="A23" s="68" t="s">
        <v>67</v>
      </c>
      <c r="B23" s="103"/>
      <c r="C23" s="103"/>
      <c r="D23" s="111">
        <v>3.5000000000000003E-2</v>
      </c>
      <c r="E23" s="122">
        <v>20</v>
      </c>
      <c r="F23" s="122">
        <f t="shared" ref="F23:N23" si="8">E23*(1+$D23)</f>
        <v>20.7</v>
      </c>
      <c r="G23" s="122">
        <f t="shared" si="8"/>
        <v>21.424499999999998</v>
      </c>
      <c r="H23" s="122">
        <f t="shared" si="8"/>
        <v>22.174357499999996</v>
      </c>
      <c r="I23" s="122">
        <f t="shared" si="8"/>
        <v>22.950460012499995</v>
      </c>
      <c r="J23" s="122">
        <f t="shared" si="8"/>
        <v>23.753726112937493</v>
      </c>
      <c r="K23" s="122">
        <f t="shared" si="8"/>
        <v>24.585106526890304</v>
      </c>
      <c r="L23" s="122">
        <f t="shared" si="8"/>
        <v>25.445585255331462</v>
      </c>
      <c r="M23" s="122">
        <f t="shared" si="8"/>
        <v>26.336180739268062</v>
      </c>
      <c r="N23" s="122">
        <f t="shared" si="8"/>
        <v>27.257947065142442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</row>
    <row r="24" spans="1:77" x14ac:dyDescent="0.35">
      <c r="A24" s="68" t="s">
        <v>68</v>
      </c>
      <c r="B24" s="103"/>
      <c r="C24" s="103"/>
      <c r="D24" s="103"/>
      <c r="E24" s="125">
        <v>2000</v>
      </c>
      <c r="F24" s="125">
        <v>2000</v>
      </c>
      <c r="G24" s="125">
        <v>2000</v>
      </c>
      <c r="H24" s="125">
        <v>2000</v>
      </c>
      <c r="I24" s="125">
        <v>2000</v>
      </c>
      <c r="J24" s="125">
        <v>2000</v>
      </c>
      <c r="K24" s="125">
        <v>2000</v>
      </c>
      <c r="L24" s="125">
        <v>2000</v>
      </c>
      <c r="M24" s="125">
        <v>2000</v>
      </c>
      <c r="N24" s="125">
        <v>2000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</row>
    <row r="25" spans="1:77" x14ac:dyDescent="0.35">
      <c r="A25" s="72" t="s">
        <v>69</v>
      </c>
      <c r="B25" s="116"/>
      <c r="C25" s="103"/>
      <c r="D25" s="116"/>
      <c r="E25" s="116">
        <f>E24*E23</f>
        <v>40000</v>
      </c>
      <c r="F25" s="116">
        <f t="shared" ref="F25:N25" si="9">F24*F23</f>
        <v>41400</v>
      </c>
      <c r="G25" s="116">
        <f t="shared" si="9"/>
        <v>42849</v>
      </c>
      <c r="H25" s="116">
        <f t="shared" si="9"/>
        <v>44348.714999999989</v>
      </c>
      <c r="I25" s="116">
        <f t="shared" si="9"/>
        <v>45900.920024999992</v>
      </c>
      <c r="J25" s="116">
        <f t="shared" si="9"/>
        <v>47507.452225874986</v>
      </c>
      <c r="K25" s="116">
        <f t="shared" si="9"/>
        <v>49170.213053780608</v>
      </c>
      <c r="L25" s="116">
        <f t="shared" si="9"/>
        <v>50891.170510662923</v>
      </c>
      <c r="M25" s="116">
        <f t="shared" si="9"/>
        <v>52672.361478536128</v>
      </c>
      <c r="N25" s="116">
        <f t="shared" si="9"/>
        <v>54515.894130284883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</row>
    <row r="26" spans="1:77" x14ac:dyDescent="0.35">
      <c r="A26" s="68" t="s">
        <v>70</v>
      </c>
      <c r="B26" s="103"/>
      <c r="C26" s="103"/>
      <c r="D26" s="103"/>
      <c r="E26" s="103">
        <v>450</v>
      </c>
      <c r="F26" s="103">
        <f t="shared" ref="F26:N26" si="10">((F8*1000)/55)/F24</f>
        <v>472.72727272727269</v>
      </c>
      <c r="G26" s="103">
        <f t="shared" si="10"/>
        <v>509.09090909090912</v>
      </c>
      <c r="H26" s="103">
        <f t="shared" si="10"/>
        <v>545.45454545454538</v>
      </c>
      <c r="I26" s="103">
        <f t="shared" si="10"/>
        <v>581.81818181818176</v>
      </c>
      <c r="J26" s="103">
        <f t="shared" si="10"/>
        <v>618.18181818181824</v>
      </c>
      <c r="K26" s="103">
        <f t="shared" si="10"/>
        <v>618.18181818181824</v>
      </c>
      <c r="L26" s="103">
        <f t="shared" si="10"/>
        <v>618.18181818181824</v>
      </c>
      <c r="M26" s="103">
        <f t="shared" si="10"/>
        <v>618.18181818181824</v>
      </c>
      <c r="N26" s="103">
        <f t="shared" si="10"/>
        <v>618.18181818181824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</row>
    <row r="27" spans="1:77" x14ac:dyDescent="0.35">
      <c r="A27" s="72" t="s">
        <v>71</v>
      </c>
      <c r="B27" s="116"/>
      <c r="C27" s="103"/>
      <c r="D27" s="116"/>
      <c r="E27" s="124">
        <f>(E26*E25)/1000</f>
        <v>18000</v>
      </c>
      <c r="F27" s="124">
        <f t="shared" ref="F27:N27" si="11">(F26*F25)/1000</f>
        <v>19570.909090909088</v>
      </c>
      <c r="G27" s="124">
        <f t="shared" si="11"/>
        <v>21814.036363636362</v>
      </c>
      <c r="H27" s="124">
        <f t="shared" si="11"/>
        <v>24190.208181818172</v>
      </c>
      <c r="I27" s="124">
        <f t="shared" si="11"/>
        <v>26705.989832727264</v>
      </c>
      <c r="J27" s="124">
        <f t="shared" si="11"/>
        <v>29368.243194177267</v>
      </c>
      <c r="K27" s="124">
        <f t="shared" si="11"/>
        <v>30396.131705973468</v>
      </c>
      <c r="L27" s="124">
        <f t="shared" si="11"/>
        <v>31459.996315682536</v>
      </c>
      <c r="M27" s="124">
        <f t="shared" si="11"/>
        <v>32561.096186731429</v>
      </c>
      <c r="N27" s="124">
        <f t="shared" si="11"/>
        <v>33700.734553267022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</row>
    <row r="28" spans="1:77" x14ac:dyDescent="0.35">
      <c r="A28" s="68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</row>
    <row r="29" spans="1:77" x14ac:dyDescent="0.35">
      <c r="A29" s="72" t="s">
        <v>72</v>
      </c>
      <c r="B29" s="116"/>
      <c r="C29" s="103"/>
      <c r="D29" s="116"/>
      <c r="E29" s="124">
        <f>E27+E20</f>
        <v>18640</v>
      </c>
      <c r="F29" s="124">
        <f t="shared" ref="F29:N29" si="12">F27+F20</f>
        <v>20233.30909090909</v>
      </c>
      <c r="G29" s="124">
        <f t="shared" si="12"/>
        <v>22842.412363636362</v>
      </c>
      <c r="H29" s="124">
        <f t="shared" si="12"/>
        <v>25254.577341818171</v>
      </c>
      <c r="I29" s="124">
        <f t="shared" si="12"/>
        <v>28174.819273527264</v>
      </c>
      <c r="J29" s="124">
        <f t="shared" si="12"/>
        <v>30888.481665405267</v>
      </c>
      <c r="K29" s="124">
        <f t="shared" si="12"/>
        <v>31969.578523694447</v>
      </c>
      <c r="L29" s="124">
        <f t="shared" si="12"/>
        <v>33088.513772023747</v>
      </c>
      <c r="M29" s="124">
        <f t="shared" si="12"/>
        <v>34246.611754044585</v>
      </c>
      <c r="N29" s="124">
        <f t="shared" si="12"/>
        <v>35445.243165436135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</row>
    <row r="30" spans="1:77" x14ac:dyDescent="0.35">
      <c r="A30" s="72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</row>
    <row r="31" spans="1:77" x14ac:dyDescent="0.35">
      <c r="A31" s="68" t="s">
        <v>73</v>
      </c>
      <c r="B31" s="103"/>
      <c r="C31" s="103"/>
      <c r="D31" s="103"/>
      <c r="E31" s="126">
        <f>AVERAGE(IS!E22:I22)</f>
        <v>7.7612806673284712E-2</v>
      </c>
      <c r="F31" s="126">
        <f>E31</f>
        <v>7.7612806673284712E-2</v>
      </c>
      <c r="G31" s="126">
        <f t="shared" ref="G31:N31" si="13">F31</f>
        <v>7.7612806673284712E-2</v>
      </c>
      <c r="H31" s="126">
        <f t="shared" si="13"/>
        <v>7.7612806673284712E-2</v>
      </c>
      <c r="I31" s="126">
        <f t="shared" si="13"/>
        <v>7.7612806673284712E-2</v>
      </c>
      <c r="J31" s="126">
        <f t="shared" si="13"/>
        <v>7.7612806673284712E-2</v>
      </c>
      <c r="K31" s="126">
        <f t="shared" si="13"/>
        <v>7.7612806673284712E-2</v>
      </c>
      <c r="L31" s="126">
        <f t="shared" si="13"/>
        <v>7.7612806673284712E-2</v>
      </c>
      <c r="M31" s="126">
        <f t="shared" si="13"/>
        <v>7.7612806673284712E-2</v>
      </c>
      <c r="N31" s="126">
        <f t="shared" si="13"/>
        <v>7.7612806673284712E-2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</row>
    <row r="32" spans="1:77" x14ac:dyDescent="0.35">
      <c r="A32" s="68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</row>
    <row r="33" spans="1:77" x14ac:dyDescent="0.35">
      <c r="A33" s="77" t="s">
        <v>74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</row>
    <row r="34" spans="1:77" x14ac:dyDescent="0.35">
      <c r="A34" s="68" t="s">
        <v>75</v>
      </c>
      <c r="B34" s="103"/>
      <c r="C34" s="103"/>
      <c r="D34" s="103"/>
      <c r="E34" s="106">
        <f>AVERAGE(BS!E32:I32)</f>
        <v>47.554680074084608</v>
      </c>
      <c r="F34" s="106">
        <f>E34</f>
        <v>47.554680074084608</v>
      </c>
      <c r="G34" s="106">
        <f t="shared" ref="G34:N36" si="14">F34</f>
        <v>47.554680074084608</v>
      </c>
      <c r="H34" s="106">
        <f t="shared" si="14"/>
        <v>47.554680074084608</v>
      </c>
      <c r="I34" s="106">
        <f t="shared" si="14"/>
        <v>47.554680074084608</v>
      </c>
      <c r="J34" s="106">
        <f t="shared" si="14"/>
        <v>47.554680074084608</v>
      </c>
      <c r="K34" s="106">
        <f t="shared" si="14"/>
        <v>47.554680074084608</v>
      </c>
      <c r="L34" s="106">
        <f t="shared" si="14"/>
        <v>47.554680074084608</v>
      </c>
      <c r="M34" s="106">
        <f t="shared" si="14"/>
        <v>47.554680074084608</v>
      </c>
      <c r="N34" s="106">
        <f t="shared" si="14"/>
        <v>47.554680074084608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</row>
    <row r="35" spans="1:77" x14ac:dyDescent="0.35">
      <c r="A35" s="68" t="s">
        <v>76</v>
      </c>
      <c r="B35" s="103"/>
      <c r="C35" s="116"/>
      <c r="D35" s="103"/>
      <c r="E35" s="106">
        <f>AVERAGE(BS!E33:I33)</f>
        <v>37.562475186003134</v>
      </c>
      <c r="F35" s="106">
        <f>E35</f>
        <v>37.562475186003134</v>
      </c>
      <c r="G35" s="106">
        <f t="shared" si="14"/>
        <v>37.562475186003134</v>
      </c>
      <c r="H35" s="106">
        <f t="shared" si="14"/>
        <v>37.562475186003134</v>
      </c>
      <c r="I35" s="106">
        <f t="shared" si="14"/>
        <v>37.562475186003134</v>
      </c>
      <c r="J35" s="106">
        <f t="shared" si="14"/>
        <v>37.562475186003134</v>
      </c>
      <c r="K35" s="106">
        <f t="shared" si="14"/>
        <v>37.562475186003134</v>
      </c>
      <c r="L35" s="106">
        <f t="shared" si="14"/>
        <v>37.562475186003134</v>
      </c>
      <c r="M35" s="106">
        <f t="shared" si="14"/>
        <v>37.562475186003134</v>
      </c>
      <c r="N35" s="106">
        <f t="shared" si="14"/>
        <v>37.562475186003134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</row>
    <row r="36" spans="1:77" x14ac:dyDescent="0.35">
      <c r="A36" s="68" t="s">
        <v>77</v>
      </c>
      <c r="B36" s="103"/>
      <c r="C36" s="103"/>
      <c r="D36" s="103"/>
      <c r="E36" s="106">
        <f>AVERAGE(BS!E34:I34)</f>
        <v>34.20266885974273</v>
      </c>
      <c r="F36" s="106">
        <f>E36</f>
        <v>34.20266885974273</v>
      </c>
      <c r="G36" s="106">
        <f t="shared" si="14"/>
        <v>34.20266885974273</v>
      </c>
      <c r="H36" s="106">
        <f t="shared" si="14"/>
        <v>34.20266885974273</v>
      </c>
      <c r="I36" s="106">
        <f t="shared" si="14"/>
        <v>34.20266885974273</v>
      </c>
      <c r="J36" s="106">
        <f t="shared" si="14"/>
        <v>34.20266885974273</v>
      </c>
      <c r="K36" s="106">
        <f t="shared" si="14"/>
        <v>34.20266885974273</v>
      </c>
      <c r="L36" s="106">
        <f t="shared" si="14"/>
        <v>34.20266885974273</v>
      </c>
      <c r="M36" s="106">
        <f t="shared" si="14"/>
        <v>34.20266885974273</v>
      </c>
      <c r="N36" s="106">
        <f t="shared" si="14"/>
        <v>34.20266885974273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</row>
    <row r="37" spans="1:77" x14ac:dyDescent="0.35">
      <c r="A37" s="72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</row>
    <row r="38" spans="1:77" x14ac:dyDescent="0.35">
      <c r="A38" s="81" t="s">
        <v>78</v>
      </c>
      <c r="B38" s="127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</row>
    <row r="39" spans="1:77" x14ac:dyDescent="0.35">
      <c r="A39" s="72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</row>
    <row r="40" spans="1:77" x14ac:dyDescent="0.35">
      <c r="A40" s="68" t="s">
        <v>79</v>
      </c>
      <c r="B40" s="103"/>
      <c r="C40" s="103"/>
      <c r="D40" s="103"/>
      <c r="E40" s="122">
        <f>E27/E8</f>
        <v>0.375</v>
      </c>
      <c r="F40" s="122">
        <f t="shared" ref="F40:N40" si="15">F27/F8</f>
        <v>0.37636363636363629</v>
      </c>
      <c r="G40" s="122">
        <f t="shared" si="15"/>
        <v>0.38953636363636363</v>
      </c>
      <c r="H40" s="122">
        <f t="shared" si="15"/>
        <v>0.40317013636363619</v>
      </c>
      <c r="I40" s="122">
        <f t="shared" si="15"/>
        <v>0.41728109113636352</v>
      </c>
      <c r="J40" s="122">
        <f t="shared" si="15"/>
        <v>0.43188592932613629</v>
      </c>
      <c r="K40" s="122">
        <f t="shared" si="15"/>
        <v>0.44700193685255102</v>
      </c>
      <c r="L40" s="122">
        <f t="shared" si="15"/>
        <v>0.46264700464239022</v>
      </c>
      <c r="M40" s="122">
        <f t="shared" si="15"/>
        <v>0.47883964980487398</v>
      </c>
      <c r="N40" s="122">
        <f t="shared" si="15"/>
        <v>0.49559903754804446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</row>
    <row r="41" spans="1:77" x14ac:dyDescent="0.35">
      <c r="A41" s="68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</row>
    <row r="42" spans="1:77" x14ac:dyDescent="0.35">
      <c r="A42" s="68" t="s">
        <v>80</v>
      </c>
      <c r="B42" s="103"/>
      <c r="C42" s="103"/>
      <c r="D42" s="103"/>
      <c r="E42" s="122">
        <f>E8/(E24*E26)</f>
        <v>5.3333333333333337E-2</v>
      </c>
      <c r="F42" s="122">
        <f t="shared" ref="F42:N42" si="16">F8/(F24*F26)</f>
        <v>5.5E-2</v>
      </c>
      <c r="G42" s="122">
        <f t="shared" si="16"/>
        <v>5.5E-2</v>
      </c>
      <c r="H42" s="122">
        <f t="shared" si="16"/>
        <v>5.5000000000000007E-2</v>
      </c>
      <c r="I42" s="122">
        <f t="shared" si="16"/>
        <v>5.5000000000000007E-2</v>
      </c>
      <c r="J42" s="122">
        <f t="shared" si="16"/>
        <v>5.4999999999999993E-2</v>
      </c>
      <c r="K42" s="122">
        <f t="shared" si="16"/>
        <v>5.4999999999999993E-2</v>
      </c>
      <c r="L42" s="122">
        <f t="shared" si="16"/>
        <v>5.4999999999999993E-2</v>
      </c>
      <c r="M42" s="122">
        <f t="shared" si="16"/>
        <v>5.4999999999999993E-2</v>
      </c>
      <c r="N42" s="122">
        <f t="shared" si="16"/>
        <v>5.4999999999999993E-2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</row>
    <row r="43" spans="1:77" x14ac:dyDescent="0.35">
      <c r="A43" s="68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</row>
    <row r="44" spans="1:77" x14ac:dyDescent="0.35">
      <c r="A44" s="68"/>
      <c r="B44" s="103" t="s">
        <v>81</v>
      </c>
      <c r="C44" s="128"/>
      <c r="D44" s="103"/>
      <c r="E44" s="103">
        <f>E34*(E$10/365)</f>
        <v>11069.166079710214</v>
      </c>
      <c r="F44" s="103">
        <f t="shared" ref="F44:N44" si="17">F34*(F$10/365)</f>
        <v>12231.428518079789</v>
      </c>
      <c r="G44" s="103">
        <f t="shared" si="17"/>
        <v>13435.753787552258</v>
      </c>
      <c r="H44" s="103">
        <f t="shared" si="17"/>
        <v>14683.359496396399</v>
      </c>
      <c r="I44" s="103">
        <f t="shared" si="17"/>
        <v>15975.495132079281</v>
      </c>
      <c r="J44" s="103">
        <f t="shared" si="17"/>
        <v>17313.442849390925</v>
      </c>
      <c r="K44" s="103">
        <f t="shared" si="17"/>
        <v>17659.711706378741</v>
      </c>
      <c r="L44" s="103">
        <f t="shared" si="17"/>
        <v>18012.905940506316</v>
      </c>
      <c r="M44" s="103">
        <f t="shared" si="17"/>
        <v>18373.164059316441</v>
      </c>
      <c r="N44" s="103">
        <f t="shared" si="17"/>
        <v>18740.627340502771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</row>
    <row r="45" spans="1:77" x14ac:dyDescent="0.35">
      <c r="A45" s="68"/>
      <c r="B45" s="103" t="s">
        <v>82</v>
      </c>
      <c r="C45" s="103"/>
      <c r="D45" s="103"/>
      <c r="E45" s="103">
        <f>E35*(E$10/365)</f>
        <v>8743.3092926104837</v>
      </c>
      <c r="F45" s="103">
        <f t="shared" ref="F45:N45" si="18">F35*(F$10/365)</f>
        <v>9661.3567683345846</v>
      </c>
      <c r="G45" s="103">
        <f t="shared" si="18"/>
        <v>10612.628819370604</v>
      </c>
      <c r="H45" s="103">
        <f t="shared" si="18"/>
        <v>11598.087209740734</v>
      </c>
      <c r="I45" s="103">
        <f t="shared" si="18"/>
        <v>12618.718884197917</v>
      </c>
      <c r="J45" s="103">
        <f t="shared" si="18"/>
        <v>13675.536590749496</v>
      </c>
      <c r="K45" s="103">
        <f t="shared" si="18"/>
        <v>13949.047322564484</v>
      </c>
      <c r="L45" s="103">
        <f t="shared" si="18"/>
        <v>14228.028269015775</v>
      </c>
      <c r="M45" s="103">
        <f t="shared" si="18"/>
        <v>14512.588834396089</v>
      </c>
      <c r="N45" s="103">
        <f t="shared" si="18"/>
        <v>14802.840611084011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</row>
    <row r="46" spans="1:77" x14ac:dyDescent="0.35">
      <c r="A46" s="68"/>
      <c r="B46" s="103" t="s">
        <v>83</v>
      </c>
      <c r="C46" s="103"/>
      <c r="D46" s="103"/>
      <c r="E46" s="103">
        <f>E36*-SUM(Model!C8:C12)/365</f>
        <v>7140.7661162328486</v>
      </c>
      <c r="F46" s="103">
        <f>F36*-SUM(Model!D8:D12)/365</f>
        <v>7769.5308714083612</v>
      </c>
      <c r="G46" s="103">
        <f>G36*-SUM(Model!E8:E12)/365</f>
        <v>8503.8628969149177</v>
      </c>
      <c r="H46" s="103">
        <f>H36*-SUM(Model!F8:F12)/365</f>
        <v>9230.3157082370763</v>
      </c>
      <c r="I46" s="103">
        <f>I36*-SUM(Model!G8:G12)/365</f>
        <v>10015.150867327806</v>
      </c>
      <c r="J46" s="103">
        <f>J36*-SUM(Model!H8:H12)/365</f>
        <v>10791.602022968902</v>
      </c>
      <c r="K46" s="103">
        <f>K36*-SUM(Model!I8:I12)/365</f>
        <v>10994.25330449421</v>
      </c>
      <c r="L46" s="103">
        <f>L36*-SUM(Model!J8:J12)/365</f>
        <v>11202.038315030444</v>
      </c>
      <c r="M46" s="103">
        <f>M36*-SUM(Model!K8:K12)/365</f>
        <v>11415.112338584984</v>
      </c>
      <c r="N46" s="103">
        <f>N36*-SUM(Model!L8:L12)/365</f>
        <v>11633.635734958671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</row>
    <row r="47" spans="1:77" x14ac:dyDescent="0.35">
      <c r="A47" s="68"/>
      <c r="B47" s="103"/>
      <c r="C47" s="103"/>
      <c r="D47" s="103"/>
      <c r="E47" s="127">
        <f>E44+E45-E46</f>
        <v>12671.709256087848</v>
      </c>
      <c r="F47" s="127">
        <f t="shared" ref="F47:N47" si="19">F44+F45-F46</f>
        <v>14123.254415006009</v>
      </c>
      <c r="G47" s="127">
        <f t="shared" si="19"/>
        <v>15544.519710007942</v>
      </c>
      <c r="H47" s="127">
        <f t="shared" si="19"/>
        <v>17051.130997900058</v>
      </c>
      <c r="I47" s="127">
        <f t="shared" si="19"/>
        <v>18579.06314894939</v>
      </c>
      <c r="J47" s="127">
        <f t="shared" si="19"/>
        <v>20197.377417171519</v>
      </c>
      <c r="K47" s="127">
        <f t="shared" si="19"/>
        <v>20614.505724449016</v>
      </c>
      <c r="L47" s="127">
        <f t="shared" si="19"/>
        <v>21038.895894491649</v>
      </c>
      <c r="M47" s="127">
        <f t="shared" si="19"/>
        <v>21470.640555127546</v>
      </c>
      <c r="N47" s="127">
        <f t="shared" si="19"/>
        <v>21909.832216628114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</row>
    <row r="48" spans="1:77" x14ac:dyDescent="0.35">
      <c r="A48" s="68"/>
      <c r="B48" s="103"/>
      <c r="C48" s="103"/>
      <c r="D48" s="103"/>
      <c r="E48" s="127">
        <f>E47-D47</f>
        <v>12671.709256087848</v>
      </c>
      <c r="F48" s="127">
        <f>F47-E47</f>
        <v>1451.5451589181612</v>
      </c>
      <c r="G48" s="127">
        <f>G47-F47</f>
        <v>1421.2652950019328</v>
      </c>
      <c r="H48" s="127">
        <f t="shared" ref="H48:N48" si="20">H47-G47</f>
        <v>1506.6112878921158</v>
      </c>
      <c r="I48" s="127">
        <f t="shared" si="20"/>
        <v>1527.9321510493319</v>
      </c>
      <c r="J48" s="127">
        <f t="shared" si="20"/>
        <v>1618.3142682221296</v>
      </c>
      <c r="K48" s="127">
        <f t="shared" si="20"/>
        <v>417.12830727749679</v>
      </c>
      <c r="L48" s="127">
        <f t="shared" si="20"/>
        <v>424.39017004263223</v>
      </c>
      <c r="M48" s="127">
        <f t="shared" si="20"/>
        <v>431.74466063589716</v>
      </c>
      <c r="N48" s="127">
        <f t="shared" si="20"/>
        <v>439.19166150056844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</row>
    <row r="49" spans="1:77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</row>
    <row r="50" spans="1:77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</row>
    <row r="51" spans="1:77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</row>
    <row r="52" spans="1:77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</row>
    <row r="53" spans="1:77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</row>
    <row r="54" spans="1:77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</row>
    <row r="55" spans="1:77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</row>
    <row r="56" spans="1:77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</row>
    <row r="57" spans="1:77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1:77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</row>
    <row r="59" spans="1:77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</row>
    <row r="60" spans="1:77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</row>
    <row r="61" spans="1:77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</row>
    <row r="62" spans="1:77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</row>
    <row r="63" spans="1:77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</row>
    <row r="64" spans="1:77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1:77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</row>
    <row r="66" spans="1:77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</row>
    <row r="67" spans="1:77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</row>
    <row r="68" spans="1:77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</row>
    <row r="69" spans="1:77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</row>
    <row r="70" spans="1:77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</row>
    <row r="71" spans="1:77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</row>
    <row r="72" spans="1:77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</row>
    <row r="73" spans="1:77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</row>
    <row r="74" spans="1:77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</row>
    <row r="75" spans="1:77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</row>
    <row r="76" spans="1:77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</row>
    <row r="77" spans="1:77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</row>
    <row r="78" spans="1:77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</row>
    <row r="79" spans="1:77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</row>
    <row r="80" spans="1:77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</row>
    <row r="81" spans="1:77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</row>
    <row r="82" spans="1:77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</row>
    <row r="83" spans="1:77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</row>
    <row r="84" spans="1:77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</row>
    <row r="85" spans="1:77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</row>
    <row r="86" spans="1:77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</row>
    <row r="87" spans="1:77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</row>
    <row r="88" spans="1:77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</row>
    <row r="89" spans="1:77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</row>
    <row r="90" spans="1:77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</row>
    <row r="91" spans="1:77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</row>
    <row r="92" spans="1:77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</row>
    <row r="93" spans="1:77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</row>
    <row r="94" spans="1:77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</row>
    <row r="95" spans="1:77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</row>
    <row r="96" spans="1:77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</row>
    <row r="97" spans="1:77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</row>
    <row r="98" spans="1:77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</row>
    <row r="99" spans="1:77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</row>
    <row r="100" spans="1:77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</row>
    <row r="101" spans="1:77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</row>
    <row r="102" spans="1:77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</row>
    <row r="103" spans="1:77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</row>
    <row r="104" spans="1:77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</row>
    <row r="105" spans="1:77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</row>
    <row r="106" spans="1:77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</row>
    <row r="107" spans="1:77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</row>
    <row r="108" spans="1:77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</row>
    <row r="109" spans="1:77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</row>
    <row r="110" spans="1:77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</row>
    <row r="111" spans="1:77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</row>
    <row r="112" spans="1:77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</row>
    <row r="113" spans="1:77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</row>
    <row r="114" spans="1:77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</row>
    <row r="115" spans="1:77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</row>
    <row r="116" spans="1:77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</row>
    <row r="117" spans="1:77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</row>
    <row r="118" spans="1:77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</row>
    <row r="119" spans="1:77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</row>
    <row r="120" spans="1:77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</row>
    <row r="121" spans="1:77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</row>
    <row r="122" spans="1:77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</row>
    <row r="123" spans="1:77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</row>
    <row r="124" spans="1:77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</row>
    <row r="125" spans="1:77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</row>
    <row r="126" spans="1:77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</row>
    <row r="127" spans="1:77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</row>
    <row r="128" spans="1:77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</row>
    <row r="129" spans="1:77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</row>
    <row r="130" spans="1:77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</row>
  </sheetData>
  <sheetProtection algorithmName="SHA-512" hashValue="3Rf1+biWJN6qxVWIKVon3e30azQ9Ck57sUTybn6xvesEnp+ucH59G6eK8SOiIGdIWpmZR8A2hLQzwkCuQAB6NQ==" saltValue="pIn2GjZCd1BcEx11LlJhB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BH437"/>
  <sheetViews>
    <sheetView workbookViewId="0">
      <selection activeCell="A2" sqref="A2"/>
    </sheetView>
  </sheetViews>
  <sheetFormatPr defaultRowHeight="14.5" x14ac:dyDescent="0.35"/>
  <sheetData>
    <row r="1" spans="1:60" ht="25" x14ac:dyDescent="0.5">
      <c r="A1" s="73" t="s">
        <v>85</v>
      </c>
      <c r="B1" s="82"/>
      <c r="C1" s="82"/>
      <c r="D1" s="82"/>
      <c r="E1" s="74"/>
      <c r="F1" s="74"/>
      <c r="G1" s="74"/>
      <c r="H1" s="74"/>
      <c r="I1" s="74" t="str">
        <f>IF($C$7="Y","Draft","")</f>
        <v/>
      </c>
      <c r="J1" s="12"/>
      <c r="K1" s="12"/>
      <c r="L1" s="12"/>
      <c r="M1" s="12"/>
      <c r="N1" s="12"/>
      <c r="O1" s="12"/>
      <c r="P1" s="12"/>
      <c r="Q1" s="12"/>
      <c r="R1" s="1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60" s="2" customFormat="1" ht="17.5" x14ac:dyDescent="0.35">
      <c r="A2" s="83"/>
      <c r="B2" s="83"/>
      <c r="C2" s="83"/>
      <c r="D2" s="83"/>
      <c r="E2" s="83"/>
      <c r="F2" s="83"/>
      <c r="G2" s="83"/>
      <c r="H2" s="83"/>
      <c r="I2" s="83"/>
      <c r="J2" s="3"/>
      <c r="K2" s="3"/>
      <c r="L2" s="3"/>
      <c r="M2" s="3"/>
      <c r="N2" s="3"/>
      <c r="O2" s="3"/>
      <c r="P2" s="3"/>
      <c r="Q2" s="3"/>
      <c r="R2" s="4"/>
    </row>
    <row r="3" spans="1:60" ht="18" x14ac:dyDescent="0.4">
      <c r="A3" s="76" t="s">
        <v>24</v>
      </c>
      <c r="B3" s="31"/>
      <c r="C3" s="31"/>
      <c r="D3" s="31"/>
      <c r="E3" s="31"/>
      <c r="F3" s="31"/>
      <c r="G3" s="31"/>
      <c r="H3" s="31"/>
      <c r="I3" s="31"/>
      <c r="J3" s="11"/>
      <c r="K3" s="11"/>
      <c r="L3" s="11"/>
      <c r="M3" s="11"/>
      <c r="N3" s="11"/>
      <c r="O3" s="11"/>
      <c r="P3" s="11"/>
      <c r="Q3" s="11"/>
      <c r="R3" s="13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ht="18" x14ac:dyDescent="0.4">
      <c r="A4" s="76"/>
      <c r="B4" s="31"/>
      <c r="C4" s="31"/>
      <c r="D4" s="31"/>
      <c r="E4" s="31"/>
      <c r="F4" s="31"/>
      <c r="G4" s="31"/>
      <c r="H4" s="31"/>
      <c r="I4" s="31"/>
      <c r="J4" s="11"/>
      <c r="K4" s="11"/>
      <c r="L4" s="11"/>
      <c r="M4" s="11"/>
      <c r="N4" s="11"/>
      <c r="O4" s="11"/>
      <c r="P4" s="11"/>
      <c r="Q4" s="11"/>
      <c r="R4" s="1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35">
      <c r="A5" s="26"/>
      <c r="B5" s="26"/>
      <c r="C5" s="26"/>
      <c r="D5" s="26"/>
      <c r="E5" s="84" t="s">
        <v>25</v>
      </c>
      <c r="F5" s="85" t="s">
        <v>25</v>
      </c>
      <c r="G5" s="85" t="s">
        <v>26</v>
      </c>
      <c r="H5" s="85" t="s">
        <v>27</v>
      </c>
      <c r="I5" s="86" t="s">
        <v>28</v>
      </c>
      <c r="J5" s="9"/>
      <c r="K5" s="9"/>
      <c r="L5" s="9"/>
      <c r="M5" s="9"/>
      <c r="N5" s="9"/>
      <c r="O5" s="9"/>
      <c r="P5" s="9"/>
      <c r="Q5" s="9"/>
      <c r="R5" s="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35">
      <c r="A6" s="40" t="s">
        <v>29</v>
      </c>
      <c r="B6" s="26"/>
      <c r="C6" s="26"/>
      <c r="D6" s="26"/>
      <c r="E6" s="87" t="s">
        <v>30</v>
      </c>
      <c r="F6" s="88" t="s">
        <v>26</v>
      </c>
      <c r="G6" s="88" t="s">
        <v>31</v>
      </c>
      <c r="H6" s="88" t="s">
        <v>31</v>
      </c>
      <c r="I6" s="89" t="s">
        <v>31</v>
      </c>
      <c r="J6" s="9"/>
      <c r="K6" s="9"/>
      <c r="L6" s="9"/>
      <c r="M6" s="9"/>
      <c r="N6" s="9"/>
      <c r="O6" s="9"/>
      <c r="P6" s="9"/>
      <c r="Q6" s="9"/>
      <c r="R6" s="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35">
      <c r="A7" s="103" t="s">
        <v>32</v>
      </c>
      <c r="B7" s="103"/>
      <c r="C7" s="103"/>
      <c r="D7" s="103"/>
      <c r="E7" s="111">
        <f>Comps!D7/Comps!E7</f>
        <v>0.81647691684167867</v>
      </c>
      <c r="F7" s="111">
        <f>E7/(1-E7)</f>
        <v>4.4489058422003618</v>
      </c>
      <c r="G7" s="122">
        <f>Comps!F7</f>
        <v>2.2200000000000002</v>
      </c>
      <c r="H7" s="122">
        <v>0.25</v>
      </c>
      <c r="I7" s="122">
        <v>0.61</v>
      </c>
      <c r="J7" s="129"/>
      <c r="K7" s="129"/>
      <c r="L7" s="9"/>
      <c r="M7" s="9"/>
      <c r="N7" s="9"/>
      <c r="O7" s="9"/>
      <c r="P7" s="9"/>
      <c r="Q7" s="9"/>
      <c r="R7" s="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35">
      <c r="A8" s="103" t="s">
        <v>33</v>
      </c>
      <c r="B8" s="103"/>
      <c r="C8" s="103"/>
      <c r="D8" s="103"/>
      <c r="E8" s="111">
        <f>Comps!D8/Comps!E8</f>
        <v>0.16502772256512183</v>
      </c>
      <c r="F8" s="111">
        <f>E8/(1-E8)</f>
        <v>0.19764455302887921</v>
      </c>
      <c r="G8" s="122">
        <f>Comps!F8</f>
        <v>1.95</v>
      </c>
      <c r="H8" s="122">
        <v>0</v>
      </c>
      <c r="I8" s="122">
        <f>(G8+(H8*F8*(1-[1]WACC!$N$69)))/(1+(F8*(1-[1]WACC!$N$69)))</f>
        <v>1.7432711693548388</v>
      </c>
      <c r="J8" s="129"/>
      <c r="K8" s="129"/>
      <c r="L8" s="9"/>
      <c r="M8" s="9"/>
      <c r="N8" s="9"/>
      <c r="O8" s="9"/>
      <c r="P8" s="9"/>
      <c r="Q8" s="9"/>
      <c r="R8" s="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35">
      <c r="A9" s="103" t="s">
        <v>34</v>
      </c>
      <c r="B9" s="103"/>
      <c r="C9" s="103"/>
      <c r="D9" s="103"/>
      <c r="E9" s="111">
        <f>Comps!D9/Comps!E9</f>
        <v>9.9836928563988542E-2</v>
      </c>
      <c r="F9" s="111">
        <f>E9/(1-E9)</f>
        <v>0.11090982482176341</v>
      </c>
      <c r="G9" s="122">
        <f>Comps!F9</f>
        <v>1.1399999999999999</v>
      </c>
      <c r="H9" s="122">
        <v>0</v>
      </c>
      <c r="I9" s="122">
        <f>(G9+(H9*F9*(1-[1]WACC!$N$69)))/(1+(F9*(1-[1]WACC!$N$69)))</f>
        <v>1.0688710213584454</v>
      </c>
      <c r="J9" s="129"/>
      <c r="K9" s="129"/>
      <c r="L9" s="9"/>
      <c r="M9" s="9"/>
      <c r="N9" s="9"/>
      <c r="O9" s="9"/>
      <c r="P9" s="9"/>
      <c r="Q9" s="9"/>
      <c r="R9" s="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35">
      <c r="A10" s="103" t="s">
        <v>35</v>
      </c>
      <c r="B10" s="103"/>
      <c r="C10" s="103"/>
      <c r="D10" s="103"/>
      <c r="E10" s="111">
        <f>Comps!D10/Comps!E10</f>
        <v>0.23593495212776081</v>
      </c>
      <c r="F10" s="120">
        <f>E10/(1-E10)</f>
        <v>0.30878909169420871</v>
      </c>
      <c r="G10" s="122">
        <f>Comps!F10</f>
        <v>1.35</v>
      </c>
      <c r="H10" s="121">
        <v>0</v>
      </c>
      <c r="I10" s="121">
        <f>(G10+(H10*F10*(1-[1]WACC!$N$69)))/(1+(F10*(1-[1]WACC!$N$69)))</f>
        <v>1.1389776715966176</v>
      </c>
      <c r="J10" s="129"/>
      <c r="K10" s="129"/>
      <c r="L10" s="9"/>
      <c r="M10" s="9"/>
      <c r="N10" s="9"/>
      <c r="O10" s="9"/>
      <c r="P10" s="9"/>
      <c r="Q10" s="9"/>
      <c r="R10" s="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35">
      <c r="A11" s="116" t="s">
        <v>36</v>
      </c>
      <c r="B11" s="103"/>
      <c r="C11" s="116"/>
      <c r="D11" s="116"/>
      <c r="E11" s="117">
        <f>AVERAGE(E7:E10)</f>
        <v>0.32931913002463747</v>
      </c>
      <c r="F11" s="117">
        <f>E11/(1-E11)</f>
        <v>0.49102210122190454</v>
      </c>
      <c r="G11" s="130">
        <f>AVERAGE(G7:G10)</f>
        <v>1.665</v>
      </c>
      <c r="H11" s="130">
        <f>AVERAGE(H7:H10)</f>
        <v>6.25E-2</v>
      </c>
      <c r="I11" s="130">
        <f>AVERAGE(I7:I10)</f>
        <v>1.1402799655774754</v>
      </c>
      <c r="J11" s="131"/>
      <c r="K11" s="129"/>
      <c r="L11" s="9"/>
      <c r="M11" s="9"/>
      <c r="N11" s="9"/>
      <c r="O11" s="9"/>
      <c r="P11" s="9"/>
      <c r="Q11" s="9"/>
      <c r="R11" s="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35">
      <c r="A12" s="116"/>
      <c r="B12" s="103"/>
      <c r="C12" s="116"/>
      <c r="D12" s="116"/>
      <c r="E12" s="117"/>
      <c r="F12" s="117"/>
      <c r="G12" s="130"/>
      <c r="H12" s="130"/>
      <c r="I12" s="130"/>
      <c r="J12" s="131"/>
      <c r="K12" s="129"/>
      <c r="L12" s="9"/>
      <c r="M12" s="9"/>
      <c r="N12" s="9"/>
      <c r="O12" s="9"/>
      <c r="P12" s="9"/>
      <c r="Q12" s="9"/>
      <c r="R12" s="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35">
      <c r="A13" s="103"/>
      <c r="B13" s="103"/>
      <c r="C13" s="103"/>
      <c r="D13" s="103"/>
      <c r="E13" s="103"/>
      <c r="F13" s="103"/>
      <c r="G13" s="103"/>
      <c r="H13" s="103"/>
      <c r="I13" s="103"/>
      <c r="J13" s="129"/>
      <c r="K13" s="129"/>
      <c r="L13" s="9"/>
      <c r="M13" s="9"/>
      <c r="N13" s="9"/>
      <c r="O13" s="9"/>
      <c r="P13" s="9"/>
      <c r="Q13" s="9"/>
      <c r="R13" s="9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35">
      <c r="A14" s="132"/>
      <c r="B14" s="133" t="s">
        <v>25</v>
      </c>
      <c r="C14" s="134" t="s">
        <v>25</v>
      </c>
      <c r="D14" s="134" t="s">
        <v>28</v>
      </c>
      <c r="E14" s="134" t="s">
        <v>26</v>
      </c>
      <c r="F14" s="134" t="s">
        <v>37</v>
      </c>
      <c r="G14" s="134" t="s">
        <v>37</v>
      </c>
      <c r="H14" s="135"/>
      <c r="I14" s="132"/>
      <c r="J14" s="129"/>
      <c r="K14" s="136"/>
      <c r="L14" s="8"/>
      <c r="M14" s="8"/>
      <c r="N14" s="8"/>
      <c r="O14" s="8"/>
      <c r="P14" s="9"/>
      <c r="Q14" s="9"/>
      <c r="R14" s="9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35">
      <c r="A15" s="132"/>
      <c r="B15" s="137" t="s">
        <v>30</v>
      </c>
      <c r="C15" s="138" t="s">
        <v>26</v>
      </c>
      <c r="D15" s="138" t="s">
        <v>31</v>
      </c>
      <c r="E15" s="138" t="s">
        <v>31</v>
      </c>
      <c r="F15" s="138" t="s">
        <v>26</v>
      </c>
      <c r="G15" s="138" t="s">
        <v>27</v>
      </c>
      <c r="H15" s="139" t="s">
        <v>39</v>
      </c>
      <c r="I15" s="132"/>
      <c r="J15" s="129"/>
      <c r="K15" s="136"/>
      <c r="L15" s="8"/>
      <c r="M15" s="8"/>
      <c r="N15" s="8"/>
      <c r="O15" s="8"/>
      <c r="P15" s="9"/>
      <c r="Q15" s="9"/>
      <c r="R15" s="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35">
      <c r="A16" s="132"/>
      <c r="B16" s="111">
        <v>0</v>
      </c>
      <c r="C16" s="111">
        <f t="shared" ref="C16:C21" si="0">B16/(1-B16)</f>
        <v>0</v>
      </c>
      <c r="D16" s="122">
        <f>$I$11</f>
        <v>1.1402799655774754</v>
      </c>
      <c r="E16" s="122">
        <f t="shared" ref="E16:E21" si="1">D16*(1+C16*(1-$I$28))-($I$40*C16*(1-$I$28))</f>
        <v>1.1402799655774754</v>
      </c>
      <c r="F16" s="140">
        <f t="shared" ref="F16:F21" si="2">$I$25+(E16*$I$26)</f>
        <v>8.5683998278873769E-2</v>
      </c>
      <c r="G16" s="140">
        <f t="shared" ref="G16:G21" si="3">$I$41</f>
        <v>7.7499999999999999E-2</v>
      </c>
      <c r="H16" s="140">
        <f t="shared" ref="H16:H21" si="4">((1-B16)*F16)+(B16*G16*(1-$I$28))</f>
        <v>8.5683998278873769E-2</v>
      </c>
      <c r="I16" s="132"/>
      <c r="J16" s="129"/>
      <c r="K16" s="136"/>
      <c r="L16" s="8"/>
      <c r="M16" s="8"/>
      <c r="N16" s="8"/>
      <c r="O16" s="8"/>
      <c r="P16" s="9"/>
      <c r="Q16" s="9"/>
      <c r="R16" s="9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35">
      <c r="A17" s="132"/>
      <c r="B17" s="111">
        <f>B16+0.05</f>
        <v>0.05</v>
      </c>
      <c r="C17" s="111">
        <f t="shared" si="0"/>
        <v>5.2631578947368425E-2</v>
      </c>
      <c r="D17" s="122">
        <f t="shared" ref="D17:D21" si="5">$I$11</f>
        <v>1.1402799655774754</v>
      </c>
      <c r="E17" s="122">
        <f t="shared" si="1"/>
        <v>1.1762888065957116</v>
      </c>
      <c r="F17" s="140">
        <f t="shared" si="2"/>
        <v>8.7484440329785584E-2</v>
      </c>
      <c r="G17" s="140">
        <f t="shared" si="3"/>
        <v>7.7499999999999999E-2</v>
      </c>
      <c r="H17" s="140">
        <f t="shared" si="4"/>
        <v>8.5435218313296299E-2</v>
      </c>
      <c r="I17" s="132"/>
      <c r="J17" s="129"/>
      <c r="K17" s="136"/>
      <c r="L17" s="8"/>
      <c r="M17" s="8"/>
      <c r="N17" s="8"/>
      <c r="O17" s="8"/>
      <c r="P17" s="9"/>
      <c r="Q17" s="9"/>
      <c r="R17" s="9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35">
      <c r="A18" s="141"/>
      <c r="B18" s="142">
        <f>B17+0.05</f>
        <v>0.1</v>
      </c>
      <c r="C18" s="142">
        <f t="shared" si="0"/>
        <v>0.11111111111111112</v>
      </c>
      <c r="D18" s="143">
        <f t="shared" si="5"/>
        <v>1.1402799655774754</v>
      </c>
      <c r="E18" s="143">
        <f t="shared" si="1"/>
        <v>1.216298629949307</v>
      </c>
      <c r="F18" s="144">
        <f t="shared" si="2"/>
        <v>8.9484931497465364E-2</v>
      </c>
      <c r="G18" s="144">
        <f t="shared" si="3"/>
        <v>7.7499999999999999E-2</v>
      </c>
      <c r="H18" s="144">
        <f t="shared" si="4"/>
        <v>8.5186438347718829E-2</v>
      </c>
      <c r="I18" s="141"/>
      <c r="J18" s="129"/>
      <c r="K18" s="136"/>
      <c r="L18" s="8"/>
      <c r="M18" s="8"/>
      <c r="N18" s="8"/>
      <c r="O18" s="8"/>
      <c r="P18" s="9"/>
      <c r="Q18" s="9"/>
      <c r="R18" s="9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35">
      <c r="A19" s="132"/>
      <c r="B19" s="111">
        <f>B18+0.05</f>
        <v>0.15000000000000002</v>
      </c>
      <c r="C19" s="111">
        <f t="shared" si="0"/>
        <v>0.17647058823529416</v>
      </c>
      <c r="D19" s="122">
        <f t="shared" si="5"/>
        <v>1.1402799655774754</v>
      </c>
      <c r="E19" s="122">
        <f t="shared" si="1"/>
        <v>1.2610154913445022</v>
      </c>
      <c r="F19" s="140">
        <f t="shared" si="2"/>
        <v>9.1720774567225119E-2</v>
      </c>
      <c r="G19" s="140">
        <f t="shared" si="3"/>
        <v>7.7499999999999999E-2</v>
      </c>
      <c r="H19" s="140">
        <f t="shared" si="4"/>
        <v>8.4937658382141346E-2</v>
      </c>
      <c r="I19" s="132"/>
      <c r="J19" s="129"/>
      <c r="K19" s="136"/>
      <c r="L19" s="8"/>
      <c r="M19" s="8"/>
      <c r="N19" s="8"/>
      <c r="O19" s="8"/>
      <c r="P19" s="9"/>
      <c r="Q19" s="9"/>
      <c r="R19" s="9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35">
      <c r="A20" s="132"/>
      <c r="B20" s="111">
        <f>B19+0.05</f>
        <v>0.2</v>
      </c>
      <c r="C20" s="111">
        <f t="shared" si="0"/>
        <v>0.25</v>
      </c>
      <c r="D20" s="122">
        <f t="shared" si="5"/>
        <v>1.1402799655774754</v>
      </c>
      <c r="E20" s="122">
        <f t="shared" si="1"/>
        <v>1.3113219604140967</v>
      </c>
      <c r="F20" s="140">
        <f t="shared" si="2"/>
        <v>9.4236098020704831E-2</v>
      </c>
      <c r="G20" s="140">
        <f t="shared" si="3"/>
        <v>7.7499999999999999E-2</v>
      </c>
      <c r="H20" s="140">
        <f t="shared" si="4"/>
        <v>8.4688878416563876E-2</v>
      </c>
      <c r="I20" s="132"/>
      <c r="J20" s="129"/>
      <c r="K20" s="136"/>
      <c r="L20" s="8"/>
      <c r="M20" s="8"/>
      <c r="N20" s="8"/>
      <c r="O20" s="8"/>
      <c r="P20" s="9"/>
      <c r="Q20" s="9"/>
      <c r="R20" s="9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35">
      <c r="A21" s="132"/>
      <c r="B21" s="111">
        <f>B20+0.05</f>
        <v>0.25</v>
      </c>
      <c r="C21" s="111">
        <f t="shared" si="0"/>
        <v>0.33333333333333331</v>
      </c>
      <c r="D21" s="122">
        <f t="shared" si="5"/>
        <v>1.1402799655774754</v>
      </c>
      <c r="E21" s="122">
        <f t="shared" si="1"/>
        <v>1.3683359586929704</v>
      </c>
      <c r="F21" s="140">
        <f t="shared" si="2"/>
        <v>9.7086797934648528E-2</v>
      </c>
      <c r="G21" s="140">
        <f t="shared" si="3"/>
        <v>7.7499999999999999E-2</v>
      </c>
      <c r="H21" s="140">
        <f t="shared" si="4"/>
        <v>8.4440098450986392E-2</v>
      </c>
      <c r="I21" s="132"/>
      <c r="J21" s="129"/>
      <c r="K21" s="136"/>
      <c r="L21" s="8"/>
      <c r="M21" s="8"/>
      <c r="N21" s="8"/>
      <c r="O21" s="8"/>
      <c r="P21" s="9"/>
      <c r="Q21" s="9"/>
      <c r="R21" s="9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35">
      <c r="A22" s="145"/>
      <c r="B22" s="145"/>
      <c r="C22" s="146"/>
      <c r="D22" s="146"/>
      <c r="E22" s="147"/>
      <c r="F22" s="147"/>
      <c r="G22" s="147"/>
      <c r="H22" s="148"/>
      <c r="I22" s="148"/>
      <c r="J22" s="129"/>
      <c r="K22" s="136"/>
      <c r="L22" s="8"/>
      <c r="M22" s="8"/>
      <c r="N22" s="8"/>
      <c r="O22" s="8"/>
      <c r="P22" s="9"/>
      <c r="Q22" s="9"/>
      <c r="R22" s="9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35">
      <c r="A23" s="149"/>
      <c r="B23" s="149"/>
      <c r="C23" s="145"/>
      <c r="D23" s="145"/>
      <c r="E23" s="146"/>
      <c r="F23" s="146"/>
      <c r="G23" s="147"/>
      <c r="H23" s="147"/>
      <c r="I23" s="147"/>
      <c r="J23" s="129"/>
      <c r="K23" s="136"/>
      <c r="L23" s="8"/>
      <c r="M23" s="8"/>
      <c r="N23" s="8"/>
      <c r="O23" s="8"/>
      <c r="P23" s="9"/>
      <c r="Q23" s="9"/>
      <c r="R23" s="9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35">
      <c r="A24" s="149"/>
      <c r="B24" s="149"/>
      <c r="C24" s="145"/>
      <c r="D24" s="145"/>
      <c r="E24" s="146"/>
      <c r="F24" s="150" t="s">
        <v>38</v>
      </c>
      <c r="G24" s="151"/>
      <c r="H24" s="151"/>
      <c r="I24" s="152"/>
      <c r="J24" s="129"/>
      <c r="K24" s="136"/>
      <c r="L24" s="8"/>
      <c r="M24" s="8"/>
      <c r="N24" s="8"/>
      <c r="O24" s="8"/>
      <c r="P24" s="9"/>
      <c r="Q24" s="9"/>
      <c r="R24" s="9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35">
      <c r="A25" s="148"/>
      <c r="B25" s="148"/>
      <c r="C25" s="148"/>
      <c r="D25" s="148"/>
      <c r="E25" s="148"/>
      <c r="F25" s="149" t="s">
        <v>40</v>
      </c>
      <c r="G25" s="149"/>
      <c r="H25" s="149"/>
      <c r="I25" s="147">
        <v>2.8670000000000001E-2</v>
      </c>
      <c r="J25" s="129"/>
      <c r="K25" s="136"/>
      <c r="L25" s="8"/>
      <c r="M25" s="8"/>
      <c r="N25" s="8"/>
      <c r="O25" s="8"/>
      <c r="P25" s="9"/>
      <c r="Q25" s="9"/>
      <c r="R25" s="9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35">
      <c r="A26" s="148"/>
      <c r="B26" s="148"/>
      <c r="C26" s="148"/>
      <c r="D26" s="148"/>
      <c r="E26" s="148"/>
      <c r="F26" s="149" t="s">
        <v>41</v>
      </c>
      <c r="G26" s="149"/>
      <c r="H26" s="149"/>
      <c r="I26" s="147">
        <v>0.05</v>
      </c>
      <c r="J26" s="129"/>
      <c r="K26" s="136"/>
      <c r="L26" s="8"/>
      <c r="M26" s="8"/>
      <c r="N26" s="8"/>
      <c r="O26" s="8"/>
      <c r="P26" s="9"/>
      <c r="Q26" s="9"/>
      <c r="R26" s="9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35">
      <c r="A27" s="148"/>
      <c r="B27" s="148"/>
      <c r="C27" s="148"/>
      <c r="D27" s="148"/>
      <c r="E27" s="148"/>
      <c r="F27" s="149"/>
      <c r="G27" s="149"/>
      <c r="H27" s="149"/>
      <c r="I27" s="149"/>
      <c r="J27" s="129"/>
      <c r="K27" s="136"/>
      <c r="L27" s="8"/>
      <c r="M27" s="8"/>
      <c r="N27" s="8"/>
      <c r="O27" s="8"/>
      <c r="P27" s="9"/>
      <c r="Q27" s="9"/>
      <c r="R27" s="9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35">
      <c r="A28" s="148"/>
      <c r="B28" s="148"/>
      <c r="C28" s="148"/>
      <c r="D28" s="148"/>
      <c r="E28" s="148"/>
      <c r="F28" s="149" t="s">
        <v>42</v>
      </c>
      <c r="G28" s="149"/>
      <c r="H28" s="149"/>
      <c r="I28" s="145">
        <v>0.4</v>
      </c>
      <c r="J28" s="129"/>
      <c r="K28" s="136"/>
      <c r="L28" s="8"/>
      <c r="M28" s="8"/>
      <c r="N28" s="8"/>
      <c r="O28" s="8"/>
      <c r="P28" s="9"/>
      <c r="Q28" s="9"/>
      <c r="R28" s="9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35">
      <c r="A29" s="148"/>
      <c r="B29" s="148"/>
      <c r="C29" s="148"/>
      <c r="D29" s="148"/>
      <c r="E29" s="148"/>
      <c r="F29" s="149"/>
      <c r="G29" s="149"/>
      <c r="H29" s="149"/>
      <c r="I29" s="149"/>
      <c r="J29" s="129"/>
      <c r="K29" s="136"/>
      <c r="L29" s="8"/>
      <c r="M29" s="8"/>
      <c r="N29" s="8"/>
      <c r="O29" s="8"/>
      <c r="P29" s="9"/>
      <c r="Q29" s="9"/>
      <c r="R29" s="9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35">
      <c r="A30" s="148"/>
      <c r="B30" s="148"/>
      <c r="C30" s="148"/>
      <c r="D30" s="148"/>
      <c r="E30" s="148"/>
      <c r="F30" s="149" t="s">
        <v>43</v>
      </c>
      <c r="G30" s="149"/>
      <c r="H30" s="149"/>
      <c r="I30" s="153">
        <v>7</v>
      </c>
      <c r="J30" s="129"/>
      <c r="K30" s="136"/>
      <c r="L30" s="8"/>
      <c r="M30" s="8"/>
      <c r="N30" s="8"/>
      <c r="O30" s="8"/>
      <c r="P30" s="9"/>
      <c r="Q30" s="9"/>
      <c r="R30" s="9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35">
      <c r="A31" s="148"/>
      <c r="B31" s="148"/>
      <c r="C31" s="148"/>
      <c r="D31" s="148"/>
      <c r="E31" s="148"/>
      <c r="F31" s="149" t="s">
        <v>44</v>
      </c>
      <c r="G31" s="149"/>
      <c r="H31" s="149"/>
      <c r="I31" s="154">
        <f>I30*IS!I10</f>
        <v>514.5</v>
      </c>
      <c r="J31" s="129"/>
      <c r="K31" s="136"/>
      <c r="L31" s="8"/>
      <c r="M31" s="8"/>
      <c r="N31" s="8"/>
      <c r="O31" s="8"/>
      <c r="P31" s="9"/>
      <c r="Q31" s="9"/>
      <c r="R31" s="9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35">
      <c r="A32" s="148"/>
      <c r="B32" s="148"/>
      <c r="C32" s="148"/>
      <c r="D32" s="148"/>
      <c r="E32" s="148"/>
      <c r="F32" s="149"/>
      <c r="G32" s="149"/>
      <c r="H32" s="149" t="s">
        <v>45</v>
      </c>
      <c r="I32" s="149">
        <f>I31-I33</f>
        <v>464.7</v>
      </c>
      <c r="J32" s="129"/>
      <c r="K32" s="136"/>
      <c r="L32" s="8"/>
      <c r="M32" s="8"/>
      <c r="N32" s="8"/>
      <c r="O32" s="8"/>
      <c r="P32" s="9"/>
      <c r="Q32" s="9"/>
      <c r="R32" s="9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35">
      <c r="A33" s="148"/>
      <c r="B33" s="148"/>
      <c r="C33" s="148"/>
      <c r="D33" s="148"/>
      <c r="E33" s="148"/>
      <c r="F33" s="149" t="s">
        <v>46</v>
      </c>
      <c r="G33" s="149"/>
      <c r="H33" s="149"/>
      <c r="I33" s="154">
        <f>BS!I18-BS!I6</f>
        <v>49.8</v>
      </c>
      <c r="J33" s="155">
        <f>I33/I32</f>
        <v>0.10716591349257586</v>
      </c>
      <c r="K33" s="136"/>
      <c r="L33" s="8"/>
      <c r="M33" s="8"/>
      <c r="N33" s="8"/>
      <c r="O33" s="8"/>
      <c r="P33" s="8"/>
      <c r="Q33" s="8"/>
      <c r="R33" s="8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35">
      <c r="A34" s="148"/>
      <c r="B34" s="148"/>
      <c r="C34" s="148"/>
      <c r="D34" s="148"/>
      <c r="E34" s="148"/>
      <c r="F34" s="149" t="s">
        <v>47</v>
      </c>
      <c r="G34" s="149"/>
      <c r="H34" s="149"/>
      <c r="I34" s="156">
        <f>Investment!D11/1000</f>
        <v>57.817302845658197</v>
      </c>
      <c r="J34" s="129"/>
      <c r="K34" s="136"/>
      <c r="L34" s="8"/>
      <c r="M34" s="8"/>
      <c r="N34" s="8"/>
      <c r="O34" s="8"/>
      <c r="P34" s="8"/>
      <c r="Q34" s="8"/>
      <c r="R34" s="8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35">
      <c r="A35" s="148"/>
      <c r="B35" s="148"/>
      <c r="C35" s="148"/>
      <c r="D35" s="148"/>
      <c r="E35" s="148"/>
      <c r="F35" s="157" t="s">
        <v>48</v>
      </c>
      <c r="G35" s="157"/>
      <c r="H35" s="157"/>
      <c r="I35" s="158">
        <f>I33+I34</f>
        <v>107.6173028456582</v>
      </c>
      <c r="J35" s="129"/>
      <c r="K35" s="136"/>
      <c r="L35" s="8"/>
      <c r="M35" s="8"/>
      <c r="N35" s="8"/>
      <c r="O35" s="8"/>
      <c r="P35" s="8"/>
      <c r="Q35" s="8"/>
      <c r="R35" s="8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35">
      <c r="A36" s="148"/>
      <c r="B36" s="148"/>
      <c r="C36" s="148"/>
      <c r="D36" s="148"/>
      <c r="E36" s="148"/>
      <c r="F36" s="149"/>
      <c r="G36" s="149"/>
      <c r="H36" s="149"/>
      <c r="I36" s="149"/>
      <c r="J36" s="129"/>
      <c r="K36" s="136"/>
      <c r="L36" s="8"/>
      <c r="M36" s="8"/>
      <c r="N36" s="8"/>
      <c r="O36" s="8"/>
      <c r="P36" s="8"/>
      <c r="Q36" s="8"/>
      <c r="R36" s="8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35">
      <c r="A37" s="148"/>
      <c r="B37" s="148"/>
      <c r="C37" s="148"/>
      <c r="D37" s="148"/>
      <c r="E37" s="148"/>
      <c r="F37" s="149" t="s">
        <v>49</v>
      </c>
      <c r="G37" s="149"/>
      <c r="H37" s="149"/>
      <c r="I37" s="145">
        <f>I33/I31</f>
        <v>9.6793002915451884E-2</v>
      </c>
      <c r="J37" s="129"/>
      <c r="K37" s="136"/>
      <c r="L37" s="8"/>
      <c r="M37" s="8"/>
      <c r="N37" s="8"/>
      <c r="O37" s="8"/>
      <c r="P37" s="8"/>
      <c r="Q37" s="8"/>
      <c r="R37" s="8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35">
      <c r="A38" s="148"/>
      <c r="B38" s="148"/>
      <c r="C38" s="148"/>
      <c r="D38" s="148"/>
      <c r="E38" s="148"/>
      <c r="F38" s="149" t="s">
        <v>50</v>
      </c>
      <c r="G38" s="149"/>
      <c r="H38" s="149"/>
      <c r="I38" s="145">
        <f>I35/I31</f>
        <v>0.20916871301391293</v>
      </c>
      <c r="J38" s="129"/>
      <c r="K38" s="136"/>
      <c r="L38" s="8"/>
      <c r="M38" s="8"/>
      <c r="N38" s="8"/>
      <c r="O38" s="8"/>
      <c r="P38" s="8"/>
      <c r="Q38" s="8"/>
      <c r="R38" s="8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35">
      <c r="A39" s="148"/>
      <c r="B39" s="148"/>
      <c r="C39" s="148"/>
      <c r="D39" s="148"/>
      <c r="E39" s="148"/>
      <c r="F39" s="149"/>
      <c r="G39" s="149"/>
      <c r="H39" s="149"/>
      <c r="I39" s="149"/>
      <c r="J39" s="129"/>
      <c r="K39" s="136"/>
      <c r="L39" s="8"/>
      <c r="M39" s="8"/>
      <c r="N39" s="8"/>
      <c r="O39" s="8"/>
      <c r="P39" s="8"/>
      <c r="Q39" s="8"/>
      <c r="R39" s="8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35">
      <c r="A40" s="148"/>
      <c r="B40" s="148"/>
      <c r="C40" s="148"/>
      <c r="D40" s="148"/>
      <c r="E40" s="148"/>
      <c r="F40" s="149" t="s">
        <v>51</v>
      </c>
      <c r="G40" s="149"/>
      <c r="H40" s="149"/>
      <c r="I40" s="146">
        <v>0</v>
      </c>
      <c r="J40" s="129"/>
      <c r="K40" s="136"/>
      <c r="L40" s="8"/>
      <c r="M40" s="8"/>
      <c r="N40" s="8"/>
      <c r="O40" s="8"/>
      <c r="P40" s="8"/>
      <c r="Q40" s="8"/>
      <c r="R40" s="8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35">
      <c r="A41" s="148"/>
      <c r="B41" s="148"/>
      <c r="C41" s="148"/>
      <c r="D41" s="148"/>
      <c r="E41" s="148"/>
      <c r="F41" s="149" t="s">
        <v>52</v>
      </c>
      <c r="G41" s="149"/>
      <c r="H41" s="149"/>
      <c r="I41" s="147">
        <v>7.7499999999999999E-2</v>
      </c>
      <c r="J41" s="129"/>
      <c r="K41" s="136"/>
      <c r="L41" s="8"/>
      <c r="M41" s="8"/>
      <c r="N41" s="8"/>
      <c r="O41" s="8"/>
      <c r="P41" s="8"/>
      <c r="Q41" s="8"/>
      <c r="R41" s="8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  <row r="62" spans="1:60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</row>
    <row r="63" spans="1:60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</row>
    <row r="64" spans="1:60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</row>
    <row r="65" spans="1:60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</row>
    <row r="66" spans="1:60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</row>
    <row r="67" spans="1:60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</row>
    <row r="68" spans="1:60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</row>
    <row r="69" spans="1:60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</row>
    <row r="70" spans="1:60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</row>
    <row r="71" spans="1:60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</row>
    <row r="72" spans="1:60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</row>
    <row r="73" spans="1:60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</row>
    <row r="74" spans="1:60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</row>
    <row r="75" spans="1:60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</row>
    <row r="76" spans="1:60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</row>
    <row r="77" spans="1:60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</row>
    <row r="78" spans="1:60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</row>
    <row r="79" spans="1:60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</row>
    <row r="80" spans="1:60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</row>
    <row r="81" spans="1:60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</row>
    <row r="82" spans="1:60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</row>
    <row r="83" spans="1:60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</row>
    <row r="84" spans="1:60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</row>
    <row r="85" spans="1:60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</row>
    <row r="86" spans="1:60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</row>
    <row r="87" spans="1:60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</row>
    <row r="88" spans="1:60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</row>
    <row r="89" spans="1:60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</row>
    <row r="90" spans="1:60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</row>
    <row r="91" spans="1:60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</row>
    <row r="92" spans="1:60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</row>
    <row r="93" spans="1:60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</row>
    <row r="94" spans="1:60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</row>
    <row r="95" spans="1:60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</row>
    <row r="96" spans="1:60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</row>
    <row r="97" spans="1:60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</row>
    <row r="98" spans="1:60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</row>
    <row r="99" spans="1:60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</row>
    <row r="100" spans="1:60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</row>
    <row r="101" spans="1:60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</row>
    <row r="102" spans="1:60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</row>
    <row r="103" spans="1:60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</row>
    <row r="104" spans="1:60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</row>
    <row r="105" spans="1:60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</row>
    <row r="106" spans="1:60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</row>
    <row r="107" spans="1:60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</row>
    <row r="108" spans="1:60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</row>
    <row r="109" spans="1:60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</row>
    <row r="110" spans="1:60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</row>
    <row r="111" spans="1:60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</row>
    <row r="112" spans="1:60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</row>
    <row r="113" spans="1:60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</row>
    <row r="114" spans="1:60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</row>
    <row r="115" spans="1:60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</row>
    <row r="116" spans="1:60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</row>
    <row r="117" spans="1:60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</row>
    <row r="118" spans="1:60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</row>
    <row r="119" spans="1:60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</row>
    <row r="120" spans="1:60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</row>
    <row r="121" spans="1:60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</row>
    <row r="122" spans="1:60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</row>
    <row r="123" spans="1:60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</row>
    <row r="124" spans="1:60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</row>
    <row r="125" spans="1:60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</row>
    <row r="126" spans="1:60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</row>
    <row r="127" spans="1:60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</row>
    <row r="128" spans="1:60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</row>
    <row r="129" spans="1:60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</row>
    <row r="130" spans="1:60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</row>
    <row r="131" spans="1:60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</row>
    <row r="132" spans="1:60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</row>
    <row r="133" spans="1:60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</row>
    <row r="134" spans="1:60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</row>
    <row r="135" spans="1:60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</row>
    <row r="136" spans="1:60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</row>
    <row r="137" spans="1:60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</row>
    <row r="138" spans="1:60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</row>
    <row r="139" spans="1:60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</row>
    <row r="140" spans="1:60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</row>
    <row r="141" spans="1:60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</row>
    <row r="142" spans="1:60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</row>
    <row r="143" spans="1:60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</row>
    <row r="144" spans="1:60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</row>
    <row r="145" spans="1:60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</row>
    <row r="146" spans="1:60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</row>
    <row r="147" spans="1:60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</row>
    <row r="148" spans="1:60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</row>
    <row r="149" spans="1:60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</row>
    <row r="150" spans="1:60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</row>
    <row r="151" spans="1:60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</row>
    <row r="152" spans="1:60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</row>
    <row r="153" spans="1:60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</row>
    <row r="154" spans="1:60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</row>
    <row r="155" spans="1:60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</row>
    <row r="156" spans="1:60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</row>
    <row r="157" spans="1:60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</row>
    <row r="158" spans="1:60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</row>
    <row r="159" spans="1:60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</row>
    <row r="160" spans="1:60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</row>
    <row r="161" spans="1:60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</row>
    <row r="162" spans="1:60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</row>
    <row r="163" spans="1:60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</row>
    <row r="164" spans="1:60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</row>
    <row r="165" spans="1:60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</row>
    <row r="166" spans="1:60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</row>
    <row r="167" spans="1:60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</row>
    <row r="168" spans="1:60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</row>
    <row r="169" spans="1:60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</row>
    <row r="170" spans="1:60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</row>
    <row r="171" spans="1:60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</row>
    <row r="172" spans="1:60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</row>
    <row r="173" spans="1:60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</row>
    <row r="174" spans="1:60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</row>
    <row r="175" spans="1:60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</row>
    <row r="176" spans="1:60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</row>
    <row r="177" spans="1:60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</row>
    <row r="178" spans="1:60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</row>
    <row r="179" spans="1:60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</row>
    <row r="180" spans="1:60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</row>
    <row r="181" spans="1:60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</row>
    <row r="182" spans="1:60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</row>
    <row r="183" spans="1:60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</row>
    <row r="184" spans="1:60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</row>
    <row r="185" spans="1:60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</row>
    <row r="186" spans="1:60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</row>
    <row r="187" spans="1:60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</row>
    <row r="188" spans="1:60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</row>
    <row r="189" spans="1:60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</row>
    <row r="190" spans="1:60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</row>
    <row r="191" spans="1:60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</row>
    <row r="192" spans="1:60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</row>
    <row r="193" spans="1:60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</row>
    <row r="194" spans="1:60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</row>
    <row r="195" spans="1:60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</row>
    <row r="196" spans="1:60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</row>
    <row r="197" spans="1:60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</row>
    <row r="198" spans="1:60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</row>
    <row r="199" spans="1:60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</row>
    <row r="200" spans="1:60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</row>
    <row r="201" spans="1:60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</row>
    <row r="202" spans="1:60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</row>
    <row r="203" spans="1:60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</row>
    <row r="204" spans="1:60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</row>
    <row r="205" spans="1:60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</row>
    <row r="206" spans="1:60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</row>
    <row r="207" spans="1:60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</row>
    <row r="208" spans="1:60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</row>
    <row r="209" spans="1:60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</row>
    <row r="210" spans="1:60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</row>
    <row r="211" spans="1:60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</row>
    <row r="212" spans="1:60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</row>
    <row r="213" spans="1:60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</row>
    <row r="214" spans="1:60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</row>
    <row r="215" spans="1:60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</row>
    <row r="216" spans="1:60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</row>
    <row r="217" spans="1:60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</row>
    <row r="218" spans="1:60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</row>
    <row r="219" spans="1:60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</row>
    <row r="220" spans="1:60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</row>
    <row r="221" spans="1:60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</row>
    <row r="222" spans="1:60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</row>
    <row r="223" spans="1:60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</row>
    <row r="224" spans="1:60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</row>
    <row r="225" spans="1:60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</row>
    <row r="226" spans="1:60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</row>
    <row r="227" spans="1:60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</row>
    <row r="228" spans="1:60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</row>
    <row r="229" spans="1:60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</row>
    <row r="230" spans="1:60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</row>
    <row r="231" spans="1:60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</row>
    <row r="232" spans="1:60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</row>
    <row r="233" spans="1:60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</row>
    <row r="234" spans="1:60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</row>
    <row r="235" spans="1:60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</row>
    <row r="236" spans="1:60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</row>
    <row r="237" spans="1:60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</row>
    <row r="238" spans="1:60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</row>
    <row r="239" spans="1:60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</row>
    <row r="240" spans="1:60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</row>
    <row r="241" spans="1:60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</row>
    <row r="242" spans="1:60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</row>
    <row r="243" spans="1:60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</row>
    <row r="244" spans="1:60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</row>
    <row r="245" spans="1:60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</row>
    <row r="246" spans="1:60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</row>
    <row r="247" spans="1:60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</row>
    <row r="248" spans="1:60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</row>
    <row r="249" spans="1:60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</row>
    <row r="250" spans="1:60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</row>
    <row r="251" spans="1:60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</row>
    <row r="252" spans="1:60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</row>
    <row r="253" spans="1:60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</row>
    <row r="254" spans="1:60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</row>
    <row r="255" spans="1:60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</row>
    <row r="256" spans="1:60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</row>
    <row r="257" spans="1:60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</row>
    <row r="258" spans="1:60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</row>
    <row r="259" spans="1:60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</row>
    <row r="260" spans="1:60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</row>
    <row r="261" spans="1:60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</row>
    <row r="262" spans="1:60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</row>
    <row r="263" spans="1:60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</row>
    <row r="264" spans="1:60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</row>
    <row r="265" spans="1:60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</row>
    <row r="266" spans="1:60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</row>
    <row r="267" spans="1:60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</row>
    <row r="268" spans="1:60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</row>
    <row r="269" spans="1:60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</row>
    <row r="270" spans="1:60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</row>
    <row r="271" spans="1:60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</row>
    <row r="272" spans="1:60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</row>
    <row r="273" spans="1:60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</row>
    <row r="274" spans="1:60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</row>
    <row r="275" spans="1:60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</row>
    <row r="276" spans="1:60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</row>
    <row r="277" spans="1:60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</row>
    <row r="278" spans="1:60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</row>
    <row r="279" spans="1:60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</row>
    <row r="280" spans="1:60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</row>
    <row r="281" spans="1:60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</row>
    <row r="282" spans="1:60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</row>
    <row r="283" spans="1:60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</row>
    <row r="284" spans="1:60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</row>
    <row r="285" spans="1:60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</row>
    <row r="286" spans="1:60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</row>
    <row r="287" spans="1:60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</row>
    <row r="288" spans="1:60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</row>
    <row r="289" spans="1:60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</row>
    <row r="290" spans="1:60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</row>
    <row r="291" spans="1:60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</row>
    <row r="292" spans="1:60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</row>
    <row r="293" spans="1:60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</row>
    <row r="294" spans="1:60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</row>
    <row r="295" spans="1:60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</row>
    <row r="296" spans="1:60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</row>
    <row r="297" spans="1:60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</row>
    <row r="298" spans="1:60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</row>
    <row r="299" spans="1:60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</row>
    <row r="300" spans="1:60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</row>
    <row r="301" spans="1:60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</row>
    <row r="302" spans="1:60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</row>
    <row r="303" spans="1:60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</row>
    <row r="304" spans="1:60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</row>
    <row r="305" spans="1:60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</row>
    <row r="306" spans="1:60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</row>
    <row r="307" spans="1:60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</row>
    <row r="308" spans="1:60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</row>
    <row r="309" spans="1:60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</row>
    <row r="310" spans="1:60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</row>
    <row r="311" spans="1:60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</row>
    <row r="312" spans="1:60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</row>
    <row r="313" spans="1:60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</row>
    <row r="314" spans="1:60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</row>
    <row r="315" spans="1:60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</row>
    <row r="316" spans="1:60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</row>
    <row r="317" spans="1:60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</row>
    <row r="318" spans="1:60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</row>
    <row r="319" spans="1:60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</row>
    <row r="320" spans="1:60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</row>
    <row r="321" spans="1:60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</row>
    <row r="322" spans="1:60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</row>
    <row r="323" spans="1:60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</row>
    <row r="324" spans="1:60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</row>
    <row r="325" spans="1:60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</row>
    <row r="326" spans="1:60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</row>
    <row r="327" spans="1:60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</row>
    <row r="328" spans="1:60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</row>
    <row r="329" spans="1:60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</row>
    <row r="330" spans="1:60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</row>
    <row r="331" spans="1:60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</row>
    <row r="332" spans="1:60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</row>
    <row r="333" spans="1:60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</row>
    <row r="334" spans="1:60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</row>
    <row r="335" spans="1:60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</row>
    <row r="336" spans="1:60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</row>
    <row r="337" spans="1:60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</row>
    <row r="338" spans="1:60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</row>
    <row r="339" spans="1:60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</row>
    <row r="340" spans="1:60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</row>
    <row r="341" spans="1:60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</row>
    <row r="342" spans="1:60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</row>
    <row r="343" spans="1:60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</row>
    <row r="344" spans="1:60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</row>
    <row r="345" spans="1:60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</row>
    <row r="346" spans="1:60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</row>
    <row r="347" spans="1:60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</row>
    <row r="348" spans="1:60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</row>
    <row r="349" spans="1:60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</row>
    <row r="350" spans="1:60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</row>
    <row r="351" spans="1:60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</row>
    <row r="352" spans="1:60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</row>
    <row r="353" spans="1:60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</row>
    <row r="354" spans="1:60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</row>
    <row r="355" spans="1:60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</row>
    <row r="356" spans="1:60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</row>
    <row r="357" spans="1:60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</row>
    <row r="358" spans="1:60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</row>
    <row r="359" spans="1:60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</row>
    <row r="360" spans="1:60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</row>
    <row r="361" spans="1:60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</row>
    <row r="362" spans="1:60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</row>
    <row r="363" spans="1:60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</row>
    <row r="364" spans="1:60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</row>
    <row r="365" spans="1:60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</row>
    <row r="366" spans="1:60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</row>
    <row r="367" spans="1:60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</row>
    <row r="368" spans="1:60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</row>
    <row r="369" spans="1:60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</row>
    <row r="370" spans="1:60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</row>
    <row r="371" spans="1:60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</row>
    <row r="372" spans="1:60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</row>
    <row r="373" spans="1:60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</row>
    <row r="374" spans="1:60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</row>
    <row r="375" spans="1:60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</row>
    <row r="376" spans="1:60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</row>
    <row r="377" spans="1:60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</row>
    <row r="378" spans="1:60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</row>
    <row r="379" spans="1:60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</row>
    <row r="380" spans="1:60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</row>
    <row r="381" spans="1:60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</row>
    <row r="382" spans="1:60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</row>
    <row r="383" spans="1:60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</row>
    <row r="384" spans="1:60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</row>
    <row r="385" spans="1:60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</row>
    <row r="386" spans="1:60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</row>
    <row r="387" spans="1:60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</row>
    <row r="388" spans="1:60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</row>
    <row r="389" spans="1:60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</row>
    <row r="390" spans="1:60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</row>
    <row r="391" spans="1:60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</row>
    <row r="392" spans="1:60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</row>
    <row r="393" spans="1:60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</row>
    <row r="394" spans="1:60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</row>
    <row r="395" spans="1:60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</row>
    <row r="396" spans="1:60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</row>
    <row r="397" spans="1:60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</row>
    <row r="398" spans="1:60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</row>
    <row r="399" spans="1:60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</row>
    <row r="400" spans="1:60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</row>
    <row r="401" spans="1:60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</row>
    <row r="402" spans="1:60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</row>
    <row r="403" spans="1:60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</row>
    <row r="404" spans="1:60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</row>
    <row r="405" spans="1:60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</row>
    <row r="406" spans="1:60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</row>
    <row r="407" spans="1:60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</row>
    <row r="408" spans="1:60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</row>
    <row r="409" spans="1:60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</row>
    <row r="410" spans="1:60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</row>
    <row r="411" spans="1:60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</row>
    <row r="412" spans="1:60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</row>
    <row r="413" spans="1:60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</row>
    <row r="414" spans="1:60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</row>
    <row r="415" spans="1:60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</row>
    <row r="416" spans="1:60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</row>
    <row r="417" spans="1:60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</row>
    <row r="418" spans="1:60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</row>
    <row r="419" spans="1:60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</row>
    <row r="420" spans="1:60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</row>
    <row r="421" spans="1:60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</row>
    <row r="422" spans="1:60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</row>
    <row r="423" spans="1:60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</row>
    <row r="424" spans="1:60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</row>
    <row r="425" spans="1:60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</row>
    <row r="426" spans="1:60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</row>
    <row r="427" spans="1:60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</row>
    <row r="428" spans="1:60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</row>
    <row r="429" spans="1:60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</row>
    <row r="430" spans="1:60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</row>
    <row r="431" spans="1:60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</row>
    <row r="432" spans="1:60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</row>
    <row r="433" spans="1:60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</row>
    <row r="434" spans="1:60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</row>
    <row r="435" spans="1:60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</row>
    <row r="436" spans="1:60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</row>
    <row r="437" spans="1:60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</row>
  </sheetData>
  <sheetProtection algorithmName="SHA-512" hashValue="Xohr5+iiRQcx4iJ2l0HPyWnshwGzTexdLg2bPeJPtzz91zUDjiPcuZGpfvIfNjUsn28u+FJ7ujJgtoxyVj9jjg==" saltValue="Gvo1mInB7W5NVRLtkeax1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U322"/>
  <sheetViews>
    <sheetView workbookViewId="0">
      <selection activeCell="A2" sqref="A2"/>
    </sheetView>
  </sheetViews>
  <sheetFormatPr defaultRowHeight="14.5" x14ac:dyDescent="0.35"/>
  <cols>
    <col min="1" max="1" width="26.1796875" customWidth="1"/>
    <col min="2" max="2" width="9.1796875" bestFit="1" customWidth="1"/>
    <col min="3" max="3" width="10.26953125" customWidth="1"/>
    <col min="4" max="9" width="9.1796875" bestFit="1" customWidth="1"/>
    <col min="10" max="12" width="8.26953125" bestFit="1" customWidth="1"/>
  </cols>
  <sheetData>
    <row r="1" spans="1:47" ht="25" x14ac:dyDescent="0.5">
      <c r="A1" s="51" t="s">
        <v>84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7" s="2" customForma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47" ht="18" x14ac:dyDescent="0.4">
      <c r="A3" s="24" t="s">
        <v>218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</row>
    <row r="4" spans="1:47" x14ac:dyDescent="0.35">
      <c r="A4" s="91"/>
      <c r="B4" s="92"/>
      <c r="C4" s="92"/>
      <c r="D4" s="92"/>
      <c r="E4" s="92"/>
      <c r="F4" s="22"/>
      <c r="G4" s="22"/>
      <c r="H4" s="22"/>
      <c r="I4" s="22"/>
      <c r="J4" s="22"/>
      <c r="K4" s="22"/>
      <c r="L4" s="22"/>
      <c r="M4" s="2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35">
      <c r="A5" s="22" t="s">
        <v>0</v>
      </c>
      <c r="B5" s="92"/>
      <c r="C5" s="92"/>
      <c r="D5" s="92"/>
      <c r="E5" s="92"/>
      <c r="F5" s="22"/>
      <c r="G5" s="22"/>
      <c r="H5" s="22"/>
      <c r="I5" s="22"/>
      <c r="J5" s="22"/>
      <c r="K5" s="22"/>
      <c r="L5" s="22"/>
      <c r="M5" s="22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35">
      <c r="A6" s="90"/>
      <c r="B6" s="93">
        <v>2008</v>
      </c>
      <c r="C6" s="93">
        <v>2009</v>
      </c>
      <c r="D6" s="93">
        <v>2010</v>
      </c>
      <c r="E6" s="93">
        <v>2011</v>
      </c>
      <c r="F6" s="93">
        <v>2012</v>
      </c>
      <c r="G6" s="93">
        <v>2013</v>
      </c>
      <c r="H6" s="93">
        <v>2014</v>
      </c>
      <c r="I6" s="93">
        <v>2015</v>
      </c>
      <c r="J6" s="93">
        <v>2016</v>
      </c>
      <c r="K6" s="93">
        <v>2017</v>
      </c>
      <c r="L6" s="93">
        <v>2018</v>
      </c>
      <c r="M6" s="22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</row>
    <row r="7" spans="1:47" x14ac:dyDescent="0.35">
      <c r="A7" s="159" t="s">
        <v>1</v>
      </c>
      <c r="B7" s="160">
        <v>0</v>
      </c>
      <c r="C7" s="161">
        <f>Assumptions!E10</f>
        <v>84960</v>
      </c>
      <c r="D7" s="161">
        <f>Assumptions!F10</f>
        <v>93880.8</v>
      </c>
      <c r="E7" s="161">
        <f>Assumptions!G10</f>
        <v>103124.448</v>
      </c>
      <c r="F7" s="161">
        <f>Assumptions!H10</f>
        <v>112700.28960000002</v>
      </c>
      <c r="G7" s="161">
        <f>Assumptions!I10</f>
        <v>122617.91508480001</v>
      </c>
      <c r="H7" s="161">
        <f>Assumptions!J10</f>
        <v>132887.16547315204</v>
      </c>
      <c r="I7" s="161">
        <f>Assumptions!K10</f>
        <v>135544.90878261506</v>
      </c>
      <c r="J7" s="161">
        <f>Assumptions!L10</f>
        <v>138255.80695826738</v>
      </c>
      <c r="K7" s="161">
        <f>Assumptions!M10</f>
        <v>141020.92309743271</v>
      </c>
      <c r="L7" s="161">
        <f>Assumptions!N10</f>
        <v>143841.34155938137</v>
      </c>
      <c r="M7" s="2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</row>
    <row r="8" spans="1:47" x14ac:dyDescent="0.35">
      <c r="A8" s="132" t="s">
        <v>2</v>
      </c>
      <c r="B8" s="160">
        <v>0</v>
      </c>
      <c r="C8" s="161">
        <f>-Assumptions!E13*Assumptions!E8</f>
        <v>-45120</v>
      </c>
      <c r="D8" s="161">
        <f>-Assumptions!F13*Assumptions!F8</f>
        <v>-49368.799999999996</v>
      </c>
      <c r="E8" s="161">
        <f>-Assumptions!G13*Assumptions!G8</f>
        <v>-53698.063999999998</v>
      </c>
      <c r="F8" s="161">
        <f>-Assumptions!H13*Assumptions!H8</f>
        <v>-58108.976399999992</v>
      </c>
      <c r="G8" s="161">
        <f>-Assumptions!I13*Assumptions!I8</f>
        <v>-62602.7372416</v>
      </c>
      <c r="H8" s="161">
        <f>-Assumptions!J13*Assumptions!J8</f>
        <v>-67180.562402391995</v>
      </c>
      <c r="I8" s="161">
        <f>-Assumptions!K13*Assumptions!K8</f>
        <v>-67852.368026415919</v>
      </c>
      <c r="J8" s="161">
        <f>-Assumptions!L13*Assumptions!L8</f>
        <v>-68530.891706680079</v>
      </c>
      <c r="K8" s="161">
        <f>-Assumptions!M13*Assumptions!M8</f>
        <v>-69216.200623746889</v>
      </c>
      <c r="L8" s="161">
        <f>-Assumptions!N13*Assumptions!N8</f>
        <v>-69908.362629984345</v>
      </c>
      <c r="M8" s="2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</row>
    <row r="9" spans="1:47" x14ac:dyDescent="0.35">
      <c r="A9" s="132" t="s">
        <v>3</v>
      </c>
      <c r="B9" s="160">
        <v>0</v>
      </c>
      <c r="C9" s="161">
        <f>-Assumptions!E29</f>
        <v>-18640</v>
      </c>
      <c r="D9" s="161">
        <f>-Assumptions!F29</f>
        <v>-20233.30909090909</v>
      </c>
      <c r="E9" s="161">
        <f>-Assumptions!G29</f>
        <v>-22842.412363636362</v>
      </c>
      <c r="F9" s="161">
        <f>-Assumptions!H29</f>
        <v>-25254.577341818171</v>
      </c>
      <c r="G9" s="161">
        <f>-Assumptions!I29</f>
        <v>-28174.819273527264</v>
      </c>
      <c r="H9" s="161">
        <f>-Assumptions!J29</f>
        <v>-30888.481665405267</v>
      </c>
      <c r="I9" s="161">
        <f>-Assumptions!K29</f>
        <v>-31969.578523694447</v>
      </c>
      <c r="J9" s="161">
        <f>-Assumptions!L29</f>
        <v>-33088.513772023747</v>
      </c>
      <c r="K9" s="161">
        <f>-Assumptions!M29</f>
        <v>-34246.611754044585</v>
      </c>
      <c r="L9" s="161">
        <f>-Assumptions!N29</f>
        <v>-35445.243165436135</v>
      </c>
      <c r="M9" s="2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</row>
    <row r="10" spans="1:47" x14ac:dyDescent="0.35">
      <c r="A10" s="132" t="s">
        <v>4</v>
      </c>
      <c r="B10" s="160">
        <v>0</v>
      </c>
      <c r="C10" s="161">
        <f>-Assumptions!E14</f>
        <v>-3600</v>
      </c>
      <c r="D10" s="161">
        <f>-Assumptions!F14</f>
        <v>-3708</v>
      </c>
      <c r="E10" s="161">
        <f>-Assumptions!G14</f>
        <v>-3819.2400000000002</v>
      </c>
      <c r="F10" s="161">
        <f>-Assumptions!H14</f>
        <v>-3933.8172000000004</v>
      </c>
      <c r="G10" s="161">
        <f>-Assumptions!I14</f>
        <v>-4051.8317160000006</v>
      </c>
      <c r="H10" s="161">
        <f>-Assumptions!J14</f>
        <v>-4173.3866674800011</v>
      </c>
      <c r="I10" s="161">
        <f>-Assumptions!K14</f>
        <v>-4298.5882675044013</v>
      </c>
      <c r="J10" s="161">
        <f>-Assumptions!L14</f>
        <v>-4427.5459155295339</v>
      </c>
      <c r="K10" s="161">
        <f>-Assumptions!M14</f>
        <v>-4560.3722929954201</v>
      </c>
      <c r="L10" s="161">
        <f>-Assumptions!N14</f>
        <v>-4697.1834617852828</v>
      </c>
      <c r="M10" s="2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</row>
    <row r="11" spans="1:47" x14ac:dyDescent="0.35">
      <c r="A11" s="132" t="s">
        <v>5</v>
      </c>
      <c r="B11" s="160">
        <v>0</v>
      </c>
      <c r="C11" s="161">
        <f>-Assumptions!E15</f>
        <v>-2250</v>
      </c>
      <c r="D11" s="161">
        <f>-Assumptions!F15</f>
        <v>-2317.5</v>
      </c>
      <c r="E11" s="161">
        <f>-Assumptions!G15</f>
        <v>-2387.0250000000001</v>
      </c>
      <c r="F11" s="161">
        <f>-Assumptions!H15</f>
        <v>-2458.6357500000004</v>
      </c>
      <c r="G11" s="161">
        <f>-Assumptions!I15</f>
        <v>-2532.3948225000004</v>
      </c>
      <c r="H11" s="161">
        <f>-Assumptions!J15</f>
        <v>-2608.3666671750007</v>
      </c>
      <c r="I11" s="161">
        <f>-Assumptions!K15</f>
        <v>-2686.6176671902508</v>
      </c>
      <c r="J11" s="161">
        <f>-Assumptions!L15</f>
        <v>-2767.2161972059585</v>
      </c>
      <c r="K11" s="161">
        <f>-Assumptions!M15</f>
        <v>-2850.2326831221371</v>
      </c>
      <c r="L11" s="161">
        <f>-Assumptions!N15</f>
        <v>-2935.7396636158014</v>
      </c>
      <c r="M11" s="2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</row>
    <row r="12" spans="1:47" x14ac:dyDescent="0.35">
      <c r="A12" s="132" t="s">
        <v>6</v>
      </c>
      <c r="B12" s="160">
        <v>0</v>
      </c>
      <c r="C12" s="161">
        <f>C7*-Assumptions!E31</f>
        <v>-6593.9840549622695</v>
      </c>
      <c r="D12" s="161">
        <f>D7*-Assumptions!F31</f>
        <v>-7286.3523807333077</v>
      </c>
      <c r="E12" s="161">
        <f>E7*-Assumptions!G31</f>
        <v>-8003.7778459132023</v>
      </c>
      <c r="F12" s="161">
        <f>F7*-Assumptions!H31</f>
        <v>-8746.9857887480011</v>
      </c>
      <c r="G12" s="161">
        <f>G7*-Assumptions!I31</f>
        <v>-9516.7205381578242</v>
      </c>
      <c r="H12" s="161">
        <f>H7*-Assumptions!J31</f>
        <v>-10313.745883228545</v>
      </c>
      <c r="I12" s="161">
        <f>I7*-Assumptions!K31</f>
        <v>-10520.020800893115</v>
      </c>
      <c r="J12" s="161">
        <f>J7*-Assumptions!L31</f>
        <v>-10730.421216910978</v>
      </c>
      <c r="K12" s="161">
        <f>K7*-Assumptions!M31</f>
        <v>-10945.029641249195</v>
      </c>
      <c r="L12" s="161">
        <f>L7*-Assumptions!N31</f>
        <v>-11163.93023407418</v>
      </c>
      <c r="M12" s="22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47" x14ac:dyDescent="0.35">
      <c r="A13" s="132" t="s">
        <v>7</v>
      </c>
      <c r="B13" s="160">
        <v>0</v>
      </c>
      <c r="C13" s="161">
        <f>-Investment!$F$11</f>
        <v>-4000</v>
      </c>
      <c r="D13" s="161">
        <f>-Investment!$F$11</f>
        <v>-4000</v>
      </c>
      <c r="E13" s="161">
        <f>-Investment!$F$11</f>
        <v>-4000</v>
      </c>
      <c r="F13" s="161">
        <f>-Investment!$F$11</f>
        <v>-4000</v>
      </c>
      <c r="G13" s="161">
        <f>-Investment!$F$11</f>
        <v>-4000</v>
      </c>
      <c r="H13" s="161">
        <f>-Investment!$F$11</f>
        <v>-4000</v>
      </c>
      <c r="I13" s="161">
        <f>-Investment!$F$11</f>
        <v>-4000</v>
      </c>
      <c r="J13" s="161">
        <f>-Investment!$F$11</f>
        <v>-4000</v>
      </c>
      <c r="K13" s="161">
        <f>-Investment!$F$11</f>
        <v>-4000</v>
      </c>
      <c r="L13" s="161">
        <f>-Investment!$F$11</f>
        <v>-4000</v>
      </c>
      <c r="M13" s="22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47" x14ac:dyDescent="0.35">
      <c r="A14" s="162" t="s">
        <v>8</v>
      </c>
      <c r="B14" s="163">
        <v>0</v>
      </c>
      <c r="C14" s="164">
        <f t="shared" ref="C14:E14" si="0">SUM(C7:C13)</f>
        <v>4756.0159450377305</v>
      </c>
      <c r="D14" s="164">
        <f t="shared" si="0"/>
        <v>6966.8385283576099</v>
      </c>
      <c r="E14" s="164">
        <f t="shared" si="0"/>
        <v>8373.9287904504381</v>
      </c>
      <c r="F14" s="164">
        <f t="shared" ref="F14:L14" si="1">SUM(F7:F13)</f>
        <v>10197.297119433852</v>
      </c>
      <c r="G14" s="164">
        <f t="shared" si="1"/>
        <v>11739.411493014923</v>
      </c>
      <c r="H14" s="164">
        <f t="shared" si="1"/>
        <v>13722.622187471228</v>
      </c>
      <c r="I14" s="164">
        <f t="shared" si="1"/>
        <v>14217.735496916928</v>
      </c>
      <c r="J14" s="164">
        <f t="shared" si="1"/>
        <v>14711.218149917084</v>
      </c>
      <c r="K14" s="164">
        <f t="shared" si="1"/>
        <v>15202.476102274479</v>
      </c>
      <c r="L14" s="164">
        <f t="shared" si="1"/>
        <v>15690.88240448563</v>
      </c>
      <c r="M14" s="22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47" x14ac:dyDescent="0.35">
      <c r="A15" s="132" t="s">
        <v>9</v>
      </c>
      <c r="B15" s="160">
        <v>0</v>
      </c>
      <c r="C15" s="165">
        <f t="shared" ref="C15:L15" si="2">C14*TaxRate</f>
        <v>1901.8391067067291</v>
      </c>
      <c r="D15" s="165">
        <f t="shared" si="2"/>
        <v>2785.9044453301444</v>
      </c>
      <c r="E15" s="165">
        <f t="shared" si="2"/>
        <v>3348.5727202139728</v>
      </c>
      <c r="F15" s="165">
        <f t="shared" si="2"/>
        <v>4077.7025705058536</v>
      </c>
      <c r="G15" s="165">
        <f t="shared" si="2"/>
        <v>4694.3643850548715</v>
      </c>
      <c r="H15" s="165">
        <f t="shared" si="2"/>
        <v>5487.4121164215694</v>
      </c>
      <c r="I15" s="165">
        <f t="shared" si="2"/>
        <v>5685.3983858194433</v>
      </c>
      <c r="J15" s="165">
        <f t="shared" si="2"/>
        <v>5882.7325871347912</v>
      </c>
      <c r="K15" s="165">
        <f t="shared" si="2"/>
        <v>6079.1771735430384</v>
      </c>
      <c r="L15" s="165">
        <f t="shared" si="2"/>
        <v>6274.4814400218638</v>
      </c>
      <c r="M15" s="2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35">
      <c r="A16" s="162" t="s">
        <v>10</v>
      </c>
      <c r="B16" s="163">
        <v>0</v>
      </c>
      <c r="C16" s="164">
        <f t="shared" ref="C16:L16" si="3">C14-C15</f>
        <v>2854.1768383310014</v>
      </c>
      <c r="D16" s="164">
        <f t="shared" si="3"/>
        <v>4180.934083027465</v>
      </c>
      <c r="E16" s="164">
        <f t="shared" si="3"/>
        <v>5025.3560702364648</v>
      </c>
      <c r="F16" s="164">
        <f t="shared" si="3"/>
        <v>6119.5945489279984</v>
      </c>
      <c r="G16" s="164">
        <f t="shared" si="3"/>
        <v>7045.0471079600511</v>
      </c>
      <c r="H16" s="164">
        <f t="shared" si="3"/>
        <v>8235.2100710496597</v>
      </c>
      <c r="I16" s="164">
        <f t="shared" si="3"/>
        <v>8532.337111097484</v>
      </c>
      <c r="J16" s="164">
        <f t="shared" si="3"/>
        <v>8828.4855627822926</v>
      </c>
      <c r="K16" s="164">
        <f t="shared" si="3"/>
        <v>9123.2989287314413</v>
      </c>
      <c r="L16" s="164">
        <f t="shared" si="3"/>
        <v>9416.4009644637663</v>
      </c>
      <c r="M16" s="22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35">
      <c r="A17" s="132" t="s">
        <v>11</v>
      </c>
      <c r="B17" s="166">
        <f>-B13</f>
        <v>0</v>
      </c>
      <c r="C17" s="161">
        <f t="shared" ref="C17:L17" si="4">-C13</f>
        <v>4000</v>
      </c>
      <c r="D17" s="161">
        <f t="shared" si="4"/>
        <v>4000</v>
      </c>
      <c r="E17" s="161">
        <f t="shared" si="4"/>
        <v>4000</v>
      </c>
      <c r="F17" s="161">
        <f t="shared" si="4"/>
        <v>4000</v>
      </c>
      <c r="G17" s="161">
        <f t="shared" si="4"/>
        <v>4000</v>
      </c>
      <c r="H17" s="161">
        <f t="shared" si="4"/>
        <v>4000</v>
      </c>
      <c r="I17" s="161">
        <f t="shared" si="4"/>
        <v>4000</v>
      </c>
      <c r="J17" s="161">
        <f t="shared" si="4"/>
        <v>4000</v>
      </c>
      <c r="K17" s="161">
        <f t="shared" si="4"/>
        <v>4000</v>
      </c>
      <c r="L17" s="161">
        <f t="shared" si="4"/>
        <v>4000</v>
      </c>
      <c r="M17" s="22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35">
      <c r="A18" s="132" t="s">
        <v>12</v>
      </c>
      <c r="B18" s="160">
        <v>0</v>
      </c>
      <c r="C18" s="161">
        <f>-Assumptions!E48</f>
        <v>-12671.709256087848</v>
      </c>
      <c r="D18" s="161">
        <f>-Assumptions!F48</f>
        <v>-1451.5451589181612</v>
      </c>
      <c r="E18" s="161">
        <f>-Assumptions!G48</f>
        <v>-1421.2652950019328</v>
      </c>
      <c r="F18" s="161">
        <f>-Assumptions!H48</f>
        <v>-1506.6112878921158</v>
      </c>
      <c r="G18" s="161">
        <f>-Assumptions!I48</f>
        <v>-1527.9321510493319</v>
      </c>
      <c r="H18" s="161">
        <f>-Assumptions!J48</f>
        <v>-1618.3142682221296</v>
      </c>
      <c r="I18" s="161">
        <f>-Assumptions!K48</f>
        <v>-417.12830727749679</v>
      </c>
      <c r="J18" s="161">
        <f>-Assumptions!L48</f>
        <v>-424.39017004263223</v>
      </c>
      <c r="K18" s="161">
        <f>-Assumptions!M48</f>
        <v>-431.74466063589716</v>
      </c>
      <c r="L18" s="161">
        <f>Assumptions!M47</f>
        <v>21470.640555127546</v>
      </c>
      <c r="M18" s="22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35">
      <c r="A19" s="132" t="s">
        <v>13</v>
      </c>
      <c r="B19" s="167">
        <f>-SUM(Investment!D7:D9)</f>
        <v>-45000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22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35">
      <c r="A20" s="132" t="s">
        <v>14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22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ht="15" thickBot="1" x14ac:dyDescent="0.4">
      <c r="A21" s="168" t="s">
        <v>15</v>
      </c>
      <c r="B21" s="169">
        <f>SUM(B16:B20)</f>
        <v>-45000</v>
      </c>
      <c r="C21" s="169">
        <f t="shared" ref="C21:L21" si="5">SUM(C16:C20)</f>
        <v>-5817.5324177568473</v>
      </c>
      <c r="D21" s="169">
        <f t="shared" si="5"/>
        <v>6729.3889241093038</v>
      </c>
      <c r="E21" s="169">
        <f t="shared" si="5"/>
        <v>7604.090775234532</v>
      </c>
      <c r="F21" s="169">
        <f t="shared" si="5"/>
        <v>8612.9832610358826</v>
      </c>
      <c r="G21" s="169">
        <f t="shared" si="5"/>
        <v>9517.1149569107183</v>
      </c>
      <c r="H21" s="169">
        <f t="shared" si="5"/>
        <v>10616.89580282753</v>
      </c>
      <c r="I21" s="169">
        <f t="shared" si="5"/>
        <v>12115.208803819987</v>
      </c>
      <c r="J21" s="169">
        <f t="shared" si="5"/>
        <v>12404.09539273966</v>
      </c>
      <c r="K21" s="169">
        <f t="shared" si="5"/>
        <v>12691.554268095544</v>
      </c>
      <c r="L21" s="169">
        <f t="shared" si="5"/>
        <v>34887.041519591308</v>
      </c>
      <c r="M21" s="2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ht="15" thickTop="1" x14ac:dyDescent="0.35">
      <c r="A22" s="132" t="s">
        <v>16</v>
      </c>
      <c r="B22" s="170">
        <v>1</v>
      </c>
      <c r="C22" s="171">
        <f t="shared" ref="C22:L22" si="6">B22/(1+$B$26)</f>
        <v>0.9148014001945719</v>
      </c>
      <c r="D22" s="171">
        <f t="shared" si="6"/>
        <v>0.83686160179794933</v>
      </c>
      <c r="E22" s="171">
        <f t="shared" si="6"/>
        <v>0.76556216509383634</v>
      </c>
      <c r="F22" s="171">
        <f t="shared" si="6"/>
        <v>0.70033734056382946</v>
      </c>
      <c r="G22" s="171">
        <f t="shared" si="6"/>
        <v>0.64066957975633398</v>
      </c>
      <c r="H22" s="171">
        <f t="shared" si="6"/>
        <v>0.58608542862316226</v>
      </c>
      <c r="I22" s="171">
        <f t="shared" si="6"/>
        <v>0.53615177073810472</v>
      </c>
      <c r="J22" s="171">
        <f t="shared" si="6"/>
        <v>0.49047239058801728</v>
      </c>
      <c r="K22" s="171">
        <f t="shared" si="6"/>
        <v>0.44868482966669715</v>
      </c>
      <c r="L22" s="171">
        <f t="shared" si="6"/>
        <v>0.41045751042515755</v>
      </c>
      <c r="M22" s="2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</row>
    <row r="23" spans="1:47" x14ac:dyDescent="0.35">
      <c r="A23" s="132" t="s">
        <v>17</v>
      </c>
      <c r="B23" s="167">
        <f>B21*B22</f>
        <v>-45000</v>
      </c>
      <c r="C23" s="167">
        <f>C21*C22</f>
        <v>-5321.8868014412774</v>
      </c>
      <c r="D23" s="167">
        <f>D21*D22</f>
        <v>5631.5671941514911</v>
      </c>
      <c r="E23" s="167">
        <f>E21*E22</f>
        <v>5821.4041974586171</v>
      </c>
      <c r="F23" s="167">
        <f t="shared" ref="F23:L23" si="7">F21*F22</f>
        <v>6031.9937913546491</v>
      </c>
      <c r="G23" s="167">
        <f t="shared" si="7"/>
        <v>6097.3260399367109</v>
      </c>
      <c r="H23" s="167">
        <f t="shared" si="7"/>
        <v>6222.4079272476256</v>
      </c>
      <c r="I23" s="167">
        <f t="shared" si="7"/>
        <v>6495.5906530299617</v>
      </c>
      <c r="J23" s="167">
        <f t="shared" si="7"/>
        <v>6083.8663203588321</v>
      </c>
      <c r="K23" s="167">
        <f t="shared" si="7"/>
        <v>5694.5078649860925</v>
      </c>
      <c r="L23" s="167">
        <f t="shared" si="7"/>
        <v>14319.648208230554</v>
      </c>
      <c r="M23" s="22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35">
      <c r="A24" s="132" t="s">
        <v>18</v>
      </c>
      <c r="B24" s="167">
        <f>B23</f>
        <v>-45000</v>
      </c>
      <c r="C24" s="167">
        <f>B24+C23</f>
        <v>-50321.88680144128</v>
      </c>
      <c r="D24" s="167">
        <f t="shared" ref="D24:L24" si="8">C24+D23</f>
        <v>-44690.319607289792</v>
      </c>
      <c r="E24" s="167">
        <f t="shared" si="8"/>
        <v>-38868.915409831177</v>
      </c>
      <c r="F24" s="167">
        <f t="shared" si="8"/>
        <v>-32836.921618476525</v>
      </c>
      <c r="G24" s="167">
        <f t="shared" si="8"/>
        <v>-26739.595578539815</v>
      </c>
      <c r="H24" s="167">
        <f t="shared" si="8"/>
        <v>-20517.187651292188</v>
      </c>
      <c r="I24" s="167">
        <f t="shared" si="8"/>
        <v>-14021.596998262226</v>
      </c>
      <c r="J24" s="167">
        <f t="shared" si="8"/>
        <v>-7937.7306779033943</v>
      </c>
      <c r="K24" s="167">
        <f t="shared" si="8"/>
        <v>-2243.2228129173018</v>
      </c>
      <c r="L24" s="167">
        <f t="shared" si="8"/>
        <v>12076.425395313252</v>
      </c>
      <c r="M24" s="22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35">
      <c r="A25" s="172" t="s">
        <v>19</v>
      </c>
      <c r="B25" s="173">
        <f>SUM(B23:L23)</f>
        <v>12076.425395313252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2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35">
      <c r="A26" s="174" t="s">
        <v>20</v>
      </c>
      <c r="B26" s="175">
        <f>[1]WACC!I69</f>
        <v>9.3133438347718825E-2</v>
      </c>
      <c r="C26" s="170"/>
      <c r="D26" s="170"/>
      <c r="E26" s="170"/>
      <c r="F26" s="132"/>
      <c r="G26" s="132"/>
      <c r="H26" s="132"/>
      <c r="I26" s="132"/>
      <c r="J26" s="132"/>
      <c r="K26" s="132"/>
      <c r="L26" s="132"/>
      <c r="M26" s="22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35">
      <c r="A27" s="132"/>
      <c r="B27" s="132"/>
      <c r="C27" s="170"/>
      <c r="D27" s="170"/>
      <c r="E27" s="170"/>
      <c r="F27" s="132"/>
      <c r="G27" s="132"/>
      <c r="H27" s="132"/>
      <c r="I27" s="132"/>
      <c r="J27" s="132"/>
      <c r="K27" s="132"/>
      <c r="L27" s="132"/>
      <c r="M27" s="22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35">
      <c r="A28" s="132" t="s">
        <v>21</v>
      </c>
      <c r="B28" s="176">
        <f>NPV(B26,C21,D21,E21)</f>
        <v>6131.0845901688299</v>
      </c>
      <c r="C28" s="170"/>
      <c r="D28" s="170"/>
      <c r="E28" s="170"/>
      <c r="F28" s="132"/>
      <c r="G28" s="132"/>
      <c r="H28" s="132"/>
      <c r="I28" s="132"/>
      <c r="J28" s="132"/>
      <c r="K28" s="132"/>
      <c r="L28" s="132"/>
      <c r="M28" s="22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35">
      <c r="A29" s="132" t="s">
        <v>22</v>
      </c>
      <c r="B29" s="161">
        <f>B21</f>
        <v>-45000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22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35">
      <c r="A30" s="132" t="s">
        <v>23</v>
      </c>
      <c r="B30" s="176">
        <f>SUM(B28:B29)</f>
        <v>-38868.91540983117</v>
      </c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22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47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</row>
    <row r="34" spans="1:47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</row>
    <row r="35" spans="1:47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</row>
    <row r="38" spans="1:47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</row>
    <row r="39" spans="1:47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</row>
    <row r="42" spans="1:47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 spans="1:47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 spans="1:47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 spans="1:47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 spans="1:47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  <row r="47" spans="1:47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</row>
    <row r="48" spans="1:47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</row>
    <row r="49" spans="1:47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</row>
    <row r="50" spans="1:47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</row>
    <row r="54" spans="1:47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</row>
    <row r="55" spans="1:47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</row>
    <row r="56" spans="1:47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</row>
    <row r="57" spans="1:47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</row>
    <row r="61" spans="1:47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</row>
    <row r="63" spans="1:47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:47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:47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:47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:47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:47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:47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:47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:47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:47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:47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:47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:47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:47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:47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:47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:47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:47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:47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:47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:47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:47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:47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:47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:47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:47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:47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:47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:47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:47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:47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:47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:4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:4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:47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:47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:47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:47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:47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:47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:47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:47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:47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:47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:4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:47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:47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:47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:47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:47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:47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:47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</row>
    <row r="116" spans="1:47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</row>
    <row r="117" spans="1:47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</row>
    <row r="118" spans="1:47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</row>
    <row r="119" spans="1:47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</row>
    <row r="120" spans="1:47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</row>
    <row r="121" spans="1:47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</row>
    <row r="122" spans="1:47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</row>
    <row r="123" spans="1:47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</row>
    <row r="124" spans="1:47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</row>
    <row r="125" spans="1:47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</row>
    <row r="126" spans="1:47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</row>
    <row r="127" spans="1:47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</row>
    <row r="128" spans="1:47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</row>
    <row r="129" spans="1:47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</row>
    <row r="130" spans="1:47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</row>
    <row r="131" spans="1:47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</row>
    <row r="132" spans="1:47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</row>
    <row r="133" spans="1:47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</row>
    <row r="134" spans="1:47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</row>
    <row r="135" spans="1:47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</row>
    <row r="136" spans="1:47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</row>
    <row r="137" spans="1:47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</row>
    <row r="138" spans="1:47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</row>
    <row r="139" spans="1:47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</row>
    <row r="140" spans="1:47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</row>
    <row r="141" spans="1:47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7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</row>
    <row r="143" spans="1:47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7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</row>
    <row r="145" spans="1:47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1:47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</row>
    <row r="147" spans="1:47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1:47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</row>
    <row r="149" spans="1:47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1:47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</row>
    <row r="151" spans="1:47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1:47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</row>
    <row r="153" spans="1:47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1:47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</row>
    <row r="155" spans="1:47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1:47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</row>
    <row r="157" spans="1:47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1:47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</row>
    <row r="159" spans="1:47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1:47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</row>
    <row r="161" spans="1:47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1:47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</row>
    <row r="163" spans="1:47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1:47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</row>
    <row r="165" spans="1:47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1:47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</row>
    <row r="167" spans="1:47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1:47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</row>
    <row r="169" spans="1:47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1:47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</row>
    <row r="171" spans="1:47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1:47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</row>
    <row r="173" spans="1:47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1:47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</row>
    <row r="175" spans="1:47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1:47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</row>
    <row r="177" spans="1:47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1:47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</row>
    <row r="179" spans="1:47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1:47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</row>
    <row r="181" spans="1:47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1:47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</row>
    <row r="183" spans="1:47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1:47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</row>
    <row r="185" spans="1:47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1:47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</row>
    <row r="187" spans="1:47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1:47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</row>
    <row r="189" spans="1:47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1:47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</row>
    <row r="191" spans="1:47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1:47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</row>
    <row r="193" spans="1:47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1:47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</row>
    <row r="195" spans="1:47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1:47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</row>
    <row r="197" spans="1:47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1:47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</row>
    <row r="199" spans="1:47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1:47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</row>
    <row r="201" spans="1:47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1:47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</row>
    <row r="203" spans="1:47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1:47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</row>
    <row r="205" spans="1:47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1:47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</row>
    <row r="207" spans="1:47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1:47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</row>
    <row r="209" spans="1:47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1:47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</row>
    <row r="211" spans="1:47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1:47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</row>
    <row r="213" spans="1:47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1:47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</row>
    <row r="215" spans="1:47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1:47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</row>
    <row r="217" spans="1:47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1:47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</row>
    <row r="219" spans="1:47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1:47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</row>
    <row r="221" spans="1:47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1:47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</row>
    <row r="223" spans="1:47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1:47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</row>
    <row r="225" spans="1:47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1:47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</row>
    <row r="227" spans="1:47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1:47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</row>
    <row r="229" spans="1:47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1:47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</row>
    <row r="231" spans="1:47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1:47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</row>
    <row r="233" spans="1:47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1:47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</row>
    <row r="235" spans="1:47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1:47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</row>
    <row r="237" spans="1:47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1:47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</row>
    <row r="239" spans="1:47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1:47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</row>
    <row r="241" spans="1:47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1:47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</row>
    <row r="243" spans="1:47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1:47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</row>
    <row r="245" spans="1:47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1:47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</row>
    <row r="247" spans="1:47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1:47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</row>
    <row r="249" spans="1:47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1:47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</row>
    <row r="251" spans="1:47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1:47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</row>
    <row r="253" spans="1:47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1:47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</row>
    <row r="255" spans="1:47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1:47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</row>
    <row r="257" spans="1:47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1:47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</row>
    <row r="259" spans="1:47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1:47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</row>
    <row r="261" spans="1:47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1:47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</row>
    <row r="263" spans="1:47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1:47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</row>
    <row r="265" spans="1:47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1:47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</row>
    <row r="267" spans="1:47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1:47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</row>
    <row r="269" spans="1:47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1:47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</row>
    <row r="271" spans="1:47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1:47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</row>
    <row r="273" spans="1:47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1:47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</row>
    <row r="275" spans="1:47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1:47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</row>
    <row r="277" spans="1:47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1:47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</row>
    <row r="279" spans="1:47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1:47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</row>
    <row r="281" spans="1:47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1:47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</row>
    <row r="283" spans="1:47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1:47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</row>
    <row r="285" spans="1:47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1:47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</row>
    <row r="287" spans="1:47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1:47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</row>
    <row r="289" spans="1:47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1:47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</row>
    <row r="291" spans="1:47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1:47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</row>
    <row r="293" spans="1:47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1:47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</row>
    <row r="295" spans="1:47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1:47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</row>
    <row r="297" spans="1:47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1:47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</row>
    <row r="299" spans="1:47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1:47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</row>
    <row r="301" spans="1:47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1:47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</row>
    <row r="303" spans="1:47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1:47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</row>
    <row r="305" spans="1:47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1:47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</row>
    <row r="307" spans="1:47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1:47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</row>
    <row r="309" spans="1:47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1:47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</row>
    <row r="311" spans="1:47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1:47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</row>
    <row r="313" spans="1:47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1:47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</row>
    <row r="315" spans="1:47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1:47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</row>
    <row r="317" spans="1:47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1:47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</row>
    <row r="319" spans="1:47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1:47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</row>
    <row r="321" spans="1:47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1:47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</row>
  </sheetData>
  <sheetProtection algorithmName="SHA-512" hashValue="Ivh29DuclK8WuL1J2NWtjjGrVY4/ArgIm1HX8H1fDnkh5yaKCsRjQkgsht5HWo3Z/2WElwUYVlpW7uCjE+hbIA==" saltValue="s2wzjLK8p23I1sKg5loTIg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34"/>
  <sheetViews>
    <sheetView workbookViewId="0">
      <selection activeCell="A2" sqref="A2"/>
    </sheetView>
  </sheetViews>
  <sheetFormatPr defaultRowHeight="14.5" x14ac:dyDescent="0.35"/>
  <cols>
    <col min="1" max="1" width="23.26953125" bestFit="1" customWidth="1"/>
    <col min="2" max="2" width="13.453125" bestFit="1" customWidth="1"/>
  </cols>
  <sheetData>
    <row r="1" spans="1:68" ht="25" x14ac:dyDescent="0.5">
      <c r="A1" s="94" t="s">
        <v>84</v>
      </c>
      <c r="B1" s="9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68" s="2" customFormat="1" x14ac:dyDescent="0.35">
      <c r="A2" s="96"/>
      <c r="B2" s="97"/>
    </row>
    <row r="3" spans="1:68" x14ac:dyDescent="0.35">
      <c r="A3" s="98"/>
      <c r="B3" s="9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x14ac:dyDescent="0.35">
      <c r="A4" s="101" t="s">
        <v>104</v>
      </c>
      <c r="B4" s="10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x14ac:dyDescent="0.35">
      <c r="A5" s="22"/>
      <c r="B5" s="2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x14ac:dyDescent="0.35">
      <c r="A6" s="132" t="s">
        <v>87</v>
      </c>
      <c r="B6" s="177">
        <v>500000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x14ac:dyDescent="0.35">
      <c r="A7" s="132" t="s">
        <v>88</v>
      </c>
      <c r="B7" s="177">
        <f>ROUND(B6*0.72,0)</f>
        <v>360000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x14ac:dyDescent="0.35">
      <c r="A8" s="132" t="s">
        <v>89</v>
      </c>
      <c r="B8" s="177">
        <v>475000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x14ac:dyDescent="0.35">
      <c r="A9" s="132" t="s">
        <v>90</v>
      </c>
      <c r="B9" s="111">
        <v>0.34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5" x14ac:dyDescent="0.4">
      <c r="A10" s="178" t="s">
        <v>221</v>
      </c>
      <c r="B10" s="111">
        <v>0.2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x14ac:dyDescent="0.35">
      <c r="A11" s="132" t="s">
        <v>91</v>
      </c>
      <c r="B11" s="179">
        <v>126229.5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x14ac:dyDescent="0.35">
      <c r="A12" s="132"/>
      <c r="B12" s="13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x14ac:dyDescent="0.35">
      <c r="A13" s="132"/>
      <c r="B13" s="180" t="s">
        <v>92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x14ac:dyDescent="0.35">
      <c r="A14" s="181"/>
      <c r="B14" s="182" t="s">
        <v>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x14ac:dyDescent="0.35">
      <c r="A15" s="132" t="s">
        <v>94</v>
      </c>
      <c r="B15" s="177">
        <v>500000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x14ac:dyDescent="0.35">
      <c r="A16" s="132" t="s">
        <v>95</v>
      </c>
      <c r="B16" s="183">
        <f>-B7</f>
        <v>-360000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x14ac:dyDescent="0.35">
      <c r="A17" s="132" t="s">
        <v>96</v>
      </c>
      <c r="B17" s="184">
        <f>SUM(B15:B16)</f>
        <v>140000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x14ac:dyDescent="0.35">
      <c r="A18" s="132" t="s">
        <v>97</v>
      </c>
      <c r="B18" s="183">
        <f>-ROUND(B17*B9,0)</f>
        <v>-47600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x14ac:dyDescent="0.35">
      <c r="A19" s="132" t="s">
        <v>98</v>
      </c>
      <c r="B19" s="177">
        <f>SUM(B17:B18)</f>
        <v>92400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5" x14ac:dyDescent="0.4">
      <c r="A20" s="178" t="s">
        <v>222</v>
      </c>
      <c r="B20" s="111">
        <v>0.2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x14ac:dyDescent="0.35">
      <c r="A21" s="132" t="s">
        <v>99</v>
      </c>
      <c r="B21" s="184">
        <f>B19/B20</f>
        <v>462000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x14ac:dyDescent="0.35">
      <c r="A22" s="132" t="s">
        <v>89</v>
      </c>
      <c r="B22" s="183">
        <f>-B8</f>
        <v>-475000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x14ac:dyDescent="0.35">
      <c r="A23" s="185" t="s">
        <v>100</v>
      </c>
      <c r="B23" s="186">
        <f>SUM(B21:B22)</f>
        <v>-13000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x14ac:dyDescent="0.35">
      <c r="A24" s="132"/>
      <c r="B24" s="13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x14ac:dyDescent="0.35">
      <c r="A25" s="132" t="s">
        <v>101</v>
      </c>
      <c r="B25" s="179">
        <f>B11</f>
        <v>126229.5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5" x14ac:dyDescent="0.4">
      <c r="A26" s="178" t="s">
        <v>223</v>
      </c>
      <c r="B26" s="111">
        <f>B9</f>
        <v>0.34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x14ac:dyDescent="0.35">
      <c r="A27" s="132" t="s">
        <v>102</v>
      </c>
      <c r="B27" s="187">
        <f>ROUND(B9*B11,2)</f>
        <v>42918.03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x14ac:dyDescent="0.35">
      <c r="A28" s="185" t="s">
        <v>103</v>
      </c>
      <c r="B28" s="188">
        <f>B23+B27</f>
        <v>29918.03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</sheetData>
  <sheetProtection algorithmName="SHA-512" hashValue="60K6/7RJIVH0lMtZONzc8CwSIOeC1rcS2ihgbUJtqLouhMfM9EWU/bpLz+vfvlUpfpPuO4yoqOR2lHRWyf7EGQ==" saltValue="AG/KkKHHpQx2WB0IkAUShg==" spinCount="100000" sheet="1" objects="1" scenarios="1"/>
  <mergeCells count="1"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IS</vt:lpstr>
      <vt:lpstr>BS</vt:lpstr>
      <vt:lpstr>CFS</vt:lpstr>
      <vt:lpstr>Comps</vt:lpstr>
      <vt:lpstr>Investment</vt:lpstr>
      <vt:lpstr>Assumptions</vt:lpstr>
      <vt:lpstr>WACC</vt:lpstr>
      <vt:lpstr>Model</vt:lpstr>
      <vt:lpstr>APV</vt:lpstr>
      <vt:lpstr>APV Amort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</dc:creator>
  <cp:lastModifiedBy>Kyle W. Brown</cp:lastModifiedBy>
  <dcterms:created xsi:type="dcterms:W3CDTF">2018-07-16T16:06:59Z</dcterms:created>
  <dcterms:modified xsi:type="dcterms:W3CDTF">2020-09-16T20:53:15Z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f3694e26-21f9-4541-a7f2-d69b42d486cc</vt:lpwstr>
  </property>
</Properties>
</file>