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4" windowWidth="20486" windowHeight="7580" tabRatio="744" activeTab="1"/>
  </bookViews>
  <sheets>
    <sheet name="Item details with description" sheetId="15" r:id="rId1"/>
    <sheet name="Soling" sheetId="8" r:id="rId2"/>
    <sheet name="40 mm gravel filling." sheetId="9" r:id="rId3"/>
    <sheet name="Glass" sheetId="10" r:id="rId4"/>
    <sheet name="HDPE liner" sheetId="13" r:id="rId5"/>
    <sheet name="AR Paint" sheetId="12" r:id="rId6"/>
    <sheet name="CI pipe" sheetId="16" r:id="rId7"/>
    <sheet name="Toilet fixtures" sheetId="18" r:id="rId8"/>
    <sheet name="Concrete paver blocks" sheetId="19" r:id="rId9"/>
    <sheet name="Concertina Wire" sheetId="21" r:id="rId10"/>
    <sheet name="Sand filling" sheetId="23" r:id="rId11"/>
    <sheet name="Hume pipe" sheetId="24" r:id="rId12"/>
    <sheet name="injuction Grouting " sheetId="22" r:id="rId13"/>
    <sheet name="Item Abstract" sheetId="14" r:id="rId14"/>
  </sheets>
  <definedNames>
    <definedName name="_xlnm.Print_Area" localSheetId="2">'40 mm gravel filling.'!$B$2:$I$14</definedName>
    <definedName name="_xlnm.Print_Area" localSheetId="5">'AR Paint'!$B$2:$I$15</definedName>
    <definedName name="_xlnm.Print_Area" localSheetId="6">'CI pipe'!$B$2:$I$21</definedName>
    <definedName name="_xlnm.Print_Area" localSheetId="9">'Concertina Wire'!$B$2:$I$15</definedName>
    <definedName name="_xlnm.Print_Area" localSheetId="8">'Concrete paver blocks'!$B$2:$I$21</definedName>
    <definedName name="_xlnm.Print_Area" localSheetId="3">Glass!$B$2:$I$25</definedName>
    <definedName name="_xlnm.Print_Area" localSheetId="4">'HDPE liner'!$B$2:$I$15</definedName>
    <definedName name="_xlnm.Print_Area" localSheetId="11">'Hume pipe'!$B$2:$I$28</definedName>
    <definedName name="_xlnm.Print_Area" localSheetId="12">'injuction Grouting '!$B$2:$I$11</definedName>
    <definedName name="_xlnm.Print_Area" localSheetId="0">'Item details with description'!$B$2:$L$57</definedName>
    <definedName name="_xlnm.Print_Area" localSheetId="10">'Sand filling'!$B$2:$I$17</definedName>
    <definedName name="_xlnm.Print_Area" localSheetId="1">Soling!$B$2:$I$16</definedName>
    <definedName name="_xlnm.Print_Area" localSheetId="7">'Toilet fixtures'!$B$2:$I$15</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 i="24" l="1"/>
  <c r="I20" i="24"/>
  <c r="I15" i="24"/>
  <c r="I10" i="24"/>
  <c r="I13" i="23"/>
  <c r="I11" i="21"/>
  <c r="I13" i="21" s="1"/>
  <c r="I17" i="19"/>
  <c r="I10" i="19"/>
  <c r="I18" i="16"/>
  <c r="I20" i="16" s="1"/>
  <c r="I11" i="16"/>
  <c r="I13" i="16" s="1"/>
  <c r="I12" i="9"/>
  <c r="I13" i="8"/>
  <c r="I19" i="19"/>
  <c r="I12" i="19"/>
  <c r="I15" i="23"/>
  <c r="I12" i="23"/>
  <c r="I14" i="9"/>
  <c r="I17" i="16"/>
  <c r="I10" i="16"/>
  <c r="I11" i="9"/>
  <c r="I11" i="8"/>
  <c r="I12" i="8" l="1"/>
  <c r="I14" i="8" s="1"/>
  <c r="I26" i="24" l="1"/>
  <c r="I21" i="24"/>
  <c r="I16" i="24"/>
  <c r="I11" i="24"/>
  <c r="H15" i="15" l="1"/>
  <c r="H16" i="15"/>
  <c r="H20" i="15"/>
  <c r="H30" i="15"/>
  <c r="H34" i="15"/>
  <c r="H35" i="15"/>
  <c r="H37" i="15"/>
  <c r="H42" i="15"/>
  <c r="G15" i="15"/>
  <c r="I15" i="15" s="1"/>
  <c r="G16" i="15"/>
  <c r="I16" i="15" s="1"/>
  <c r="G20" i="15"/>
  <c r="I20" i="15" s="1"/>
  <c r="G25" i="15"/>
  <c r="I25" i="15" s="1"/>
  <c r="G30" i="15"/>
  <c r="I30" i="15" s="1"/>
  <c r="G34" i="15"/>
  <c r="I34" i="15" s="1"/>
  <c r="G37" i="15"/>
  <c r="I37" i="15" s="1"/>
  <c r="G42" i="15"/>
  <c r="I42" i="15" s="1"/>
  <c r="F46" i="15"/>
  <c r="H46" i="15" s="1"/>
  <c r="F45" i="15"/>
  <c r="H45" i="15" s="1"/>
  <c r="F44" i="15"/>
  <c r="G44" i="15" s="1"/>
  <c r="I44" i="15" s="1"/>
  <c r="F43" i="15"/>
  <c r="G43" i="15" s="1"/>
  <c r="I43" i="15" s="1"/>
  <c r="F41" i="15"/>
  <c r="H41" i="15" s="1"/>
  <c r="F40" i="15"/>
  <c r="H40" i="15" s="1"/>
  <c r="F39" i="15"/>
  <c r="G39" i="15" s="1"/>
  <c r="I39" i="15" s="1"/>
  <c r="F38" i="15"/>
  <c r="H38" i="15" s="1"/>
  <c r="F36" i="15"/>
  <c r="G36" i="15" s="1"/>
  <c r="I36" i="15" s="1"/>
  <c r="F35" i="15"/>
  <c r="G35" i="15" s="1"/>
  <c r="I35" i="15" s="1"/>
  <c r="F33" i="15"/>
  <c r="H33" i="15" s="1"/>
  <c r="F32" i="15"/>
  <c r="G32" i="15" s="1"/>
  <c r="I32" i="15" s="1"/>
  <c r="F31" i="15"/>
  <c r="G31" i="15" s="1"/>
  <c r="I31" i="15" s="1"/>
  <c r="F29" i="15"/>
  <c r="H29" i="15" s="1"/>
  <c r="F28" i="15"/>
  <c r="G28" i="15" s="1"/>
  <c r="I28" i="15" s="1"/>
  <c r="F27" i="15"/>
  <c r="G27" i="15" s="1"/>
  <c r="I27" i="15" s="1"/>
  <c r="F26" i="15"/>
  <c r="H26" i="15" s="1"/>
  <c r="F25" i="15"/>
  <c r="H25" i="15" s="1"/>
  <c r="F24" i="15"/>
  <c r="G24" i="15" s="1"/>
  <c r="I24" i="15" s="1"/>
  <c r="F23" i="15"/>
  <c r="G23" i="15" s="1"/>
  <c r="I23" i="15" s="1"/>
  <c r="F22" i="15"/>
  <c r="H22" i="15" s="1"/>
  <c r="F21" i="15"/>
  <c r="H21" i="15" s="1"/>
  <c r="F19" i="15"/>
  <c r="G19" i="15" s="1"/>
  <c r="I19" i="15" s="1"/>
  <c r="F18" i="15"/>
  <c r="H18" i="15" s="1"/>
  <c r="F17" i="15"/>
  <c r="H17" i="15" s="1"/>
  <c r="F16" i="15"/>
  <c r="F14" i="15"/>
  <c r="G14" i="15" s="1"/>
  <c r="I14" i="15" s="1"/>
  <c r="G40" i="15" l="1"/>
  <c r="I40" i="15" s="1"/>
  <c r="H24" i="15"/>
  <c r="G38" i="15"/>
  <c r="I38" i="15" s="1"/>
  <c r="H14" i="15"/>
  <c r="H39" i="15"/>
  <c r="H32" i="15"/>
  <c r="H28" i="15"/>
  <c r="G33" i="15"/>
  <c r="I33" i="15" s="1"/>
  <c r="G21" i="15"/>
  <c r="I21" i="15" s="1"/>
  <c r="G45" i="15"/>
  <c r="I45" i="15" s="1"/>
  <c r="G29" i="15"/>
  <c r="I29" i="15" s="1"/>
  <c r="G18" i="15"/>
  <c r="I18" i="15" s="1"/>
  <c r="H44" i="15"/>
  <c r="H19" i="15"/>
  <c r="G46" i="15"/>
  <c r="I46" i="15" s="1"/>
  <c r="G26" i="15"/>
  <c r="I26" i="15" s="1"/>
  <c r="G22" i="15"/>
  <c r="I22" i="15" s="1"/>
  <c r="H36" i="15"/>
  <c r="G41" i="15"/>
  <c r="I41" i="15" s="1"/>
  <c r="G17" i="15"/>
  <c r="I17" i="15" s="1"/>
  <c r="H43" i="15"/>
  <c r="H31" i="15"/>
  <c r="H27" i="15"/>
  <c r="H23" i="15"/>
  <c r="G7" i="15" l="1"/>
  <c r="I7" i="15" s="1"/>
  <c r="G4" i="15"/>
  <c r="I4" i="15" s="1"/>
  <c r="G6" i="15"/>
  <c r="I6" i="15" s="1"/>
  <c r="I10" i="15"/>
  <c r="I13" i="15"/>
  <c r="I51" i="15"/>
  <c r="I56" i="15"/>
  <c r="G55" i="15"/>
  <c r="I55" i="15" s="1"/>
  <c r="G54" i="15"/>
  <c r="I54" i="15" s="1"/>
  <c r="G53" i="15"/>
  <c r="I53" i="15" s="1"/>
  <c r="G52" i="15"/>
  <c r="I52" i="15" s="1"/>
  <c r="G49" i="15"/>
  <c r="I49" i="15" s="1"/>
  <c r="G5" i="15"/>
  <c r="I5" i="15" s="1"/>
  <c r="M5" i="15" l="1"/>
  <c r="M6" i="15"/>
  <c r="M7" i="15"/>
  <c r="M8" i="15"/>
  <c r="M9" i="15"/>
  <c r="M10" i="15"/>
  <c r="M12" i="15"/>
  <c r="M13" i="15"/>
  <c r="M47" i="15"/>
  <c r="M48" i="15"/>
  <c r="M49" i="15"/>
  <c r="M50" i="15"/>
  <c r="M51" i="15"/>
  <c r="M52" i="15"/>
  <c r="M53" i="15"/>
  <c r="M54" i="15"/>
  <c r="M55" i="15"/>
  <c r="M4" i="15"/>
  <c r="M11" i="15" l="1"/>
  <c r="E7" i="22"/>
  <c r="G10" i="22" l="1"/>
  <c r="G8" i="22"/>
  <c r="G7" i="22"/>
  <c r="E7" i="23"/>
  <c r="E14" i="19"/>
  <c r="E7" i="19"/>
  <c r="G14" i="19"/>
  <c r="G7" i="19"/>
  <c r="E7" i="12"/>
  <c r="E9" i="12"/>
  <c r="E6" i="9"/>
  <c r="J10" i="15" l="1"/>
  <c r="K10" i="15" s="1"/>
  <c r="J13" i="15"/>
  <c r="K13" i="15" s="1"/>
  <c r="J51" i="15"/>
  <c r="K51" i="15" s="1"/>
  <c r="E9" i="23"/>
  <c r="G9" i="23" s="1"/>
  <c r="G11" i="18" l="1"/>
  <c r="G7" i="18"/>
  <c r="G18" i="16"/>
  <c r="G11" i="16"/>
  <c r="G9" i="12"/>
  <c r="G10" i="13"/>
  <c r="G9" i="13"/>
  <c r="E9" i="13"/>
  <c r="G23" i="10"/>
  <c r="G22" i="10"/>
  <c r="G11" i="13"/>
  <c r="G12" i="13" s="1"/>
  <c r="G21" i="10"/>
  <c r="G20" i="10"/>
  <c r="E8" i="9"/>
  <c r="G8" i="9" s="1"/>
  <c r="G7" i="9" l="1"/>
  <c r="G6" i="9" l="1"/>
  <c r="G11" i="9" s="1"/>
  <c r="G14" i="8"/>
  <c r="G12" i="9" l="1"/>
  <c r="G13" i="9" s="1"/>
  <c r="G14" i="9" s="1"/>
  <c r="F5" i="15" s="1"/>
  <c r="J5" i="15" s="1"/>
  <c r="K5" i="15" s="1"/>
  <c r="H10" i="15"/>
  <c r="H13" i="15"/>
  <c r="H51" i="15"/>
  <c r="G6" i="22"/>
  <c r="G22" i="24"/>
  <c r="G8" i="23"/>
  <c r="G7" i="23"/>
  <c r="G6" i="19"/>
  <c r="G10" i="19" s="1"/>
  <c r="G13" i="19"/>
  <c r="G17" i="19" s="1"/>
  <c r="G10" i="18"/>
  <c r="G12" i="18" s="1"/>
  <c r="G13" i="18" s="1"/>
  <c r="G6" i="18"/>
  <c r="G8" i="18" s="1"/>
  <c r="G9" i="18" s="1"/>
  <c r="F56" i="15" l="1"/>
  <c r="L56" i="15" s="1"/>
  <c r="M56" i="15" s="1"/>
  <c r="G9" i="22"/>
  <c r="G12" i="23"/>
  <c r="G13" i="23" s="1"/>
  <c r="G14" i="23" s="1"/>
  <c r="G15" i="23" s="1"/>
  <c r="F50" i="15" s="1"/>
  <c r="G50" i="15" s="1"/>
  <c r="I50" i="15" s="1"/>
  <c r="G25" i="24"/>
  <c r="G11" i="19"/>
  <c r="G12" i="19" s="1"/>
  <c r="F47" i="15" s="1"/>
  <c r="G47" i="15" s="1"/>
  <c r="I47" i="15" s="1"/>
  <c r="F55" i="15" l="1"/>
  <c r="J55" i="15" s="1"/>
  <c r="K55" i="15" s="1"/>
  <c r="G26" i="24"/>
  <c r="H55" i="15"/>
  <c r="L57" i="15"/>
  <c r="M57" i="15"/>
  <c r="H56" i="15"/>
  <c r="J56" i="15"/>
  <c r="K56" i="15" s="1"/>
  <c r="H50" i="15"/>
  <c r="J50" i="15"/>
  <c r="K50" i="15" s="1"/>
  <c r="H47" i="15"/>
  <c r="J47" i="15"/>
  <c r="K47" i="15" s="1"/>
  <c r="G14" i="16"/>
  <c r="G8" i="12"/>
  <c r="G7" i="12"/>
  <c r="G10" i="12" s="1"/>
  <c r="G11" i="12" s="1"/>
  <c r="G8" i="13"/>
  <c r="G7" i="13"/>
  <c r="G13" i="13" s="1"/>
  <c r="F8" i="15" s="1"/>
  <c r="G8" i="15" s="1"/>
  <c r="I8" i="15" s="1"/>
  <c r="E19" i="10"/>
  <c r="G19" i="10" s="1"/>
  <c r="E10" i="10"/>
  <c r="G10" i="10" s="1"/>
  <c r="G18" i="10"/>
  <c r="G17" i="10"/>
  <c r="G16" i="10"/>
  <c r="G9" i="10"/>
  <c r="G8" i="10"/>
  <c r="H8" i="15" l="1"/>
  <c r="J8" i="15"/>
  <c r="K8" i="15" s="1"/>
  <c r="G17" i="16"/>
  <c r="G19" i="16" s="1"/>
  <c r="G20" i="16" s="1"/>
  <c r="F12" i="15" s="1"/>
  <c r="G12" i="15" s="1"/>
  <c r="I12" i="15" s="1"/>
  <c r="G12" i="12"/>
  <c r="G13" i="12" s="1"/>
  <c r="F9" i="15" s="1"/>
  <c r="G9" i="15" s="1"/>
  <c r="I9" i="15" s="1"/>
  <c r="F7" i="15"/>
  <c r="H12" i="15" l="1"/>
  <c r="J12" i="15"/>
  <c r="K12" i="15" s="1"/>
  <c r="H7" i="15"/>
  <c r="J7" i="15"/>
  <c r="K7" i="15" s="1"/>
  <c r="H9" i="15"/>
  <c r="J9" i="15"/>
  <c r="K9" i="15" s="1"/>
  <c r="H5" i="15"/>
  <c r="G6" i="8"/>
  <c r="G6" i="21" l="1"/>
  <c r="G11" i="21" l="1"/>
  <c r="G12" i="21"/>
  <c r="G13" i="21" s="1"/>
  <c r="F49" i="15" s="1"/>
  <c r="F4" i="15"/>
  <c r="G17" i="24"/>
  <c r="G12" i="24"/>
  <c r="G7" i="24"/>
  <c r="E15" i="23"/>
  <c r="G18" i="19"/>
  <c r="G19" i="19" s="1"/>
  <c r="F48" i="15" s="1"/>
  <c r="G48" i="15" s="1"/>
  <c r="I48" i="15" s="1"/>
  <c r="F7" i="16"/>
  <c r="G7" i="16" s="1"/>
  <c r="G10" i="16" s="1"/>
  <c r="G12" i="16" s="1"/>
  <c r="G13" i="16" s="1"/>
  <c r="F11" i="15" s="1"/>
  <c r="G11" i="15" s="1"/>
  <c r="I11" i="15" s="1"/>
  <c r="G20" i="24" l="1"/>
  <c r="G21" i="24" s="1"/>
  <c r="F54" i="15" s="1"/>
  <c r="G15" i="24"/>
  <c r="G16" i="24" s="1"/>
  <c r="F53" i="15" s="1"/>
  <c r="I57" i="15"/>
  <c r="H4" i="15"/>
  <c r="J4" i="15"/>
  <c r="K4" i="15" s="1"/>
  <c r="H11" i="15"/>
  <c r="J11" i="15"/>
  <c r="K11" i="15" s="1"/>
  <c r="G10" i="24"/>
  <c r="G11" i="24" s="1"/>
  <c r="F52" i="15" s="1"/>
  <c r="H49" i="15"/>
  <c r="J49" i="15"/>
  <c r="K49" i="15" s="1"/>
  <c r="H48" i="15"/>
  <c r="J48" i="15"/>
  <c r="K48" i="15" s="1"/>
  <c r="G7" i="10"/>
  <c r="J53" i="15" l="1"/>
  <c r="K53" i="15" s="1"/>
  <c r="H53" i="15"/>
  <c r="J54" i="15"/>
  <c r="K54" i="15" s="1"/>
  <c r="H54" i="15"/>
  <c r="H52" i="15"/>
  <c r="J52" i="15"/>
  <c r="K52" i="15" s="1"/>
  <c r="G11" i="10"/>
  <c r="G12" i="10" s="1"/>
  <c r="G13" i="10" s="1"/>
  <c r="G14" i="10" s="1"/>
  <c r="F6" i="15" s="1"/>
  <c r="H6" i="15" l="1"/>
  <c r="H57" i="15" s="1"/>
  <c r="J6" i="15"/>
  <c r="K6" i="15" s="1"/>
  <c r="K57" i="15" s="1"/>
</calcChain>
</file>

<file path=xl/sharedStrings.xml><?xml version="1.0" encoding="utf-8"?>
<sst xmlns="http://schemas.openxmlformats.org/spreadsheetml/2006/main" count="532" uniqueCount="234">
  <si>
    <t>Cum</t>
  </si>
  <si>
    <t>S No</t>
  </si>
  <si>
    <t>Description</t>
  </si>
  <si>
    <t>UOM</t>
  </si>
  <si>
    <t>Item Rate per Unit</t>
  </si>
  <si>
    <t>Item Reference</t>
  </si>
  <si>
    <t>Total</t>
  </si>
  <si>
    <t>Remarks</t>
  </si>
  <si>
    <t>Note</t>
  </si>
  <si>
    <t>The arrived rate is excluding GST</t>
  </si>
  <si>
    <t>Power mech Projects Ltd</t>
  </si>
  <si>
    <t>2X600 MW SINGHITARAI THERMAL POWER PROJECT, SINGHITARAI-CHHATTISGARH BALANCE PENDING CIVIL WORKS IN UNIT # 1 &amp; 2</t>
  </si>
  <si>
    <t>Sqm</t>
  </si>
  <si>
    <t xml:space="preserve">Total cost per 1 Cum </t>
  </si>
  <si>
    <t>Approx Qty</t>
  </si>
  <si>
    <t>Total amount</t>
  </si>
  <si>
    <t xml:space="preserve">Rate Analysis of Rubble  soling </t>
  </si>
  <si>
    <t>Rate Analysis of 40mm Gravel filling</t>
  </si>
  <si>
    <t>a</t>
  </si>
  <si>
    <t>b</t>
  </si>
  <si>
    <t>Total cost per 1 sqm</t>
  </si>
  <si>
    <t>6mm thick clear toughened glass</t>
  </si>
  <si>
    <t>Item Rate per Unit (A)</t>
  </si>
  <si>
    <t>Approx Qty (B)</t>
  </si>
  <si>
    <t>Total amount (C=AXB)</t>
  </si>
  <si>
    <t>Rate Analysis of Hume pipe</t>
  </si>
  <si>
    <t>150mm</t>
  </si>
  <si>
    <t>300mm</t>
  </si>
  <si>
    <t>900mm</t>
  </si>
  <si>
    <t>Rm</t>
  </si>
  <si>
    <t>Rate Analysis of AR paint</t>
  </si>
  <si>
    <t>Providing and applying 2 or more coats of acid/alkali  resistant paint of approved brand and colour to floors,  walls  and ceiling  including  preparation  of  surface  to  receive  paint,  providing  and applying bitumen primer  confirming  to IS 158 complete  all  as per  manufacturer's  recommendations  and as approved by engineer, at all heights above or below grade level, complete as per specifications.</t>
  </si>
  <si>
    <t>Rate Analysis of HDPE liner</t>
  </si>
  <si>
    <t>Additional Activties</t>
  </si>
  <si>
    <t>Qty.</t>
  </si>
  <si>
    <t> Rate/Unit</t>
  </si>
  <si>
    <t>230 mm THICK SUB GRADE SOLING FOR PAVING WORK (SIZE RANGE 63 mm TO 45 mm STONE)</t>
  </si>
  <si>
    <t>CUM</t>
  </si>
  <si>
    <t>GRAVELS upto 40 mm SIZE (Including laying or not)</t>
  </si>
  <si>
    <t>6 mm FLOAT GLASS</t>
  </si>
  <si>
    <t>SQM</t>
  </si>
  <si>
    <t>6 mm TOUGHENED GLASS</t>
  </si>
  <si>
    <t>HDPE LINER (Pls specify thickness of liner)</t>
  </si>
  <si>
    <t>CHLORINATED RUBBER ACID /ALKALI RESISTANT PAINT</t>
  </si>
  <si>
    <t>SEWAGE LINE C.I. PIPE 150 mm</t>
  </si>
  <si>
    <t>RM</t>
  </si>
  <si>
    <t>SEWAGE LINE C.I. PIPE 200 mm</t>
  </si>
  <si>
    <t>TOILET (INCLUDING PLUMBING AND SANITARY FITINGS) (Pls specify type)</t>
  </si>
  <si>
    <t>PAVER BLOCK 80MM THICK</t>
  </si>
  <si>
    <t>PAVER BOLCK 60MM THICK</t>
  </si>
  <si>
    <t>450mm DIA CONCENTINE COIL</t>
  </si>
  <si>
    <t>PROVIDING AND FILING SAND</t>
  </si>
  <si>
    <t>HUME PIPE-300mm DIA</t>
  </si>
  <si>
    <t>HUME PIPE-600mm DIA</t>
  </si>
  <si>
    <t>HUME PIPE-900mm DIA</t>
  </si>
  <si>
    <t>HUME PIPE-1000mm DIA</t>
  </si>
  <si>
    <t>NOS</t>
  </si>
  <si>
    <t>2X600MW Athena Chhattisgarh Power Ltd</t>
  </si>
  <si>
    <t>Presure grouting</t>
  </si>
  <si>
    <t>Providing &amp; laying 80 mm thick precast interlocking  concrete pavers (Medium duty, Grade M35) of approved colour and pattern as per specification and recommendation of manufacturer.</t>
  </si>
  <si>
    <t>Hume pipe-300mm Dia</t>
  </si>
  <si>
    <t>Hume pipe-600mm Dia</t>
  </si>
  <si>
    <t>Hume pipe-900mm Dia</t>
  </si>
  <si>
    <t>Hume pipe-1000mm Dia</t>
  </si>
  <si>
    <t>150 mm Dia pipe</t>
  </si>
  <si>
    <t>200 mm Dia pipe</t>
  </si>
  <si>
    <t>i</t>
  </si>
  <si>
    <t>ii</t>
  </si>
  <si>
    <t>iii</t>
  </si>
  <si>
    <t>iv</t>
  </si>
  <si>
    <t xml:space="preserve">Providing  and fixing  heavy duty  cast  iron pipes  for  above and below  ground sanitory  works  with water tight lead joint, fixing clamps, excavation, filling, disposal etc. all complete for the following. </t>
  </si>
  <si>
    <t>Rate Analysis of CI pipe</t>
  </si>
  <si>
    <t>200mm</t>
  </si>
  <si>
    <t>Rate Analysis of Toilet fixtures and sanitory fixings</t>
  </si>
  <si>
    <t>Rate Analysis of Paver blocks</t>
  </si>
  <si>
    <t>Rate Analysis of Concretina wire</t>
  </si>
  <si>
    <t>Rate Analysis of Sand filling</t>
  </si>
  <si>
    <t>Providing  Chemical  (epoxy)  injection  grouting  with  pressure  pump  for  water  retaining  concrete structures  conforming  to  IS:6494,  including  fixing  nozzles,  cost  of  approved  chemical,  admixture, curing etc. all complete . Payment shall be made as per the consumption of number of points.</t>
  </si>
  <si>
    <t>Total cost per 1 RM</t>
  </si>
  <si>
    <t>Total amount C=A*B</t>
  </si>
  <si>
    <t>2X600MW Athena Chhattisgarh Power Ltd- Non BOQ items rate analysis</t>
  </si>
  <si>
    <t xml:space="preserve">Item Description </t>
  </si>
  <si>
    <t>Sl.no</t>
  </si>
  <si>
    <t>Note:</t>
  </si>
  <si>
    <t xml:space="preserve">fixing cost including transposrtation </t>
  </si>
  <si>
    <t xml:space="preserve">removing of damage glass and cleaning </t>
  </si>
  <si>
    <t>6mm float glass material cost</t>
  </si>
  <si>
    <t>Total cost of 400 Sqm 6 mm thick float glass</t>
  </si>
  <si>
    <t xml:space="preserve">Scaffolding cost </t>
  </si>
  <si>
    <t>Quotation attached for your kind reference</t>
  </si>
  <si>
    <t>Materail cost</t>
  </si>
  <si>
    <t>Application rate</t>
  </si>
  <si>
    <t xml:space="preserve">Attached refence quotation </t>
  </si>
  <si>
    <t xml:space="preserve">Material Cost </t>
  </si>
  <si>
    <t>Application</t>
  </si>
  <si>
    <t>Total cost per 600 Sqm</t>
  </si>
  <si>
    <t>reference quotation atteched for your refence</t>
  </si>
  <si>
    <t>Supply of 1200 micron HDPE Liner . 1200 μ thick Grade-1 HDPE with the following basic properties shall be used imervious lines 
a).Density: 0.94 G/CC 
b). Corbon black content: 2 to 3% 
c). Tolarance in Thickness: (+/-) 20% 
d). Tensile strength at break 300kg/cm2 &amp; 200kg/cm2 (main
direction 
e). Elongation at break 300% &amp; 200% (main direction</t>
  </si>
  <si>
    <t>Total cost per 80 RM</t>
  </si>
  <si>
    <t>Total cost per  RM</t>
  </si>
  <si>
    <t>Total cost per 60 RM</t>
  </si>
  <si>
    <t>nos</t>
  </si>
  <si>
    <t>Total cost per 1 Piece</t>
  </si>
  <si>
    <t>Supply  and  fixing  glazed  vitreous  china  Wash Basin  of  size  550mm x 400mm of  approved  make conforming to IS:2556 part 4 of oval shape with R.S. or C.I. brackets painted white, 15mm chromium plated brass hot &amp; cold faucets with nylon washers, chromium plated brass chain with rubber plug, 32mm chromium plated brass bottle trap and waste of standard pattern, 32mm dia chromium plated brass trap  unions, plastic  connection  pipe with  chromium  plated nuts, fittings,  cutting  and making good the walls where required etc all complete including removing of damaged ones.</t>
  </si>
  <si>
    <t>Providing and fixing colour glazed vitreous china European type water  closet conforming to IS:2556 with siphon, open front solid plastic seat and plastic cover, low level 12.5 litre  UPVC flushing cistern (same colour as WC) with valveless fittings, necessary C.P connections etc all complete.</t>
  </si>
  <si>
    <t>DAR volume-2  page 247, reference16.53</t>
  </si>
  <si>
    <t>Refer DAR- vol-2 2016 , 18.71.2
page 1282</t>
  </si>
  <si>
    <t>Refer DAR- vol-2 2016 , 18.71.3
page 1283</t>
  </si>
  <si>
    <t>Refer DAR- vol-2 2016 , 17.7.1
page 1079</t>
  </si>
  <si>
    <t>Providing &amp; laying 60 mm thick precast interlocking  concrete pavers (Medium duty, Grade M35) of approved colour and pattern as per specification and recommendation of manufacturer.</t>
  </si>
  <si>
    <t xml:space="preserve">Material cost </t>
  </si>
  <si>
    <t>laying</t>
  </si>
  <si>
    <t>Total cost of 5000 Cum</t>
  </si>
  <si>
    <t>Total cost per 1 Cum</t>
  </si>
  <si>
    <t>Supply and laying R.C.C NP-3 type Hume pipe in raised shoulders as rain water drains as per  detailed  drawing  including  fixing  with  cement  mortar  (1:3)  in 13mm thick  joints,  finishing  of joints with neat cement paste etc all complete.</t>
  </si>
  <si>
    <t>As per DAR19.35.1
300 mm dia. R.C.C. pipe page 1477</t>
  </si>
  <si>
    <t>As per DSR19.35.03 900 mm dia. R.C.C. pipe page 1478</t>
  </si>
  <si>
    <t>Total cost per 1 Rm</t>
  </si>
  <si>
    <t>1000mm</t>
  </si>
  <si>
    <t xml:space="preserve">Total Amount </t>
  </si>
  <si>
    <t>600mm</t>
  </si>
  <si>
    <t>As per DSR19.35.03 600 mm dia. R.C.C. pipe page 1478</t>
  </si>
  <si>
    <t>Total amount=====&gt;&gt;&gt;&gt;</t>
  </si>
  <si>
    <r>
      <t xml:space="preserve">Providing  and Filling  </t>
    </r>
    <r>
      <rPr>
        <b/>
        <sz val="12"/>
        <color theme="1"/>
        <rFont val="Arial"/>
        <family val="2"/>
      </rPr>
      <t xml:space="preserve">40 mm gravel filling at transformer yard </t>
    </r>
    <r>
      <rPr>
        <sz val="12"/>
        <color theme="1"/>
        <rFont val="Arial"/>
        <family val="2"/>
      </rPr>
      <t xml:space="preserve"> ,paving area and other underground structures  including properly  filling  the interstices  with stone chips.  </t>
    </r>
  </si>
  <si>
    <r>
      <t xml:space="preserve">Providing and applying </t>
    </r>
    <r>
      <rPr>
        <b/>
        <sz val="12"/>
        <color rgb="FF222222"/>
        <rFont val="Arial"/>
        <family val="2"/>
      </rPr>
      <t>2 or more coats of acid/alkali  resistant paint</t>
    </r>
    <r>
      <rPr>
        <sz val="12"/>
        <color rgb="FF222222"/>
        <rFont val="Arial"/>
        <family val="2"/>
      </rPr>
      <t xml:space="preserve"> of approved brand and colour to floors,  walls  and ceiling  including  preparation  of  surface  to  receive  paint,  providing  and applying bitumen primer  confirming  to IS 158 complete  all  as per  manufacturer's  recommendations  and as approved by engineer, at all heights above or below grade level, complete as per specifications.</t>
    </r>
  </si>
  <si>
    <r>
      <t xml:space="preserve">Providing  and fixing  </t>
    </r>
    <r>
      <rPr>
        <b/>
        <sz val="12"/>
        <color rgb="FF222222"/>
        <rFont val="Arial"/>
        <family val="2"/>
      </rPr>
      <t>heavy duty  cast  iron pipes</t>
    </r>
    <r>
      <rPr>
        <sz val="12"/>
        <color rgb="FF222222"/>
        <rFont val="Arial"/>
        <family val="2"/>
      </rPr>
      <t xml:space="preserve">  for  above and below  ground sanitory  works  with water tight lead joint, fixing clamps, excavation, filling, disposal etc. all complete for the following. </t>
    </r>
  </si>
  <si>
    <r>
      <t xml:space="preserve">Providing &amp; laying </t>
    </r>
    <r>
      <rPr>
        <b/>
        <sz val="12"/>
        <color rgb="FF222222"/>
        <rFont val="Arial"/>
        <family val="2"/>
      </rPr>
      <t>80 mm thick precast interlocking  concrete pavers</t>
    </r>
    <r>
      <rPr>
        <sz val="12"/>
        <color rgb="FF222222"/>
        <rFont val="Arial"/>
        <family val="2"/>
      </rPr>
      <t xml:space="preserve"> (Medium duty, Grade M35) of approved colour and pattern as per specification and recommendation of manufacturer.</t>
    </r>
  </si>
  <si>
    <r>
      <t xml:space="preserve">Providing &amp; laying </t>
    </r>
    <r>
      <rPr>
        <b/>
        <sz val="12"/>
        <color rgb="FF222222"/>
        <rFont val="Arial"/>
        <family val="2"/>
      </rPr>
      <t>60 mm thick precast interlocking  concrete pavers</t>
    </r>
    <r>
      <rPr>
        <sz val="12"/>
        <color rgb="FF222222"/>
        <rFont val="Arial"/>
        <family val="2"/>
      </rPr>
      <t xml:space="preserve"> (Medium duty, Grade M35) of approved colour and pattern as per specification and recommendation of manufacturer.</t>
    </r>
  </si>
  <si>
    <r>
      <t xml:space="preserve">Supplying and fixing </t>
    </r>
    <r>
      <rPr>
        <b/>
        <sz val="12"/>
        <color rgb="FF222222"/>
        <rFont val="Arial"/>
        <family val="2"/>
      </rPr>
      <t>high double concertina</t>
    </r>
    <r>
      <rPr>
        <sz val="12"/>
        <color rgb="FF222222"/>
        <rFont val="Arial"/>
        <family val="2"/>
      </rPr>
      <t xml:space="preserve"> adjacent to boundry/compound  wall etc. with 450 mm dia. above G.L. including GI tension wires, clips, anchors, fixing in wall, accessories etc. all complete.  Concertinal  shall  be  from  tensile  serrated  galvanised  wire  (HTSW)  made  with  wire diameter of 2.5 mm which will be stretched to 6m and attached on two strands of galvanised HTSSW (high tensile  spring steel  wire)  of 2.5mm dia by means of clips at  1m interval.  These two  HTSSW strands will be attached to the fence posts/  angles with 12 mm security fasteners. Cost to include for GI hook, bolts, rings &amp; washers, hot dip galvanized tension wires, 25x6 mm GI flat strecher bar at end post etc. all complete. (Structural post shall be separately under ST No. 2007).</t>
    </r>
  </si>
  <si>
    <r>
      <t xml:space="preserve">Supplying and </t>
    </r>
    <r>
      <rPr>
        <b/>
        <sz val="12"/>
        <color rgb="FF222222"/>
        <rFont val="Arial"/>
        <family val="2"/>
      </rPr>
      <t>filling  sand</t>
    </r>
    <r>
      <rPr>
        <sz val="12"/>
        <color rgb="FF222222"/>
        <rFont val="Arial"/>
        <family val="2"/>
      </rPr>
      <t xml:space="preserve"> upto any depth under floors, around foundations, plinths etc. in layers not exceeding 250 mm  thickness and compacted so as to achieve at least 80% relative density as per IS- 2720 (Part-XIV)  including spreading, watering, ramming/compaction  by manual /  mechanical means, dressing, royalty (if any) etc. all complete.</t>
    </r>
  </si>
  <si>
    <r>
      <t xml:space="preserve">Supply and laying </t>
    </r>
    <r>
      <rPr>
        <b/>
        <sz val="12"/>
        <color rgb="FF222222"/>
        <rFont val="Arial"/>
        <family val="2"/>
      </rPr>
      <t>R.C.C NP-3</t>
    </r>
    <r>
      <rPr>
        <sz val="12"/>
        <color rgb="FF222222"/>
        <rFont val="Arial"/>
        <family val="2"/>
      </rPr>
      <t xml:space="preserve"> type Hume pipe in raised shoulders as rain water drains as per  detailed  drawing  including  fixing  with  cement  mortar  (1:3)  in 13mm thick  joints,  finishing  of joints with neat cement paste etc all complete.</t>
    </r>
  </si>
  <si>
    <r>
      <t xml:space="preserve">Providing  </t>
    </r>
    <r>
      <rPr>
        <b/>
        <sz val="12"/>
        <color rgb="FF222222"/>
        <rFont val="Arial"/>
        <family val="2"/>
      </rPr>
      <t>Chemical  (epoxy)  injection  grouting  with  pressure  pump</t>
    </r>
    <r>
      <rPr>
        <sz val="12"/>
        <color rgb="FF222222"/>
        <rFont val="Arial"/>
        <family val="2"/>
      </rPr>
      <t xml:space="preserve">  for  water  retaining  concrete structures  conforming  to  IS:6494,  including  fixing  nozzles,  cost  of  approved  chemical,  admixture, curing etc. all complete . Payment shall be made as per the consumption of number of points.</t>
    </r>
  </si>
  <si>
    <r>
      <t xml:space="preserve">Providing, fixing </t>
    </r>
    <r>
      <rPr>
        <b/>
        <sz val="12"/>
        <color theme="1"/>
        <rFont val="Arial"/>
        <family val="2"/>
      </rPr>
      <t>6</t>
    </r>
    <r>
      <rPr>
        <b/>
        <sz val="12"/>
        <color rgb="FF222222"/>
        <rFont val="Arial"/>
        <family val="2"/>
      </rPr>
      <t>mm thick float glass</t>
    </r>
    <r>
      <rPr>
        <sz val="12"/>
        <color rgb="FF222222"/>
        <rFont val="Arial"/>
        <family val="2"/>
      </rPr>
      <t xml:space="preserve">  of glazing of first  grade class in steel/aluminium/ wooden  frames, where ever required, with weather sealant silicon adhesive, at various levels, heights including removal of damaged glass panels </t>
    </r>
  </si>
  <si>
    <r>
      <t xml:space="preserve">Providing  and Filling  </t>
    </r>
    <r>
      <rPr>
        <b/>
        <sz val="12"/>
        <color rgb="FF222222"/>
        <rFont val="Arial"/>
        <family val="2"/>
      </rPr>
      <t>rubble  soling</t>
    </r>
    <r>
      <rPr>
        <sz val="12"/>
        <color rgb="FF222222"/>
        <rFont val="Arial"/>
        <family val="2"/>
      </rPr>
      <t xml:space="preserve"> of compacted thickness 230 mm (Size range 63 to 45 mm ) in road,trenches, plinths protection area,paving area and other underground structures  including properly  filling  the interstices  with stone chips, gravel,  grits  etc.  all  complete.  Payment  shall  be made for  the measurement  of the  volume  of the compacted fill.</t>
    </r>
  </si>
  <si>
    <t xml:space="preserve">Reference BOQ , annexure-1 Schedule-D item 2402 granular sub base course </t>
  </si>
  <si>
    <t>Providing  and Filling  rubble  soling of compacted thickness 230 mm (Size range 63 to 45 mm ) in road,trenches, plinths protection area,paving area and other underground structures  including properly  filling  the interstices  with stone chips, gravel,  grits  etc.  all  complete.  Payment  shall  be made for  the measurement  of the  volume  of the compacted fill.</t>
  </si>
  <si>
    <t xml:space="preserve">Providing  and Filling  40 mm gravel filling at Switch yard  ,paving area and other underground structures  including properly  filling  the interstices  with stone chips.  </t>
  </si>
  <si>
    <t>Reference quotation attached</t>
  </si>
  <si>
    <t>Spreadng charges</t>
  </si>
  <si>
    <t>Total Cost for 400cum 40mm filling</t>
  </si>
  <si>
    <r>
      <t xml:space="preserve">Providing, fixing and fitting </t>
    </r>
    <r>
      <rPr>
        <b/>
        <sz val="10.5"/>
        <color theme="1"/>
        <rFont val="Arial"/>
        <family val="2"/>
      </rPr>
      <t>6mm thick toughned glass</t>
    </r>
    <r>
      <rPr>
        <sz val="10.5"/>
        <color theme="1"/>
        <rFont val="Arial"/>
        <family val="2"/>
      </rPr>
      <t xml:space="preserve"> of glazing of first  grade class in steel/aluminium/ wooden  frames, where ever required, with weather sealant silicon adhesive, at various levels, heights including removal of damaged glass panels </t>
    </r>
  </si>
  <si>
    <r>
      <t xml:space="preserve">Providing, fixing and fitting </t>
    </r>
    <r>
      <rPr>
        <b/>
        <sz val="10.5"/>
        <color theme="1"/>
        <rFont val="Arial"/>
        <family val="2"/>
      </rPr>
      <t>6mm float glass</t>
    </r>
    <r>
      <rPr>
        <sz val="10.5"/>
        <color theme="1"/>
        <rFont val="Arial"/>
        <family val="2"/>
      </rPr>
      <t xml:space="preserve">  of glazing of first  grade class in steel/aluminium/ wooden  frames, where ever required, with weather sealant silicon adhesive, at various levels, heights including removal of damaged glass panels.</t>
    </r>
  </si>
  <si>
    <t>Rate Analysis of 6mm Float glass</t>
  </si>
  <si>
    <t>Supplying and filling  sand upto any depth under floors, around foundations, plinths etc. in layers not exceeding 250 mm  thickness and compacted so as to achieve at least 80% relative density as per IS- 2720 (Part-XIV)  including spreading, watering, ramming/compaction  by manual /  mechanical means, dressing, royalty (if any) etc. all complete.</t>
  </si>
  <si>
    <t>Corporate Over head 30%</t>
  </si>
  <si>
    <t xml:space="preserve">Add Overheads and Profit @ 30% </t>
  </si>
  <si>
    <t>Wastage -20%</t>
  </si>
  <si>
    <t xml:space="preserve">Total </t>
  </si>
  <si>
    <t>Total cost of 900 Sqm 6 mm thick toughned glass</t>
  </si>
  <si>
    <t>Wastage and overlap of material-10%</t>
  </si>
  <si>
    <t>Total cost for 1000 sqm</t>
  </si>
  <si>
    <t xml:space="preserve">Scaffolding rate </t>
  </si>
  <si>
    <t>Reference quotaion attached</t>
  </si>
  <si>
    <t>Wastage-20%</t>
  </si>
  <si>
    <t xml:space="preserve">Add Overheads and Profit @30% </t>
  </si>
  <si>
    <t>Supplying and fixing high double concertina adjacent to boundry/compound  wall etc. with 450 mm dia. above G.L. including GI tension wires, clips, anchors, fixing in wall, accessories etc. all complete.  Concertinal  shall  be  from  tensile  serrated  galvanised  wire  (HTSW)  made  with  wire diameter of 2.5 mm which will be stretched to 6m and attached on two strands of galvanised HTSSW (high tensile  spring steel  wire)  of 2.5mm dia by means of clips at  1m interval.  These two  HTSSW strands will be attached to the fence posts/  angles with 12 mm security fasteners. Cost to include for GI hook, bolts, rings &amp; washers, hot dip galvanized tension wires, 25x6 mm GI flat strecher bar at end post etc. all complete. (Structural post shall be separately).</t>
  </si>
  <si>
    <t>KG</t>
  </si>
  <si>
    <t>Staging Charges</t>
  </si>
  <si>
    <t>Total cost per kg</t>
  </si>
  <si>
    <t>100mm sand layer including fixing</t>
  </si>
  <si>
    <t>As per DSR19.35.03 1000 mm dia. R.C.C. pipe page 1478</t>
  </si>
  <si>
    <t xml:space="preserve">M/s Asta rates
</t>
  </si>
  <si>
    <t>Total Amount as per revised rates</t>
  </si>
  <si>
    <t>Revised Rates as per Asta Proposal</t>
  </si>
  <si>
    <t>7.a</t>
  </si>
  <si>
    <t>7.b</t>
  </si>
  <si>
    <t>8.a</t>
  </si>
  <si>
    <t>8.b</t>
  </si>
  <si>
    <t>15 mm nominal bore.</t>
  </si>
  <si>
    <t>20 mm nominal bore.</t>
  </si>
  <si>
    <t>25 mm nominal bore.</t>
  </si>
  <si>
    <t>50 mm nominal bore.</t>
  </si>
  <si>
    <t>65 mm nominal bore.</t>
  </si>
  <si>
    <t>1000 litres capacity</t>
  </si>
  <si>
    <t>2000 litres capacity</t>
  </si>
  <si>
    <t>5000 litres capacity</t>
  </si>
  <si>
    <t>White</t>
  </si>
  <si>
    <t>Colored</t>
  </si>
  <si>
    <t>Floor mounted</t>
  </si>
  <si>
    <t>Wall mounted</t>
  </si>
  <si>
    <t>75mm dia pipes</t>
  </si>
  <si>
    <t>110mm dia pipes</t>
  </si>
  <si>
    <t>160mm dia pipes</t>
  </si>
  <si>
    <t>8.c</t>
  </si>
  <si>
    <t>8.d</t>
  </si>
  <si>
    <t>8.e</t>
  </si>
  <si>
    <t>8.f</t>
  </si>
  <si>
    <t>8.g</t>
  </si>
  <si>
    <t>8.h</t>
  </si>
  <si>
    <t>8.i</t>
  </si>
  <si>
    <t>8.j</t>
  </si>
  <si>
    <t>8.k</t>
  </si>
  <si>
    <t>8.l</t>
  </si>
  <si>
    <t>8.m</t>
  </si>
  <si>
    <t>8.n</t>
  </si>
  <si>
    <r>
      <t xml:space="preserve">Providing and fixing </t>
    </r>
    <r>
      <rPr>
        <b/>
        <sz val="12"/>
        <rFont val="Arial"/>
        <family val="2"/>
      </rPr>
      <t>GI pipes class B medium class</t>
    </r>
    <r>
      <rPr>
        <sz val="12"/>
        <rFont val="Arial"/>
        <family val="2"/>
      </rPr>
      <t xml:space="preserve"> conforming to IS:1239 pipes shall be concealed and painted  with  anticorrsive  paint,  complete  </t>
    </r>
    <r>
      <rPr>
        <b/>
        <sz val="12"/>
        <rFont val="Arial"/>
        <family val="2"/>
      </rPr>
      <t>for  internal  works</t>
    </r>
    <r>
      <rPr>
        <sz val="12"/>
        <rFont val="Arial"/>
        <family val="2"/>
      </rPr>
      <t xml:space="preserve">  with  GI sockets, unions,  elbows, tees, nipples etc and clamps  including  cutting  and making good the walls etc all  complete  for following sizes:</t>
    </r>
  </si>
  <si>
    <r>
      <t xml:space="preserve">Providing and fixing </t>
    </r>
    <r>
      <rPr>
        <b/>
        <sz val="12"/>
        <rFont val="Arial"/>
        <family val="2"/>
      </rPr>
      <t>GI pipes class B</t>
    </r>
    <r>
      <rPr>
        <sz val="12"/>
        <rFont val="Arial"/>
        <family val="2"/>
      </rPr>
      <t xml:space="preserve"> complete </t>
    </r>
    <r>
      <rPr>
        <b/>
        <sz val="12"/>
        <rFont val="Arial"/>
        <family val="2"/>
      </rPr>
      <t>for external work</t>
    </r>
    <r>
      <rPr>
        <sz val="12"/>
        <rFont val="Arial"/>
        <family val="2"/>
      </rPr>
      <t xml:space="preserve"> with GI sockets, unions, elbows, tees, nipples etc including trenching &amp; refilling, anti-corrosive paint etc all complete for following sizes:</t>
    </r>
  </si>
  <si>
    <r>
      <t xml:space="preserve">Providing  and fixing  </t>
    </r>
    <r>
      <rPr>
        <b/>
        <sz val="12"/>
        <rFont val="Arial"/>
        <family val="2"/>
      </rPr>
      <t>610mmx453mmx6mm thk  mirror</t>
    </r>
    <r>
      <rPr>
        <sz val="12"/>
        <rFont val="Arial"/>
        <family val="2"/>
      </rPr>
      <t xml:space="preserve">  from  reputed  mirror  manufacturer.  Mirror shall be mounted with glass adjustable revolving CP brackets with CP screws etc all complete.</t>
    </r>
  </si>
  <si>
    <r>
      <t xml:space="preserve">Providing and fixing </t>
    </r>
    <r>
      <rPr>
        <b/>
        <sz val="12"/>
        <rFont val="Arial"/>
        <family val="2"/>
      </rPr>
      <t>610mmx127mmx6mm thk clear glass with C.P Guard rails</t>
    </r>
    <r>
      <rPr>
        <sz val="12"/>
        <rFont val="Arial"/>
        <family val="2"/>
      </rPr>
      <t xml:space="preserve"> and mounted on C.P.brackets etc all complete.</t>
    </r>
  </si>
  <si>
    <r>
      <t xml:space="preserve">Providing and fixing </t>
    </r>
    <r>
      <rPr>
        <b/>
        <sz val="12"/>
        <rFont val="Arial"/>
        <family val="2"/>
      </rPr>
      <t>25 mm diameter stainless steel towel rails (600mm X 25mm)</t>
    </r>
    <r>
      <rPr>
        <sz val="12"/>
        <rFont val="Arial"/>
        <family val="2"/>
      </rPr>
      <t xml:space="preserve"> with C.P. mounting brackets all complete.</t>
    </r>
  </si>
  <si>
    <r>
      <t xml:space="preserve">Providing and fixing </t>
    </r>
    <r>
      <rPr>
        <b/>
        <sz val="12"/>
        <rFont val="Arial"/>
        <family val="2"/>
      </rPr>
      <t>C.P. Soap holder</t>
    </r>
    <r>
      <rPr>
        <sz val="12"/>
        <rFont val="Arial"/>
        <family val="2"/>
      </rPr>
      <t xml:space="preserve"> mounted with C.P. screws etc all complete.</t>
    </r>
  </si>
  <si>
    <r>
      <t xml:space="preserve">Providing &amp; fixing in position </t>
    </r>
    <r>
      <rPr>
        <b/>
        <sz val="12"/>
        <rFont val="Arial"/>
        <family val="2"/>
      </rPr>
      <t>P.V.C. water tank</t>
    </r>
    <r>
      <rPr>
        <sz val="12"/>
        <rFont val="Arial"/>
        <family val="2"/>
      </rPr>
      <t xml:space="preserve"> of Syntex or approved equivalent including making all necessary inlet  &amp; outlet  pipes, fixture, ball  cocks, valves etc all complete for following capacities. GI pipes shall be paid separately under ST No. 2105.</t>
    </r>
  </si>
  <si>
    <r>
      <t xml:space="preserve">Supply  and  fixing  glazed  vitreous  </t>
    </r>
    <r>
      <rPr>
        <b/>
        <sz val="12"/>
        <rFont val="Arial"/>
        <family val="2"/>
      </rPr>
      <t>china  Wash Basin  of  size  550mm x 400mm</t>
    </r>
    <r>
      <rPr>
        <sz val="12"/>
        <rFont val="Arial"/>
        <family val="2"/>
      </rPr>
      <t xml:space="preserve"> of  approved  make conforming to IS:2556 part 4 of oval shape with R.S. or C.I. brackets painted white, 15mm chromium plated brass hot &amp; cold faucets with nylon washers, chromium plated brass chain with rubber plug, 32mm chromium plated brass bottle trap and waste of standard pattern, 32mm dia chromium plated brass trap  unions, plastic  connection  pipe with  chromium  plated nuts, fittings,  cutting  and making good the walls where required etc all complete.</t>
    </r>
  </si>
  <si>
    <r>
      <t xml:space="preserve">Providing and fixing colour glazed </t>
    </r>
    <r>
      <rPr>
        <b/>
        <sz val="12"/>
        <rFont val="Arial"/>
        <family val="2"/>
      </rPr>
      <t xml:space="preserve">vitreous china European type water  closet </t>
    </r>
    <r>
      <rPr>
        <sz val="12"/>
        <rFont val="Arial"/>
        <family val="2"/>
      </rPr>
      <t>conforming to IS:2556 with siphon, open front solid plastic seat and plastic cover, low level 12.5 litre  UPVC flushing cistern (same colour as WC) with valveless fittings, necessary C.P connections etc all complete.</t>
    </r>
  </si>
  <si>
    <r>
      <t xml:space="preserve">Providing and fixing white flat back glazed vitreous </t>
    </r>
    <r>
      <rPr>
        <b/>
        <sz val="12"/>
        <rFont val="Arial"/>
        <family val="2"/>
      </rPr>
      <t>china urinals of size 610x410x380 mm with photo voltaic control flushing</t>
    </r>
    <r>
      <rPr>
        <sz val="12"/>
        <rFont val="Arial"/>
        <family val="2"/>
      </rPr>
      <t xml:space="preserve"> system as per IS:2556 (part 6, section 1) with flush pipes, lead pipes, gratings, traps and necessary C.P. fittings etc. all complete.</t>
    </r>
  </si>
  <si>
    <r>
      <t xml:space="preserve">Supply, laying  and jointing  </t>
    </r>
    <r>
      <rPr>
        <b/>
        <sz val="12"/>
        <rFont val="Arial"/>
        <family val="2"/>
      </rPr>
      <t xml:space="preserve">UPVC pipes of class 3 </t>
    </r>
    <r>
      <rPr>
        <sz val="12"/>
        <rFont val="Arial"/>
        <family val="2"/>
      </rPr>
      <t>as per  IS:4985 including  bends, branches and all other  necessary  fittings,  M.S  holder  bats/clamps,  cutting  and  making  good  the  walls  and  floors,jointing, testing etc all complete for following.</t>
    </r>
  </si>
  <si>
    <r>
      <t xml:space="preserve">Providing  and  fixing  </t>
    </r>
    <r>
      <rPr>
        <b/>
        <sz val="12"/>
        <rFont val="Arial"/>
        <family val="2"/>
      </rPr>
      <t>C.I  Manhole  heavy  duty  cover  of  size  600mmx450mm</t>
    </r>
    <r>
      <rPr>
        <sz val="12"/>
        <rFont val="Arial"/>
        <family val="2"/>
      </rPr>
      <t xml:space="preserve"> including  frame  from reputed manufacture etc. all complete.</t>
    </r>
  </si>
  <si>
    <t>Each</t>
  </si>
  <si>
    <r>
      <t>Providing  and  fixing  in  position</t>
    </r>
    <r>
      <rPr>
        <b/>
        <sz val="12"/>
        <color rgb="FF222222"/>
        <rFont val="Arial"/>
        <family val="2"/>
      </rPr>
      <t xml:space="preserve"> heavy  duty  brass  stop  cock</t>
    </r>
    <r>
      <rPr>
        <sz val="12"/>
        <rFont val="Arial"/>
        <family val="2"/>
      </rPr>
      <t xml:space="preserve">  with  wheel  of  approved  quality including all specials etc all complete for following sizes:</t>
    </r>
  </si>
  <si>
    <t>EACH</t>
  </si>
  <si>
    <r>
      <t xml:space="preserve">Providing and fixing colour glazed vitreous indian type </t>
    </r>
    <r>
      <rPr>
        <b/>
        <sz val="12"/>
        <rFont val="Arial"/>
        <family val="2"/>
      </rPr>
      <t>Orissa pattern (580x440mm)</t>
    </r>
    <r>
      <rPr>
        <sz val="12"/>
        <rFont val="Arial"/>
        <family val="2"/>
      </rPr>
      <t xml:space="preserve"> water closet conforming to IS:2556 part 3 with all fittings including foot rests, low level 12.5 litre PVC flushing cistern with valveless fittings, necessary C.P connections etc all complete.</t>
    </r>
  </si>
  <si>
    <t>8.j.i</t>
  </si>
  <si>
    <t>8.j.ii</t>
  </si>
  <si>
    <r>
      <t xml:space="preserve">Providing, fixing and fitting </t>
    </r>
    <r>
      <rPr>
        <b/>
        <sz val="12"/>
        <color rgb="FF222222"/>
        <rFont val="Arial"/>
        <family val="2"/>
      </rPr>
      <t xml:space="preserve">5mm thick toughned glass </t>
    </r>
    <r>
      <rPr>
        <sz val="12"/>
        <color rgb="FF222222"/>
        <rFont val="Arial"/>
        <family val="2"/>
      </rPr>
      <t xml:space="preserve">of glazing of first  grade class in steel/aluminium/ wooden  frames, where ever required, with weather sealant silicon adhesive, at various levels, heights including removal of damaged glass panels </t>
    </r>
  </si>
  <si>
    <r>
      <t xml:space="preserve">Supply and fixing of 1200 micron HDPE Liner . </t>
    </r>
    <r>
      <rPr>
        <b/>
        <sz val="12"/>
        <color theme="1"/>
        <rFont val="Arial"/>
        <family val="2"/>
      </rPr>
      <t>1200</t>
    </r>
    <r>
      <rPr>
        <sz val="12"/>
        <color rgb="FF222222"/>
        <rFont val="Arial"/>
        <family val="2"/>
      </rPr>
      <t xml:space="preserve"> μ thick Grade-1 HDPE with the following basic properties shall be used imervious lines 
a).Density: 0.94 G/CC 
b). Corbon black content: 2 to 3% 
c). Tolarance in Thickness: (+/-) 20% 
d). Tensile strength at break 300kg/cm2 &amp; 200kg/cm2 (main
direction 
e). Elongation at break 300% &amp; 200% (main direction</t>
    </r>
  </si>
  <si>
    <t>Material Cost</t>
  </si>
  <si>
    <t>Transportation and handling</t>
  </si>
  <si>
    <t xml:space="preserve">levelling &amp; dressing </t>
  </si>
  <si>
    <t>Labour Charges</t>
  </si>
  <si>
    <t>Transportation &amp; Handling Charges</t>
  </si>
  <si>
    <t>Cost of concertina Coil</t>
  </si>
  <si>
    <t>Reinforced barbed wire</t>
  </si>
  <si>
    <t>G.I stapple and clips</t>
  </si>
  <si>
    <t>Labour Charges/Fixing Charges</t>
  </si>
  <si>
    <t>Trasportation and handling charges</t>
  </si>
  <si>
    <t>Laying and jointing charges</t>
  </si>
  <si>
    <t>Laying and fixing charges</t>
  </si>
  <si>
    <t>Labour charges</t>
  </si>
  <si>
    <t>ASTA</t>
  </si>
  <si>
    <t>Over Heads- 10%</t>
  </si>
  <si>
    <t>Sub Total</t>
  </si>
  <si>
    <t>Laying + Labour Charges</t>
  </si>
  <si>
    <r>
      <t>Profit- 10% + 10% (</t>
    </r>
    <r>
      <rPr>
        <b/>
        <sz val="10.5"/>
        <color theme="1"/>
        <rFont val="Arial"/>
        <family val="2"/>
      </rPr>
      <t>20%</t>
    </r>
    <r>
      <rPr>
        <sz val="10.5"/>
        <color theme="1"/>
        <rFont val="Arial"/>
        <family val="2"/>
      </rPr>
      <t>)</t>
    </r>
  </si>
  <si>
    <r>
      <t>Over Heads-10% + Profit-10%+10% (</t>
    </r>
    <r>
      <rPr>
        <b/>
        <sz val="10.5"/>
        <color theme="1"/>
        <rFont val="Arial"/>
        <family val="2"/>
      </rPr>
      <t>30%</t>
    </r>
    <r>
      <rPr>
        <sz val="10.5"/>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</si>
</sst>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26" x14ac:knownFonts="1">
    <font>
      <sz val="11"/>
      <color theme="1"/>
      <name val="Calibri"/>
      <family val="2"/>
      <scheme val="minor"/>
    </font>
    <font>
      <sz val="11"/>
      <color theme="1"/>
      <name val="Calibri"/>
      <family val="2"/>
      <scheme val="minor"/>
    </font>
    <font>
      <sz val="10.5"/>
      <color theme="1"/>
      <name val="Arial"/>
      <family val="2"/>
    </font>
    <font>
      <b/>
      <sz val="10.5"/>
      <color theme="1"/>
      <name val="Arial"/>
      <family val="2"/>
    </font>
    <font>
      <b/>
      <sz val="10.5"/>
      <color rgb="FF0070C0"/>
      <name val="Arial"/>
      <family val="2"/>
    </font>
    <font>
      <sz val="10.5"/>
      <color rgb="FFFF0000"/>
      <name val="Arial"/>
      <family val="2"/>
    </font>
    <font>
      <b/>
      <sz val="10.5"/>
      <color rgb="FFFF0000"/>
      <name val="Arial"/>
      <family val="2"/>
    </font>
    <font>
      <sz val="11"/>
      <color theme="1"/>
      <name val="Arial"/>
      <family val="2"/>
    </font>
    <font>
      <b/>
      <sz val="12"/>
      <color rgb="FF000000"/>
      <name val="Times New Roman"/>
      <family val="1"/>
    </font>
    <font>
      <sz val="12"/>
      <color rgb="FF000000"/>
      <name val="Times New Roman"/>
      <family val="1"/>
    </font>
    <font>
      <sz val="12"/>
      <color rgb="FF222222"/>
      <name val="Times New Roman"/>
      <family val="1"/>
    </font>
    <font>
      <b/>
      <sz val="12"/>
      <color theme="1"/>
      <name val="Arial"/>
      <family val="2"/>
    </font>
    <font>
      <b/>
      <sz val="12"/>
      <color rgb="FF000000"/>
      <name val="Arial"/>
      <family val="2"/>
    </font>
    <font>
      <sz val="12"/>
      <color rgb="FF222222"/>
      <name val="Arial"/>
      <family val="2"/>
    </font>
    <font>
      <b/>
      <sz val="12"/>
      <color rgb="FF222222"/>
      <name val="Arial"/>
      <family val="2"/>
    </font>
    <font>
      <sz val="12"/>
      <color rgb="FF000000"/>
      <name val="Arial"/>
      <family val="2"/>
    </font>
    <font>
      <sz val="12"/>
      <color theme="1"/>
      <name val="Arial"/>
      <family val="2"/>
    </font>
    <font>
      <sz val="12"/>
      <name val="Arial"/>
      <family val="2"/>
    </font>
    <font>
      <b/>
      <sz val="12"/>
      <color rgb="FFFF0000"/>
      <name val="Arial"/>
      <family val="2"/>
    </font>
    <font>
      <b/>
      <sz val="12"/>
      <name val="Arial"/>
      <family val="2"/>
    </font>
    <font>
      <b/>
      <sz val="16"/>
      <color theme="1"/>
      <name val="Arial"/>
      <family val="2"/>
    </font>
    <font>
      <sz val="10"/>
      <color theme="1"/>
      <name val="Arial"/>
      <family val="2"/>
    </font>
    <font>
      <i/>
      <sz val="10.5"/>
      <color theme="1"/>
      <name val="Arial"/>
      <family val="2"/>
    </font>
    <font>
      <b/>
      <i/>
      <sz val="10.5"/>
      <color theme="1"/>
      <name val="Arial"/>
      <family val="2"/>
    </font>
    <font>
      <b/>
      <i/>
      <sz val="10.5"/>
      <color rgb="FFFF0000"/>
      <name val="Arial"/>
      <family val="2"/>
    </font>
    <font>
      <i/>
      <sz val="10.5"/>
      <color rgb="FFFF0000"/>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xf>
    <xf numFmtId="0" fontId="3" fillId="0" borderId="0" xfId="0" applyFont="1" applyAlignment="1">
      <alignment vertical="center"/>
    </xf>
    <xf numFmtId="0" fontId="2" fillId="0" borderId="1" xfId="0" applyFont="1" applyBorder="1" applyAlignment="1">
      <alignment horizontal="center"/>
    </xf>
    <xf numFmtId="0" fontId="2" fillId="0" borderId="1" xfId="0" applyFont="1" applyBorder="1"/>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vertical="center"/>
    </xf>
    <xf numFmtId="43" fontId="3" fillId="0" borderId="1" xfId="1" applyFont="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43" fontId="6" fillId="2" borderId="1" xfId="1" applyFont="1" applyFill="1" applyBorder="1" applyAlignment="1">
      <alignment horizontal="center" vertical="center"/>
    </xf>
    <xf numFmtId="0" fontId="5" fillId="2" borderId="1" xfId="0" applyFont="1" applyFill="1" applyBorder="1" applyAlignment="1">
      <alignment vertical="center"/>
    </xf>
    <xf numFmtId="0" fontId="4" fillId="0" borderId="1" xfId="0" applyFont="1" applyBorder="1" applyAlignment="1">
      <alignment horizontal="left" vertical="center"/>
    </xf>
    <xf numFmtId="0" fontId="3" fillId="0" borderId="1" xfId="0" applyFont="1" applyBorder="1" applyAlignment="1">
      <alignment horizontal="center" vertical="center"/>
    </xf>
    <xf numFmtId="9" fontId="2" fillId="0" borderId="0" xfId="2" applyFont="1"/>
    <xf numFmtId="164" fontId="2" fillId="0" borderId="1" xfId="1" applyNumberFormat="1" applyFont="1" applyBorder="1" applyAlignment="1">
      <alignment horizontal="center" vertical="center"/>
    </xf>
    <xf numFmtId="164" fontId="3" fillId="0" borderId="1" xfId="1" applyNumberFormat="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left" vertical="center" wrapText="1"/>
    </xf>
    <xf numFmtId="164" fontId="6" fillId="2" borderId="1" xfId="1" applyNumberFormat="1" applyFont="1" applyFill="1" applyBorder="1" applyAlignment="1">
      <alignment horizontal="center" vertical="center"/>
    </xf>
    <xf numFmtId="0" fontId="7" fillId="0" borderId="0" xfId="0" applyFont="1"/>
    <xf numFmtId="0" fontId="10" fillId="3" borderId="1" xfId="0" applyFont="1" applyFill="1" applyBorder="1" applyAlignment="1">
      <alignment horizontal="justify"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9" fillId="3" borderId="14" xfId="0" applyFont="1" applyFill="1" applyBorder="1" applyAlignment="1">
      <alignment vertical="center"/>
    </xf>
    <xf numFmtId="0" fontId="7" fillId="0" borderId="15" xfId="0" applyFont="1" applyBorder="1"/>
    <xf numFmtId="0" fontId="7" fillId="0" borderId="16" xfId="0" applyFont="1" applyBorder="1"/>
    <xf numFmtId="0" fontId="7" fillId="0" borderId="17" xfId="0" applyFont="1" applyBorder="1"/>
    <xf numFmtId="0" fontId="10" fillId="3" borderId="1" xfId="0" applyFont="1" applyFill="1" applyBorder="1" applyAlignment="1">
      <alignment horizontal="center" vertical="center" wrapText="1"/>
    </xf>
    <xf numFmtId="3" fontId="9" fillId="3" borderId="1"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10" fillId="3" borderId="13"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xf numFmtId="0" fontId="5" fillId="0" borderId="1" xfId="0" applyFont="1" applyBorder="1" applyAlignment="1">
      <alignment horizontal="left" vertical="center" wrapText="1"/>
    </xf>
    <xf numFmtId="0" fontId="2" fillId="0" borderId="1" xfId="0" applyFont="1" applyBorder="1" applyAlignment="1">
      <alignment horizontal="center" vertical="center" wrapText="1"/>
    </xf>
    <xf numFmtId="164" fontId="2" fillId="0" borderId="1" xfId="1" applyNumberFormat="1" applyFont="1" applyBorder="1" applyAlignment="1">
      <alignment vertical="center"/>
    </xf>
    <xf numFmtId="0" fontId="2" fillId="0" borderId="1" xfId="0" applyFont="1" applyBorder="1" applyAlignment="1">
      <alignment wrapText="1"/>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2" fillId="2" borderId="1" xfId="0" applyFont="1" applyFill="1" applyBorder="1" applyAlignment="1">
      <alignment horizontal="center" vertical="center"/>
    </xf>
    <xf numFmtId="164" fontId="2" fillId="2" borderId="1" xfId="1"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pplyAlignment="1">
      <alignment horizontal="right" vertical="center" wrapText="1"/>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16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3" fillId="2" borderId="1" xfId="0" applyFont="1" applyFill="1" applyBorder="1" applyAlignment="1">
      <alignment horizontal="right" vertical="center" wrapText="1"/>
    </xf>
    <xf numFmtId="164" fontId="3" fillId="2" borderId="1" xfId="1" applyNumberFormat="1" applyFont="1" applyFill="1" applyBorder="1" applyAlignment="1">
      <alignment horizontal="center" vertical="center"/>
    </xf>
    <xf numFmtId="0" fontId="5" fillId="0" borderId="1" xfId="0" applyFont="1" applyFill="1" applyBorder="1" applyAlignment="1">
      <alignment horizontal="left" vertical="center" wrapText="1"/>
    </xf>
    <xf numFmtId="43" fontId="2" fillId="0" borderId="1" xfId="1" applyNumberFormat="1" applyFont="1" applyBorder="1" applyAlignment="1">
      <alignment horizontal="center" vertical="center"/>
    </xf>
    <xf numFmtId="0" fontId="2" fillId="0" borderId="1" xfId="0" applyFont="1" applyFill="1" applyBorder="1" applyAlignment="1">
      <alignment horizontal="right" vertical="center" wrapText="1"/>
    </xf>
    <xf numFmtId="164" fontId="2" fillId="0" borderId="1" xfId="1"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vertical="center"/>
    </xf>
    <xf numFmtId="0" fontId="2" fillId="2" borderId="1" xfId="0" applyFont="1" applyFill="1" applyBorder="1"/>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13" fillId="3" borderId="13" xfId="0" applyFont="1" applyFill="1" applyBorder="1" applyAlignment="1">
      <alignment horizontal="center" vertical="center" wrapText="1"/>
    </xf>
    <xf numFmtId="0" fontId="13" fillId="3" borderId="1" xfId="0" applyFont="1" applyFill="1" applyBorder="1" applyAlignment="1">
      <alignment horizontal="justify" vertical="center" wrapText="1"/>
    </xf>
    <xf numFmtId="0" fontId="13" fillId="3" borderId="1" xfId="0" applyFont="1" applyFill="1" applyBorder="1" applyAlignment="1">
      <alignment horizontal="center" vertical="center" wrapText="1"/>
    </xf>
    <xf numFmtId="3" fontId="15" fillId="3" borderId="1" xfId="0" applyNumberFormat="1" applyFont="1" applyFill="1" applyBorder="1" applyAlignment="1">
      <alignment horizontal="center" vertical="center"/>
    </xf>
    <xf numFmtId="0" fontId="16" fillId="3" borderId="1" xfId="0" applyFont="1" applyFill="1" applyBorder="1" applyAlignment="1">
      <alignment horizontal="justify" vertical="center" wrapText="1"/>
    </xf>
    <xf numFmtId="0" fontId="15" fillId="3" borderId="1" xfId="0" applyFont="1" applyFill="1" applyBorder="1" applyAlignment="1">
      <alignment horizontal="center" vertical="center"/>
    </xf>
    <xf numFmtId="0" fontId="13" fillId="0" borderId="1" xfId="0" applyFont="1" applyFill="1" applyBorder="1" applyAlignment="1">
      <alignment horizontal="justify"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2" fillId="0" borderId="13" xfId="0" applyFont="1" applyBorder="1" applyAlignment="1">
      <alignment horizontal="center" vertical="center"/>
    </xf>
    <xf numFmtId="0" fontId="5" fillId="0" borderId="13" xfId="0" applyFont="1" applyFill="1" applyBorder="1" applyAlignment="1">
      <alignment horizontal="center" vertical="center"/>
    </xf>
    <xf numFmtId="0" fontId="2" fillId="0" borderId="24" xfId="0" applyFont="1" applyBorder="1" applyAlignment="1">
      <alignment horizontal="center"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25"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vertical="center"/>
    </xf>
    <xf numFmtId="0" fontId="2" fillId="0" borderId="27" xfId="0" applyFont="1" applyBorder="1" applyAlignment="1">
      <alignment horizontal="center" vertical="center"/>
    </xf>
    <xf numFmtId="0" fontId="2" fillId="0" borderId="27" xfId="0" applyFont="1" applyBorder="1" applyAlignment="1">
      <alignment vertical="center"/>
    </xf>
    <xf numFmtId="0" fontId="2" fillId="0" borderId="28" xfId="0" applyFont="1" applyBorder="1" applyAlignment="1">
      <alignment horizontal="center" vertical="center"/>
    </xf>
    <xf numFmtId="43" fontId="6" fillId="0" borderId="1" xfId="1" applyFont="1" applyFill="1" applyBorder="1" applyAlignment="1">
      <alignment horizontal="center" vertical="center"/>
    </xf>
    <xf numFmtId="0" fontId="5" fillId="0" borderId="5" xfId="0" applyFont="1" applyFill="1" applyBorder="1" applyAlignment="1">
      <alignment vertical="center"/>
    </xf>
    <xf numFmtId="0" fontId="2" fillId="0" borderId="14" xfId="0" applyFont="1" applyBorder="1" applyAlignment="1">
      <alignment horizontal="center"/>
    </xf>
    <xf numFmtId="0" fontId="2" fillId="0" borderId="14" xfId="0" applyFont="1" applyBorder="1" applyAlignment="1">
      <alignment horizontal="center" vertical="center"/>
    </xf>
    <xf numFmtId="0" fontId="5"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5" fillId="2" borderId="16" xfId="0" applyFont="1" applyFill="1" applyBorder="1" applyAlignment="1">
      <alignment horizontal="center" vertical="center"/>
    </xf>
    <xf numFmtId="43" fontId="6" fillId="2" borderId="16" xfId="1" applyFont="1" applyFill="1" applyBorder="1" applyAlignment="1">
      <alignment horizontal="center" vertical="center"/>
    </xf>
    <xf numFmtId="164" fontId="6" fillId="2" borderId="16" xfId="1" applyNumberFormat="1" applyFont="1" applyFill="1" applyBorder="1" applyAlignment="1">
      <alignment horizontal="center" vertical="center"/>
    </xf>
    <xf numFmtId="0" fontId="5" fillId="2" borderId="16" xfId="0" applyFont="1" applyFill="1" applyBorder="1" applyAlignment="1">
      <alignment vertical="center"/>
    </xf>
    <xf numFmtId="0" fontId="5" fillId="2" borderId="17" xfId="0" applyFont="1" applyFill="1" applyBorder="1" applyAlignment="1">
      <alignment horizontal="center" vertical="center"/>
    </xf>
    <xf numFmtId="0" fontId="2" fillId="0" borderId="1" xfId="0" applyFont="1" applyBorder="1" applyAlignment="1">
      <alignment horizontal="left" vertical="center"/>
    </xf>
    <xf numFmtId="0" fontId="2" fillId="0" borderId="13" xfId="0" applyFont="1" applyFill="1" applyBorder="1" applyAlignment="1">
      <alignment horizontal="center" vertical="center"/>
    </xf>
    <xf numFmtId="0" fontId="2" fillId="0" borderId="26" xfId="0" applyFont="1" applyBorder="1" applyAlignment="1">
      <alignment horizontal="center" vertical="center"/>
    </xf>
    <xf numFmtId="0" fontId="3" fillId="2" borderId="16" xfId="0" applyFont="1" applyFill="1" applyBorder="1" applyAlignment="1">
      <alignment horizontal="right" vertical="center" wrapText="1"/>
    </xf>
    <xf numFmtId="0" fontId="2" fillId="2" borderId="16" xfId="0" applyFont="1" applyFill="1" applyBorder="1" applyAlignment="1">
      <alignment horizontal="center" vertical="center"/>
    </xf>
    <xf numFmtId="164" fontId="3" fillId="2" borderId="16" xfId="1" applyNumberFormat="1" applyFont="1" applyFill="1" applyBorder="1" applyAlignment="1">
      <alignment horizontal="center" vertical="center"/>
    </xf>
    <xf numFmtId="1" fontId="2" fillId="0" borderId="1" xfId="0" applyNumberFormat="1" applyFont="1" applyBorder="1" applyAlignment="1">
      <alignment vertical="center"/>
    </xf>
    <xf numFmtId="0" fontId="3" fillId="0" borderId="1" xfId="0" applyFont="1" applyBorder="1" applyAlignment="1">
      <alignment horizontal="right" vertical="center" wrapText="1"/>
    </xf>
    <xf numFmtId="0" fontId="3" fillId="0" borderId="1" xfId="0" applyFont="1" applyBorder="1"/>
    <xf numFmtId="0" fontId="3" fillId="0" borderId="1" xfId="0" applyFont="1" applyBorder="1" applyAlignment="1">
      <alignment horizontal="right" vertical="center"/>
    </xf>
    <xf numFmtId="1" fontId="2" fillId="0" borderId="1" xfId="0" applyNumberFormat="1" applyFont="1" applyBorder="1" applyAlignment="1">
      <alignment horizontal="center" vertical="center"/>
    </xf>
    <xf numFmtId="0" fontId="6" fillId="2" borderId="1" xfId="0" applyFont="1" applyFill="1" applyBorder="1" applyAlignment="1">
      <alignment horizontal="right" vertical="center"/>
    </xf>
    <xf numFmtId="0" fontId="13" fillId="3" borderId="15" xfId="0" applyFont="1" applyFill="1" applyBorder="1" applyAlignment="1">
      <alignment horizontal="center" vertical="center" wrapText="1"/>
    </xf>
    <xf numFmtId="0" fontId="13" fillId="3" borderId="16" xfId="0" applyFont="1" applyFill="1" applyBorder="1" applyAlignment="1">
      <alignment horizontal="justify" vertical="center" wrapText="1"/>
    </xf>
    <xf numFmtId="0" fontId="13" fillId="3" borderId="16" xfId="0" applyFont="1" applyFill="1" applyBorder="1" applyAlignment="1">
      <alignment horizontal="center" vertical="center" wrapText="1"/>
    </xf>
    <xf numFmtId="3" fontId="15" fillId="3" borderId="16" xfId="0" applyNumberFormat="1" applyFont="1" applyFill="1" applyBorder="1" applyAlignment="1">
      <alignment horizontal="center" vertical="center"/>
    </xf>
    <xf numFmtId="164" fontId="15" fillId="2" borderId="2" xfId="1" applyNumberFormat="1" applyFont="1" applyFill="1" applyBorder="1" applyAlignment="1">
      <alignment vertical="center"/>
    </xf>
    <xf numFmtId="164" fontId="17" fillId="2" borderId="19" xfId="1" applyNumberFormat="1" applyFont="1" applyFill="1" applyBorder="1" applyAlignment="1">
      <alignment vertical="center"/>
    </xf>
    <xf numFmtId="0" fontId="12" fillId="3" borderId="22"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6" xfId="0" applyFont="1" applyFill="1" applyBorder="1" applyAlignment="1">
      <alignment horizontal="center" vertical="center"/>
    </xf>
    <xf numFmtId="0" fontId="12" fillId="2" borderId="32" xfId="0" applyFont="1" applyFill="1" applyBorder="1" applyAlignment="1">
      <alignment horizontal="center" vertical="center"/>
    </xf>
    <xf numFmtId="0" fontId="11" fillId="0" borderId="32" xfId="0" applyFont="1" applyBorder="1" applyAlignment="1">
      <alignment horizontal="center" vertical="center" wrapText="1"/>
    </xf>
    <xf numFmtId="164" fontId="15" fillId="2" borderId="3" xfId="1" applyNumberFormat="1" applyFont="1" applyFill="1" applyBorder="1" applyAlignment="1">
      <alignment vertical="center"/>
    </xf>
    <xf numFmtId="164" fontId="17" fillId="2" borderId="31" xfId="1" applyNumberFormat="1" applyFont="1" applyFill="1" applyBorder="1" applyAlignment="1">
      <alignment vertical="center"/>
    </xf>
    <xf numFmtId="0" fontId="12" fillId="2" borderId="32" xfId="0" applyFont="1" applyFill="1" applyBorder="1" applyAlignment="1">
      <alignment horizontal="center" vertical="center" wrapText="1"/>
    </xf>
    <xf numFmtId="0" fontId="16" fillId="0" borderId="0" xfId="0" applyFont="1"/>
    <xf numFmtId="0" fontId="16" fillId="2" borderId="0" xfId="0" applyFont="1" applyFill="1"/>
    <xf numFmtId="164" fontId="16" fillId="0" borderId="0" xfId="1" applyNumberFormat="1" applyFont="1" applyAlignment="1">
      <alignment horizontal="center" vertical="center"/>
    </xf>
    <xf numFmtId="0" fontId="11" fillId="2" borderId="22" xfId="0" applyFont="1" applyFill="1" applyBorder="1" applyAlignment="1">
      <alignment horizontal="center" vertical="center" wrapText="1"/>
    </xf>
    <xf numFmtId="0" fontId="11" fillId="0" borderId="23" xfId="0" applyFont="1" applyBorder="1" applyAlignment="1">
      <alignment horizontal="center" vertical="center"/>
    </xf>
    <xf numFmtId="164" fontId="16" fillId="0" borderId="1" xfId="1" applyNumberFormat="1" applyFont="1" applyBorder="1" applyAlignment="1">
      <alignment horizontal="center" vertical="center"/>
    </xf>
    <xf numFmtId="164" fontId="16" fillId="0" borderId="2" xfId="1" applyNumberFormat="1" applyFont="1" applyBorder="1" applyAlignment="1">
      <alignment horizontal="center" vertical="center"/>
    </xf>
    <xf numFmtId="0" fontId="11" fillId="2" borderId="1" xfId="0" applyFont="1" applyFill="1" applyBorder="1" applyAlignment="1">
      <alignment horizontal="center" vertical="center"/>
    </xf>
    <xf numFmtId="0" fontId="18" fillId="2" borderId="1" xfId="0" applyFont="1" applyFill="1" applyBorder="1" applyAlignment="1">
      <alignment horizontal="center" vertical="center"/>
    </xf>
    <xf numFmtId="164" fontId="11" fillId="2" borderId="1" xfId="0" applyNumberFormat="1" applyFont="1" applyFill="1" applyBorder="1" applyAlignment="1">
      <alignment horizontal="center" vertical="center"/>
    </xf>
    <xf numFmtId="0" fontId="17" fillId="0" borderId="34" xfId="0" applyFont="1" applyFill="1" applyBorder="1" applyAlignment="1">
      <alignment horizontal="left" vertical="top" wrapText="1"/>
    </xf>
    <xf numFmtId="164" fontId="17" fillId="0" borderId="1" xfId="1" applyNumberFormat="1" applyFont="1" applyBorder="1" applyAlignment="1">
      <alignment horizontal="center" vertical="center"/>
    </xf>
    <xf numFmtId="164" fontId="17" fillId="0" borderId="19" xfId="1" applyNumberFormat="1" applyFont="1" applyBorder="1" applyAlignment="1">
      <alignment horizontal="center" vertical="center"/>
    </xf>
    <xf numFmtId="0" fontId="16" fillId="0" borderId="29" xfId="0" applyFont="1" applyBorder="1"/>
    <xf numFmtId="0" fontId="11" fillId="0" borderId="27" xfId="0" applyFont="1" applyBorder="1" applyAlignment="1">
      <alignment horizontal="right" vertical="center"/>
    </xf>
    <xf numFmtId="0" fontId="16" fillId="2" borderId="33" xfId="0" applyFont="1" applyFill="1" applyBorder="1"/>
    <xf numFmtId="164" fontId="11" fillId="2" borderId="17" xfId="0" applyNumberFormat="1" applyFont="1" applyFill="1" applyBorder="1" applyAlignment="1">
      <alignment horizontal="right" vertical="center"/>
    </xf>
    <xf numFmtId="164" fontId="11" fillId="2" borderId="17" xfId="1" applyNumberFormat="1" applyFont="1" applyFill="1" applyBorder="1" applyAlignment="1">
      <alignment horizontal="center" vertical="center"/>
    </xf>
    <xf numFmtId="43" fontId="16" fillId="0" borderId="1" xfId="1" applyNumberFormat="1" applyFont="1" applyBorder="1" applyAlignment="1">
      <alignment horizontal="center" vertical="center"/>
    </xf>
    <xf numFmtId="0" fontId="2" fillId="4" borderId="1" xfId="0" applyFont="1" applyFill="1" applyBorder="1" applyAlignment="1">
      <alignment horizontal="center" vertical="center"/>
    </xf>
    <xf numFmtId="1" fontId="2" fillId="4" borderId="1" xfId="0" applyNumberFormat="1" applyFont="1" applyFill="1" applyBorder="1" applyAlignment="1">
      <alignment vertical="center"/>
    </xf>
    <xf numFmtId="164" fontId="2" fillId="4" borderId="1" xfId="1" applyNumberFormat="1" applyFont="1" applyFill="1" applyBorder="1" applyAlignment="1">
      <alignment horizontal="center" vertical="center"/>
    </xf>
    <xf numFmtId="0" fontId="2" fillId="4" borderId="1" xfId="0" applyFont="1" applyFill="1" applyBorder="1" applyAlignment="1">
      <alignment vertical="center"/>
    </xf>
    <xf numFmtId="0" fontId="2" fillId="4" borderId="1" xfId="0" applyFont="1" applyFill="1" applyBorder="1" applyAlignment="1">
      <alignment horizontal="right" vertical="center" wrapText="1"/>
    </xf>
    <xf numFmtId="0" fontId="3" fillId="0" borderId="1" xfId="0" applyFont="1" applyBorder="1" applyAlignment="1">
      <alignment horizontal="center" vertical="center"/>
    </xf>
    <xf numFmtId="0" fontId="21" fillId="4" borderId="1" xfId="0" applyFont="1" applyFill="1" applyBorder="1" applyAlignment="1">
      <alignment horizontal="right" vertical="center" wrapText="1"/>
    </xf>
    <xf numFmtId="0" fontId="2" fillId="0" borderId="1" xfId="0" applyFont="1" applyBorder="1" applyAlignment="1">
      <alignment horizontal="right" vertical="center"/>
    </xf>
    <xf numFmtId="0" fontId="2" fillId="4" borderId="1" xfId="0" applyFont="1" applyFill="1" applyBorder="1" applyAlignment="1">
      <alignment horizontal="right" vertical="center"/>
    </xf>
    <xf numFmtId="0" fontId="11" fillId="0" borderId="30" xfId="0" applyFont="1" applyBorder="1" applyAlignment="1">
      <alignment horizontal="right" vertical="center"/>
    </xf>
    <xf numFmtId="0" fontId="11" fillId="0" borderId="27" xfId="0" applyFont="1" applyBorder="1" applyAlignment="1">
      <alignment horizontal="right" vertical="center"/>
    </xf>
    <xf numFmtId="0" fontId="20" fillId="2" borderId="8" xfId="0" applyFont="1" applyFill="1" applyBorder="1" applyAlignment="1">
      <alignment horizontal="center" vertical="center"/>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 fillId="0" borderId="20" xfId="0" applyFont="1" applyBorder="1" applyAlignment="1">
      <alignment horizontal="center"/>
    </xf>
    <xf numFmtId="0" fontId="2" fillId="0" borderId="22" xfId="0" applyFont="1" applyBorder="1" applyAlignment="1">
      <alignment horizontal="center"/>
    </xf>
    <xf numFmtId="0" fontId="3" fillId="0" borderId="11" xfId="0" applyFont="1" applyBorder="1" applyAlignment="1">
      <alignment horizontal="center" vertical="center"/>
    </xf>
    <xf numFmtId="0" fontId="2" fillId="0" borderId="21" xfId="0" applyFont="1" applyBorder="1" applyAlignment="1">
      <alignment horizontal="center"/>
    </xf>
    <xf numFmtId="0" fontId="2" fillId="0" borderId="23" xfId="0" applyFont="1" applyBorder="1" applyAlignment="1">
      <alignment horizont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0" borderId="5" xfId="0" applyFont="1" applyBorder="1" applyAlignment="1">
      <alignment horizontal="center"/>
    </xf>
    <xf numFmtId="0" fontId="2" fillId="0" borderId="6" xfId="0" applyFont="1" applyBorder="1" applyAlignment="1">
      <alignment horizontal="center"/>
    </xf>
    <xf numFmtId="0" fontId="3" fillId="0" borderId="1" xfId="0" applyFont="1" applyBorder="1" applyAlignment="1">
      <alignment horizontal="center" vertical="center"/>
    </xf>
    <xf numFmtId="0" fontId="2" fillId="0" borderId="5"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6" xfId="0" applyFont="1" applyBorder="1" applyAlignment="1">
      <alignment horizontal="center" vertical="center" wrapText="1"/>
    </xf>
    <xf numFmtId="0" fontId="11" fillId="2" borderId="8"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7" xfId="0" applyFont="1" applyFill="1" applyBorder="1" applyAlignment="1">
      <alignment horizontal="center" vertical="center"/>
    </xf>
    <xf numFmtId="0" fontId="3" fillId="0" borderId="1" xfId="0" applyFont="1" applyBorder="1" applyAlignment="1">
      <alignment horizontal="center" vertical="center" wrapText="1"/>
    </xf>
    <xf numFmtId="0" fontId="2" fillId="0" borderId="27" xfId="0" applyFont="1" applyBorder="1" applyAlignment="1">
      <alignment horizontal="center" vertical="center"/>
    </xf>
    <xf numFmtId="0" fontId="5" fillId="2" borderId="1" xfId="0" applyFont="1" applyFill="1" applyBorder="1" applyAlignment="1">
      <alignment horizontal="left" vertical="center" wrapText="1"/>
    </xf>
    <xf numFmtId="0" fontId="6" fillId="2" borderId="1" xfId="0" applyFont="1" applyFill="1" applyBorder="1" applyAlignment="1">
      <alignment vertical="center"/>
    </xf>
    <xf numFmtId="0" fontId="2" fillId="0" borderId="1" xfId="0" applyFont="1" applyBorder="1" applyAlignment="1">
      <alignment horizontal="right" wrapText="1"/>
    </xf>
    <xf numFmtId="0" fontId="2" fillId="0" borderId="1" xfId="0" applyFont="1" applyBorder="1" applyAlignment="1">
      <alignment horizontal="right"/>
    </xf>
    <xf numFmtId="0" fontId="3" fillId="0" borderId="12" xfId="0" applyFont="1" applyBorder="1" applyAlignment="1">
      <alignment horizontal="center" vertical="center"/>
    </xf>
    <xf numFmtId="0" fontId="3" fillId="0" borderId="14" xfId="0" applyFont="1" applyBorder="1" applyAlignment="1">
      <alignment horizontal="center" vertical="center" wrapText="1"/>
    </xf>
    <xf numFmtId="0" fontId="2" fillId="0" borderId="28" xfId="0" applyFont="1" applyBorder="1" applyAlignment="1">
      <alignment horizontal="center" vertical="center"/>
    </xf>
    <xf numFmtId="0" fontId="3" fillId="2" borderId="15" xfId="0" applyFont="1" applyFill="1" applyBorder="1" applyAlignment="1">
      <alignment horizontal="center" vertical="center"/>
    </xf>
    <xf numFmtId="0" fontId="22" fillId="0" borderId="0" xfId="0" applyFont="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23" fillId="0" borderId="1" xfId="0" applyFont="1" applyBorder="1" applyAlignment="1">
      <alignment horizontal="center" vertical="center"/>
    </xf>
    <xf numFmtId="164" fontId="23" fillId="0" borderId="1" xfId="1" applyNumberFormat="1" applyFont="1" applyBorder="1" applyAlignment="1">
      <alignment horizontal="center" vertical="center"/>
    </xf>
    <xf numFmtId="164" fontId="22" fillId="0" borderId="1" xfId="1" applyNumberFormat="1" applyFont="1" applyBorder="1" applyAlignment="1">
      <alignment horizontal="center" vertical="center"/>
    </xf>
    <xf numFmtId="164" fontId="24" fillId="2" borderId="1" xfId="1" applyNumberFormat="1" applyFont="1" applyFill="1" applyBorder="1" applyAlignment="1">
      <alignment horizontal="center" vertical="center"/>
    </xf>
    <xf numFmtId="0" fontId="22" fillId="0" borderId="0" xfId="0" applyFont="1" applyAlignment="1">
      <alignment horizontal="center" vertical="center"/>
    </xf>
    <xf numFmtId="0" fontId="22" fillId="0" borderId="1" xfId="0" applyFont="1" applyBorder="1" applyAlignment="1">
      <alignment horizontal="center"/>
    </xf>
    <xf numFmtId="164" fontId="23" fillId="2" borderId="1" xfId="1" applyNumberFormat="1" applyFont="1" applyFill="1" applyBorder="1" applyAlignment="1">
      <alignment horizontal="center" vertical="center"/>
    </xf>
    <xf numFmtId="0" fontId="23" fillId="0" borderId="14" xfId="0" applyFont="1" applyBorder="1" applyAlignment="1">
      <alignment horizontal="center" vertical="center"/>
    </xf>
    <xf numFmtId="0" fontId="22" fillId="0" borderId="14" xfId="0" applyFont="1" applyBorder="1" applyAlignment="1">
      <alignment horizontal="center"/>
    </xf>
    <xf numFmtId="164" fontId="22" fillId="0" borderId="14" xfId="1" applyNumberFormat="1" applyFont="1" applyBorder="1" applyAlignment="1">
      <alignment horizontal="center" vertical="center"/>
    </xf>
    <xf numFmtId="164" fontId="22" fillId="0" borderId="14" xfId="1" applyNumberFormat="1" applyFont="1" applyFill="1" applyBorder="1" applyAlignment="1">
      <alignment horizontal="center" vertical="center"/>
    </xf>
    <xf numFmtId="164" fontId="23" fillId="2" borderId="14" xfId="1" applyNumberFormat="1" applyFont="1" applyFill="1" applyBorder="1" applyAlignment="1">
      <alignment horizontal="center" vertical="center"/>
    </xf>
    <xf numFmtId="164" fontId="25" fillId="0" borderId="14" xfId="1" applyNumberFormat="1" applyFont="1" applyFill="1" applyBorder="1" applyAlignment="1">
      <alignment horizontal="center" vertical="center"/>
    </xf>
    <xf numFmtId="164" fontId="22" fillId="4" borderId="14" xfId="1" applyNumberFormat="1" applyFont="1" applyFill="1" applyBorder="1" applyAlignment="1">
      <alignment horizontal="center" vertical="center"/>
    </xf>
    <xf numFmtId="164" fontId="23" fillId="0" borderId="14" xfId="1" applyNumberFormat="1" applyFont="1" applyBorder="1" applyAlignment="1">
      <alignment horizontal="center" vertical="center"/>
    </xf>
    <xf numFmtId="164" fontId="24" fillId="2" borderId="17" xfId="1" applyNumberFormat="1" applyFont="1" applyFill="1" applyBorder="1" applyAlignment="1">
      <alignment horizontal="center" vertical="center"/>
    </xf>
    <xf numFmtId="164" fontId="22" fillId="0" borderId="14" xfId="1" applyNumberFormat="1" applyFont="1" applyBorder="1" applyAlignment="1">
      <alignment horizontal="center"/>
    </xf>
    <xf numFmtId="164" fontId="23" fillId="0" borderId="14" xfId="1" applyNumberFormat="1" applyFont="1" applyBorder="1" applyAlignment="1">
      <alignment horizontal="center"/>
    </xf>
    <xf numFmtId="164" fontId="24" fillId="2" borderId="14" xfId="1" applyNumberFormat="1" applyFont="1" applyFill="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75078</xdr:colOff>
      <xdr:row>1</xdr:row>
      <xdr:rowOff>114299</xdr:rowOff>
    </xdr:from>
    <xdr:ext cx="477371"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84678" y="209549"/>
          <a:ext cx="477371" cy="476251"/>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1</xdr:col>
      <xdr:colOff>132229</xdr:colOff>
      <xdr:row>1</xdr:row>
      <xdr:rowOff>104774</xdr:rowOff>
    </xdr:from>
    <xdr:ext cx="381000"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741829" y="200024"/>
          <a:ext cx="381000" cy="476251"/>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1</xdr:col>
      <xdr:colOff>132229</xdr:colOff>
      <xdr:row>1</xdr:row>
      <xdr:rowOff>104774</xdr:rowOff>
    </xdr:from>
    <xdr:ext cx="381000"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741829" y="200024"/>
          <a:ext cx="381000" cy="476251"/>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1</xdr:col>
      <xdr:colOff>132229</xdr:colOff>
      <xdr:row>1</xdr:row>
      <xdr:rowOff>104774</xdr:rowOff>
    </xdr:from>
    <xdr:ext cx="381000"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741829" y="200024"/>
          <a:ext cx="381000" cy="4762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132229</xdr:colOff>
      <xdr:row>1</xdr:row>
      <xdr:rowOff>104774</xdr:rowOff>
    </xdr:from>
    <xdr:ext cx="381000"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741829" y="200024"/>
          <a:ext cx="381000" cy="47625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75078</xdr:colOff>
      <xdr:row>1</xdr:row>
      <xdr:rowOff>114299</xdr:rowOff>
    </xdr:from>
    <xdr:ext cx="477371"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84678" y="209549"/>
          <a:ext cx="477371" cy="476251"/>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132229</xdr:colOff>
      <xdr:row>1</xdr:row>
      <xdr:rowOff>104774</xdr:rowOff>
    </xdr:from>
    <xdr:ext cx="381000"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741829" y="200024"/>
          <a:ext cx="381000" cy="476251"/>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132229</xdr:colOff>
      <xdr:row>1</xdr:row>
      <xdr:rowOff>104774</xdr:rowOff>
    </xdr:from>
    <xdr:ext cx="381000"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741829" y="200024"/>
          <a:ext cx="381000" cy="476251"/>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132229</xdr:colOff>
      <xdr:row>1</xdr:row>
      <xdr:rowOff>104774</xdr:rowOff>
    </xdr:from>
    <xdr:ext cx="381000"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741829" y="200024"/>
          <a:ext cx="381000" cy="476251"/>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132229</xdr:colOff>
      <xdr:row>1</xdr:row>
      <xdr:rowOff>104774</xdr:rowOff>
    </xdr:from>
    <xdr:ext cx="381000"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741829" y="200024"/>
          <a:ext cx="381000" cy="476251"/>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xdr:col>
      <xdr:colOff>132229</xdr:colOff>
      <xdr:row>1</xdr:row>
      <xdr:rowOff>104774</xdr:rowOff>
    </xdr:from>
    <xdr:ext cx="381000"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741829" y="200024"/>
          <a:ext cx="381000" cy="476251"/>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1</xdr:col>
      <xdr:colOff>132229</xdr:colOff>
      <xdr:row>1</xdr:row>
      <xdr:rowOff>104774</xdr:rowOff>
    </xdr:from>
    <xdr:ext cx="381000" cy="476251"/>
    <xdr:pic>
      <xdr:nvPicPr>
        <xdr:cNvPr id="2" name="Picture 1" descr="pmpl logo.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741829" y="200024"/>
          <a:ext cx="381000" cy="476251"/>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7"/>
  <sheetViews>
    <sheetView view="pageBreakPreview" zoomScale="70" zoomScaleNormal="85" zoomScaleSheetLayoutView="70" workbookViewId="0">
      <selection activeCell="F4" sqref="F4"/>
    </sheetView>
  </sheetViews>
  <sheetFormatPr defaultColWidth="9.125" defaultRowHeight="15.65" x14ac:dyDescent="0.25"/>
  <cols>
    <col min="1" max="1" width="9.125" style="128"/>
    <col min="2" max="2" width="7" style="128" customWidth="1"/>
    <col min="3" max="3" width="127.125" style="128" customWidth="1"/>
    <col min="4" max="4" width="10.625" style="128" customWidth="1"/>
    <col min="5" max="5" width="11.125" style="128" customWidth="1"/>
    <col min="6" max="6" width="13.375" style="129" customWidth="1"/>
    <col min="7" max="7" width="22.375" style="129" customWidth="1"/>
    <col min="8" max="9" width="25" style="128" customWidth="1"/>
    <col min="10" max="10" width="22.625" style="129" hidden="1" customWidth="1"/>
    <col min="11" max="11" width="18.375" style="128" hidden="1" customWidth="1"/>
    <col min="12" max="12" width="18.75" style="129" hidden="1" customWidth="1"/>
    <col min="13" max="13" width="16.75" style="130" hidden="1" customWidth="1"/>
    <col min="14" max="16384" width="9.125" style="128"/>
  </cols>
  <sheetData>
    <row r="1" spans="2:13" ht="16.3" thickBot="1" x14ac:dyDescent="0.3"/>
    <row r="2" spans="2:13" ht="30.75" customHeight="1" thickBot="1" x14ac:dyDescent="0.3">
      <c r="B2" s="158" t="s">
        <v>80</v>
      </c>
      <c r="C2" s="159"/>
      <c r="D2" s="159"/>
      <c r="E2" s="159"/>
      <c r="F2" s="159"/>
      <c r="G2" s="159"/>
      <c r="H2" s="159"/>
      <c r="I2" s="159"/>
      <c r="J2" s="159"/>
      <c r="K2" s="159"/>
      <c r="L2" s="160"/>
    </row>
    <row r="3" spans="2:13" ht="31.25" x14ac:dyDescent="0.25">
      <c r="B3" s="120" t="s">
        <v>82</v>
      </c>
      <c r="C3" s="121" t="s">
        <v>81</v>
      </c>
      <c r="D3" s="121" t="s">
        <v>3</v>
      </c>
      <c r="E3" s="122" t="s">
        <v>34</v>
      </c>
      <c r="F3" s="123" t="s">
        <v>35</v>
      </c>
      <c r="G3" s="127" t="s">
        <v>163</v>
      </c>
      <c r="H3" s="124" t="s">
        <v>119</v>
      </c>
      <c r="I3" s="124" t="s">
        <v>162</v>
      </c>
      <c r="J3" s="131" t="s">
        <v>161</v>
      </c>
      <c r="K3" s="132" t="s">
        <v>15</v>
      </c>
    </row>
    <row r="4" spans="2:13" ht="46.9" x14ac:dyDescent="0.25">
      <c r="B4" s="67">
        <v>1</v>
      </c>
      <c r="C4" s="68" t="s">
        <v>133</v>
      </c>
      <c r="D4" s="69" t="s">
        <v>37</v>
      </c>
      <c r="E4" s="70">
        <v>2500</v>
      </c>
      <c r="F4" s="118">
        <f>Soling!G14</f>
        <v>3339</v>
      </c>
      <c r="G4" s="118">
        <f>4500*105%</f>
        <v>4725</v>
      </c>
      <c r="H4" s="133">
        <f>+F4*E4</f>
        <v>8347500</v>
      </c>
      <c r="I4" s="133">
        <f>G4*E4</f>
        <v>11812500</v>
      </c>
      <c r="J4" s="125">
        <f>F4*85%</f>
        <v>2838.15</v>
      </c>
      <c r="K4" s="134">
        <f>J4*E4</f>
        <v>7095375</v>
      </c>
      <c r="L4" s="135">
        <v>4500</v>
      </c>
      <c r="M4" s="130">
        <f>L4*E4</f>
        <v>11250000</v>
      </c>
    </row>
    <row r="5" spans="2:13" ht="31.25" x14ac:dyDescent="0.25">
      <c r="B5" s="67">
        <v>2</v>
      </c>
      <c r="C5" s="71" t="s">
        <v>123</v>
      </c>
      <c r="D5" s="69" t="s">
        <v>37</v>
      </c>
      <c r="E5" s="72">
        <v>400</v>
      </c>
      <c r="F5" s="118">
        <f>'40 mm gravel filling.'!G14</f>
        <v>3293.7319999999995</v>
      </c>
      <c r="G5" s="118">
        <f>4000*104%</f>
        <v>4160</v>
      </c>
      <c r="H5" s="133">
        <f t="shared" ref="H5:H56" si="0">+F5*E5</f>
        <v>1317492.7999999998</v>
      </c>
      <c r="I5" s="133">
        <f t="shared" ref="I5:I56" si="1">G5*E5</f>
        <v>1664000</v>
      </c>
      <c r="J5" s="125">
        <f t="shared" ref="J5:J56" si="2">F5*85%</f>
        <v>2799.6721999999995</v>
      </c>
      <c r="K5" s="134">
        <f t="shared" ref="K5:K56" si="3">J5*E5</f>
        <v>1119868.8799999999</v>
      </c>
      <c r="L5" s="135">
        <v>4000</v>
      </c>
      <c r="M5" s="130">
        <f t="shared" ref="M5:M56" si="4">L5*E5</f>
        <v>1600000</v>
      </c>
    </row>
    <row r="6" spans="2:13" ht="31.25" x14ac:dyDescent="0.25">
      <c r="B6" s="67">
        <v>3</v>
      </c>
      <c r="C6" s="68" t="s">
        <v>132</v>
      </c>
      <c r="D6" s="69" t="s">
        <v>40</v>
      </c>
      <c r="E6" s="72">
        <v>400</v>
      </c>
      <c r="F6" s="118">
        <f>Glass!G14</f>
        <v>2472.6</v>
      </c>
      <c r="G6" s="118">
        <f>4000*105%</f>
        <v>4200</v>
      </c>
      <c r="H6" s="133">
        <f t="shared" si="0"/>
        <v>989040</v>
      </c>
      <c r="I6" s="133">
        <f t="shared" si="1"/>
        <v>1680000</v>
      </c>
      <c r="J6" s="125">
        <f t="shared" si="2"/>
        <v>2101.71</v>
      </c>
      <c r="K6" s="134">
        <f t="shared" si="3"/>
        <v>840684</v>
      </c>
      <c r="L6" s="135">
        <v>4000</v>
      </c>
      <c r="M6" s="130">
        <f t="shared" si="4"/>
        <v>1600000</v>
      </c>
    </row>
    <row r="7" spans="2:13" ht="46.9" x14ac:dyDescent="0.25">
      <c r="B7" s="67">
        <v>4</v>
      </c>
      <c r="C7" s="68" t="s">
        <v>213</v>
      </c>
      <c r="D7" s="69" t="s">
        <v>40</v>
      </c>
      <c r="E7" s="72">
        <v>900</v>
      </c>
      <c r="F7" s="118">
        <f>Glass!G23</f>
        <v>3139.5</v>
      </c>
      <c r="G7" s="118">
        <f>5000*105%</f>
        <v>5250</v>
      </c>
      <c r="H7" s="133">
        <f t="shared" si="0"/>
        <v>2825550</v>
      </c>
      <c r="I7" s="133">
        <f t="shared" si="1"/>
        <v>4725000</v>
      </c>
      <c r="J7" s="125">
        <f t="shared" si="2"/>
        <v>2668.5749999999998</v>
      </c>
      <c r="K7" s="134">
        <f t="shared" si="3"/>
        <v>2401717.5</v>
      </c>
      <c r="L7" s="135">
        <v>5000</v>
      </c>
      <c r="M7" s="130">
        <f t="shared" si="4"/>
        <v>4500000</v>
      </c>
    </row>
    <row r="8" spans="2:13" ht="125" x14ac:dyDescent="0.25">
      <c r="B8" s="67">
        <v>5</v>
      </c>
      <c r="C8" s="68" t="s">
        <v>214</v>
      </c>
      <c r="D8" s="69" t="s">
        <v>40</v>
      </c>
      <c r="E8" s="70">
        <v>1000</v>
      </c>
      <c r="F8" s="118">
        <f>'HDPE liner'!G13</f>
        <v>3098.81</v>
      </c>
      <c r="G8" s="118">
        <f>F8</f>
        <v>3098.81</v>
      </c>
      <c r="H8" s="133">
        <f t="shared" si="0"/>
        <v>3098810</v>
      </c>
      <c r="I8" s="133">
        <f t="shared" si="1"/>
        <v>3098810</v>
      </c>
      <c r="J8" s="125">
        <f t="shared" si="2"/>
        <v>2633.9884999999999</v>
      </c>
      <c r="K8" s="134">
        <f t="shared" si="3"/>
        <v>2633988.5</v>
      </c>
      <c r="L8" s="135">
        <v>2200</v>
      </c>
      <c r="M8" s="130">
        <f t="shared" si="4"/>
        <v>2200000</v>
      </c>
    </row>
    <row r="9" spans="2:13" ht="62.5" x14ac:dyDescent="0.25">
      <c r="B9" s="67">
        <v>6</v>
      </c>
      <c r="C9" s="68" t="s">
        <v>124</v>
      </c>
      <c r="D9" s="69" t="s">
        <v>40</v>
      </c>
      <c r="E9" s="72">
        <v>600</v>
      </c>
      <c r="F9" s="118">
        <f>'AR Paint'!G13</f>
        <v>754</v>
      </c>
      <c r="G9" s="118">
        <f>F9</f>
        <v>754</v>
      </c>
      <c r="H9" s="133">
        <f t="shared" si="0"/>
        <v>452400</v>
      </c>
      <c r="I9" s="133">
        <f t="shared" si="1"/>
        <v>452400</v>
      </c>
      <c r="J9" s="125">
        <f t="shared" si="2"/>
        <v>640.9</v>
      </c>
      <c r="K9" s="134">
        <f t="shared" si="3"/>
        <v>384540</v>
      </c>
      <c r="L9" s="135">
        <v>450</v>
      </c>
      <c r="M9" s="130">
        <f t="shared" si="4"/>
        <v>270000</v>
      </c>
    </row>
    <row r="10" spans="2:13" ht="31.25" x14ac:dyDescent="0.25">
      <c r="B10" s="67">
        <v>7</v>
      </c>
      <c r="C10" s="68" t="s">
        <v>125</v>
      </c>
      <c r="D10" s="69"/>
      <c r="E10" s="72"/>
      <c r="F10" s="118"/>
      <c r="G10" s="118"/>
      <c r="H10" s="133">
        <f t="shared" si="0"/>
        <v>0</v>
      </c>
      <c r="I10" s="133">
        <f t="shared" si="1"/>
        <v>0</v>
      </c>
      <c r="J10" s="125">
        <f t="shared" si="2"/>
        <v>0</v>
      </c>
      <c r="K10" s="134">
        <f t="shared" si="3"/>
        <v>0</v>
      </c>
      <c r="L10" s="135"/>
      <c r="M10" s="130">
        <f t="shared" si="4"/>
        <v>0</v>
      </c>
    </row>
    <row r="11" spans="2:13" x14ac:dyDescent="0.25">
      <c r="B11" s="67" t="s">
        <v>164</v>
      </c>
      <c r="C11" s="73" t="s">
        <v>64</v>
      </c>
      <c r="D11" s="69" t="s">
        <v>45</v>
      </c>
      <c r="E11" s="70">
        <v>1000</v>
      </c>
      <c r="F11" s="118">
        <f>'CI pipe'!G13</f>
        <v>3339.7</v>
      </c>
      <c r="G11" s="118">
        <f>F11</f>
        <v>3339.7</v>
      </c>
      <c r="H11" s="133">
        <f t="shared" si="0"/>
        <v>3339700</v>
      </c>
      <c r="I11" s="133">
        <f t="shared" si="1"/>
        <v>3339700</v>
      </c>
      <c r="J11" s="125">
        <f t="shared" si="2"/>
        <v>2838.7449999999999</v>
      </c>
      <c r="K11" s="134">
        <f t="shared" si="3"/>
        <v>2838745</v>
      </c>
      <c r="L11" s="136">
        <v>500</v>
      </c>
      <c r="M11" s="130">
        <f t="shared" si="4"/>
        <v>500000</v>
      </c>
    </row>
    <row r="12" spans="2:13" x14ac:dyDescent="0.25">
      <c r="B12" s="67" t="s">
        <v>165</v>
      </c>
      <c r="C12" s="73" t="s">
        <v>65</v>
      </c>
      <c r="D12" s="69" t="s">
        <v>45</v>
      </c>
      <c r="E12" s="70">
        <v>1000</v>
      </c>
      <c r="F12" s="118">
        <f>'CI pipe'!G20</f>
        <v>5268.9</v>
      </c>
      <c r="G12" s="118">
        <f>F12</f>
        <v>5268.9</v>
      </c>
      <c r="H12" s="133">
        <f t="shared" si="0"/>
        <v>5268900</v>
      </c>
      <c r="I12" s="133">
        <f t="shared" si="1"/>
        <v>5268900</v>
      </c>
      <c r="J12" s="125">
        <f t="shared" si="2"/>
        <v>4478.5649999999996</v>
      </c>
      <c r="K12" s="134">
        <f t="shared" si="3"/>
        <v>4478565</v>
      </c>
      <c r="L12" s="136">
        <v>600</v>
      </c>
      <c r="M12" s="130">
        <f t="shared" si="4"/>
        <v>600000</v>
      </c>
    </row>
    <row r="13" spans="2:13" x14ac:dyDescent="0.25">
      <c r="B13" s="67">
        <v>8</v>
      </c>
      <c r="C13" s="68" t="s">
        <v>47</v>
      </c>
      <c r="D13" s="69"/>
      <c r="E13" s="72"/>
      <c r="F13" s="118"/>
      <c r="G13" s="118"/>
      <c r="H13" s="133">
        <f t="shared" si="0"/>
        <v>0</v>
      </c>
      <c r="I13" s="133">
        <f t="shared" si="1"/>
        <v>0</v>
      </c>
      <c r="J13" s="125">
        <f t="shared" si="2"/>
        <v>0</v>
      </c>
      <c r="K13" s="134">
        <f t="shared" si="3"/>
        <v>0</v>
      </c>
      <c r="L13" s="135"/>
      <c r="M13" s="130">
        <f t="shared" si="4"/>
        <v>0</v>
      </c>
    </row>
    <row r="14" spans="2:13" ht="31.25" x14ac:dyDescent="0.25">
      <c r="B14" s="67" t="s">
        <v>166</v>
      </c>
      <c r="C14" s="68" t="s">
        <v>208</v>
      </c>
      <c r="D14" s="69" t="s">
        <v>209</v>
      </c>
      <c r="E14" s="72">
        <v>21</v>
      </c>
      <c r="F14" s="118">
        <f>356.859870967742*120%</f>
        <v>428.23184516129038</v>
      </c>
      <c r="G14" s="118">
        <f>F14</f>
        <v>428.23184516129038</v>
      </c>
      <c r="H14" s="146">
        <f>F14*E14</f>
        <v>8992.8687483870981</v>
      </c>
      <c r="I14" s="146">
        <f>G14*E14</f>
        <v>8992.8687483870981</v>
      </c>
      <c r="J14" s="125"/>
      <c r="K14" s="134"/>
      <c r="L14" s="137"/>
    </row>
    <row r="15" spans="2:13" ht="46.9" x14ac:dyDescent="0.25">
      <c r="B15" s="67" t="s">
        <v>167</v>
      </c>
      <c r="C15" s="68" t="s">
        <v>195</v>
      </c>
      <c r="D15" s="69"/>
      <c r="E15" s="72"/>
      <c r="F15" s="118"/>
      <c r="G15" s="118">
        <f t="shared" ref="G15:G46" si="5">F15</f>
        <v>0</v>
      </c>
      <c r="H15" s="146">
        <f t="shared" ref="H15:H46" si="6">F15*E15</f>
        <v>0</v>
      </c>
      <c r="I15" s="146">
        <f t="shared" ref="I15:I46" si="7">G15*E15</f>
        <v>0</v>
      </c>
      <c r="J15" s="125"/>
      <c r="K15" s="134"/>
      <c r="L15" s="137"/>
    </row>
    <row r="16" spans="2:13" x14ac:dyDescent="0.25">
      <c r="B16" s="67"/>
      <c r="C16" s="68" t="s">
        <v>168</v>
      </c>
      <c r="D16" s="69" t="s">
        <v>45</v>
      </c>
      <c r="E16" s="72">
        <v>55</v>
      </c>
      <c r="F16" s="118">
        <f>585.305785997358*120%</f>
        <v>702.36694319682965</v>
      </c>
      <c r="G16" s="118">
        <f t="shared" si="5"/>
        <v>702.36694319682965</v>
      </c>
      <c r="H16" s="146">
        <f t="shared" si="6"/>
        <v>38630.181875825634</v>
      </c>
      <c r="I16" s="146">
        <f t="shared" si="7"/>
        <v>38630.181875825634</v>
      </c>
      <c r="J16" s="125"/>
      <c r="K16" s="134"/>
      <c r="L16" s="137"/>
    </row>
    <row r="17" spans="2:12" x14ac:dyDescent="0.25">
      <c r="B17" s="67"/>
      <c r="C17" s="68" t="s">
        <v>169</v>
      </c>
      <c r="D17" s="69" t="s">
        <v>45</v>
      </c>
      <c r="E17" s="72">
        <v>21</v>
      </c>
      <c r="F17" s="118">
        <f>649.086233375157*120%</f>
        <v>778.90348005018836</v>
      </c>
      <c r="G17" s="118">
        <f t="shared" si="5"/>
        <v>778.90348005018836</v>
      </c>
      <c r="H17" s="146">
        <f t="shared" si="6"/>
        <v>16356.973081053955</v>
      </c>
      <c r="I17" s="146">
        <f t="shared" si="7"/>
        <v>16356.973081053955</v>
      </c>
      <c r="J17" s="125"/>
      <c r="K17" s="134"/>
      <c r="L17" s="137"/>
    </row>
    <row r="18" spans="2:12" x14ac:dyDescent="0.25">
      <c r="B18" s="67"/>
      <c r="C18" s="68" t="s">
        <v>170</v>
      </c>
      <c r="D18" s="69" t="s">
        <v>45</v>
      </c>
      <c r="E18" s="72">
        <v>55</v>
      </c>
      <c r="F18" s="118">
        <f>766.192754716981*120%</f>
        <v>919.43130566037712</v>
      </c>
      <c r="G18" s="118">
        <f t="shared" si="5"/>
        <v>919.43130566037712</v>
      </c>
      <c r="H18" s="146">
        <f t="shared" si="6"/>
        <v>50568.721811320742</v>
      </c>
      <c r="I18" s="146">
        <f t="shared" si="7"/>
        <v>50568.721811320742</v>
      </c>
      <c r="J18" s="125"/>
      <c r="K18" s="134"/>
      <c r="L18" s="137"/>
    </row>
    <row r="19" spans="2:12" x14ac:dyDescent="0.25">
      <c r="B19" s="67"/>
      <c r="C19" s="68" t="s">
        <v>171</v>
      </c>
      <c r="D19" s="69" t="s">
        <v>45</v>
      </c>
      <c r="E19" s="72">
        <v>33</v>
      </c>
      <c r="F19" s="118">
        <f>1160.65772307692*120%</f>
        <v>1392.7892676923041</v>
      </c>
      <c r="G19" s="118">
        <f t="shared" si="5"/>
        <v>1392.7892676923041</v>
      </c>
      <c r="H19" s="146">
        <f t="shared" si="6"/>
        <v>45962.045833846038</v>
      </c>
      <c r="I19" s="146">
        <f t="shared" si="7"/>
        <v>45962.045833846038</v>
      </c>
      <c r="J19" s="125"/>
      <c r="K19" s="134"/>
      <c r="L19" s="137"/>
    </row>
    <row r="20" spans="2:12" ht="31.25" x14ac:dyDescent="0.25">
      <c r="B20" s="67" t="s">
        <v>183</v>
      </c>
      <c r="C20" s="68" t="s">
        <v>196</v>
      </c>
      <c r="D20" s="69"/>
      <c r="E20" s="72"/>
      <c r="F20" s="118"/>
      <c r="G20" s="118">
        <f t="shared" si="5"/>
        <v>0</v>
      </c>
      <c r="H20" s="146">
        <f t="shared" si="6"/>
        <v>0</v>
      </c>
      <c r="I20" s="146">
        <f t="shared" si="7"/>
        <v>0</v>
      </c>
      <c r="J20" s="125"/>
      <c r="K20" s="134"/>
      <c r="L20" s="137"/>
    </row>
    <row r="21" spans="2:12" x14ac:dyDescent="0.25">
      <c r="B21" s="67"/>
      <c r="C21" s="68" t="s">
        <v>168</v>
      </c>
      <c r="D21" s="69" t="s">
        <v>45</v>
      </c>
      <c r="E21" s="72">
        <v>95</v>
      </c>
      <c r="F21" s="118">
        <f>436.840629677419*120%</f>
        <v>524.20875561290279</v>
      </c>
      <c r="G21" s="118">
        <f t="shared" si="5"/>
        <v>524.20875561290279</v>
      </c>
      <c r="H21" s="146">
        <f t="shared" si="6"/>
        <v>49799.831783225767</v>
      </c>
      <c r="I21" s="146">
        <f t="shared" si="7"/>
        <v>49799.831783225767</v>
      </c>
      <c r="J21" s="125"/>
      <c r="K21" s="134"/>
      <c r="L21" s="137"/>
    </row>
    <row r="22" spans="2:12" x14ac:dyDescent="0.25">
      <c r="B22" s="67"/>
      <c r="C22" s="68" t="s">
        <v>169</v>
      </c>
      <c r="D22" s="69" t="s">
        <v>45</v>
      </c>
      <c r="E22" s="72">
        <v>51</v>
      </c>
      <c r="F22" s="118">
        <f>500.612869565217*120%</f>
        <v>600.73544347826044</v>
      </c>
      <c r="G22" s="118">
        <f t="shared" si="5"/>
        <v>600.73544347826044</v>
      </c>
      <c r="H22" s="146">
        <f t="shared" si="6"/>
        <v>30637.507617391282</v>
      </c>
      <c r="I22" s="146">
        <f t="shared" si="7"/>
        <v>30637.507617391282</v>
      </c>
      <c r="J22" s="125"/>
      <c r="K22" s="134"/>
      <c r="L22" s="137"/>
    </row>
    <row r="23" spans="2:12" x14ac:dyDescent="0.25">
      <c r="B23" s="67"/>
      <c r="C23" s="68" t="s">
        <v>170</v>
      </c>
      <c r="D23" s="69" t="s">
        <v>45</v>
      </c>
      <c r="E23" s="72">
        <v>35</v>
      </c>
      <c r="F23" s="118">
        <f>617.228720496894*120%</f>
        <v>740.67446459627274</v>
      </c>
      <c r="G23" s="118">
        <f t="shared" si="5"/>
        <v>740.67446459627274</v>
      </c>
      <c r="H23" s="146">
        <f t="shared" si="6"/>
        <v>25923.606260869547</v>
      </c>
      <c r="I23" s="146">
        <f t="shared" si="7"/>
        <v>25923.606260869547</v>
      </c>
      <c r="J23" s="125"/>
      <c r="K23" s="134"/>
      <c r="L23" s="137"/>
    </row>
    <row r="24" spans="2:12" x14ac:dyDescent="0.25">
      <c r="B24" s="67"/>
      <c r="C24" s="68" t="s">
        <v>171</v>
      </c>
      <c r="D24" s="69" t="s">
        <v>45</v>
      </c>
      <c r="E24" s="72">
        <v>55</v>
      </c>
      <c r="F24" s="118">
        <f>1013.31465814696*120%</f>
        <v>1215.977589776352</v>
      </c>
      <c r="G24" s="118">
        <f t="shared" si="5"/>
        <v>1215.977589776352</v>
      </c>
      <c r="H24" s="146">
        <f t="shared" si="6"/>
        <v>66878.767437699367</v>
      </c>
      <c r="I24" s="146">
        <f t="shared" si="7"/>
        <v>66878.767437699367</v>
      </c>
      <c r="J24" s="125"/>
      <c r="K24" s="134"/>
      <c r="L24" s="137"/>
    </row>
    <row r="25" spans="2:12" x14ac:dyDescent="0.25">
      <c r="B25" s="67"/>
      <c r="C25" s="68" t="s">
        <v>172</v>
      </c>
      <c r="D25" s="69" t="s">
        <v>45</v>
      </c>
      <c r="E25" s="72">
        <v>20</v>
      </c>
      <c r="F25" s="118">
        <f>1317.2544*120%</f>
        <v>1580.7052799999999</v>
      </c>
      <c r="G25" s="118">
        <f t="shared" si="5"/>
        <v>1580.7052799999999</v>
      </c>
      <c r="H25" s="146">
        <f t="shared" si="6"/>
        <v>31614.105599999999</v>
      </c>
      <c r="I25" s="146">
        <f t="shared" si="7"/>
        <v>31614.105599999999</v>
      </c>
      <c r="J25" s="125"/>
      <c r="K25" s="134"/>
      <c r="L25" s="137"/>
    </row>
    <row r="26" spans="2:12" ht="31.25" x14ac:dyDescent="0.25">
      <c r="B26" s="67" t="s">
        <v>184</v>
      </c>
      <c r="C26" s="68" t="s">
        <v>197</v>
      </c>
      <c r="D26" s="69" t="s">
        <v>207</v>
      </c>
      <c r="E26" s="72">
        <v>16</v>
      </c>
      <c r="F26" s="118">
        <f>1280.84676923077*120%</f>
        <v>1537.0161230769238</v>
      </c>
      <c r="G26" s="118">
        <f t="shared" si="5"/>
        <v>1537.0161230769238</v>
      </c>
      <c r="H26" s="146">
        <f t="shared" si="6"/>
        <v>24592.257969230781</v>
      </c>
      <c r="I26" s="146">
        <f t="shared" si="7"/>
        <v>24592.257969230781</v>
      </c>
      <c r="J26" s="125"/>
      <c r="K26" s="134"/>
      <c r="L26" s="137"/>
    </row>
    <row r="27" spans="2:12" ht="31.25" x14ac:dyDescent="0.25">
      <c r="B27" s="67" t="s">
        <v>185</v>
      </c>
      <c r="C27" s="68" t="s">
        <v>198</v>
      </c>
      <c r="D27" s="69" t="s">
        <v>207</v>
      </c>
      <c r="E27" s="72">
        <v>21</v>
      </c>
      <c r="F27" s="118">
        <f>1012.88174257426*120%</f>
        <v>1215.458091089112</v>
      </c>
      <c r="G27" s="118">
        <f t="shared" si="5"/>
        <v>1215.458091089112</v>
      </c>
      <c r="H27" s="146">
        <f t="shared" si="6"/>
        <v>25524.619912871352</v>
      </c>
      <c r="I27" s="146">
        <f t="shared" si="7"/>
        <v>25524.619912871352</v>
      </c>
      <c r="J27" s="125"/>
      <c r="K27" s="134"/>
      <c r="L27" s="137"/>
    </row>
    <row r="28" spans="2:12" ht="31.25" x14ac:dyDescent="0.25">
      <c r="B28" s="67" t="s">
        <v>186</v>
      </c>
      <c r="C28" s="68" t="s">
        <v>199</v>
      </c>
      <c r="D28" s="69" t="s">
        <v>207</v>
      </c>
      <c r="E28" s="72">
        <v>11</v>
      </c>
      <c r="F28" s="118">
        <f>995.042642201835*120%</f>
        <v>1194.0511706422019</v>
      </c>
      <c r="G28" s="118">
        <f t="shared" si="5"/>
        <v>1194.0511706422019</v>
      </c>
      <c r="H28" s="146">
        <f t="shared" si="6"/>
        <v>13134.562877064222</v>
      </c>
      <c r="I28" s="146">
        <f t="shared" si="7"/>
        <v>13134.562877064222</v>
      </c>
      <c r="J28" s="125"/>
      <c r="K28" s="134"/>
      <c r="L28" s="137"/>
    </row>
    <row r="29" spans="2:12" x14ac:dyDescent="0.25">
      <c r="B29" s="67" t="s">
        <v>187</v>
      </c>
      <c r="C29" s="68" t="s">
        <v>200</v>
      </c>
      <c r="D29" s="69" t="s">
        <v>207</v>
      </c>
      <c r="E29" s="72">
        <v>19</v>
      </c>
      <c r="F29" s="118">
        <f>960.514348623853*120%</f>
        <v>1152.6172183486235</v>
      </c>
      <c r="G29" s="118">
        <f t="shared" si="5"/>
        <v>1152.6172183486235</v>
      </c>
      <c r="H29" s="146">
        <f t="shared" si="6"/>
        <v>21899.727148623846</v>
      </c>
      <c r="I29" s="146">
        <f t="shared" si="7"/>
        <v>21899.727148623846</v>
      </c>
      <c r="J29" s="125"/>
      <c r="K29" s="134"/>
      <c r="L29" s="137"/>
    </row>
    <row r="30" spans="2:12" ht="46.9" x14ac:dyDescent="0.25">
      <c r="B30" s="67" t="s">
        <v>188</v>
      </c>
      <c r="C30" s="138" t="s">
        <v>201</v>
      </c>
      <c r="D30" s="69"/>
      <c r="E30" s="72"/>
      <c r="F30" s="118"/>
      <c r="G30" s="118">
        <f t="shared" si="5"/>
        <v>0</v>
      </c>
      <c r="H30" s="146">
        <f t="shared" si="6"/>
        <v>0</v>
      </c>
      <c r="I30" s="146">
        <f t="shared" si="7"/>
        <v>0</v>
      </c>
      <c r="J30" s="125"/>
      <c r="K30" s="134"/>
      <c r="L30" s="137"/>
    </row>
    <row r="31" spans="2:12" x14ac:dyDescent="0.25">
      <c r="B31" s="67"/>
      <c r="C31" s="138" t="s">
        <v>173</v>
      </c>
      <c r="D31" s="69" t="s">
        <v>207</v>
      </c>
      <c r="E31" s="72">
        <v>11</v>
      </c>
      <c r="F31" s="118">
        <f>8724.672*120%</f>
        <v>10469.606400000001</v>
      </c>
      <c r="G31" s="118">
        <f t="shared" si="5"/>
        <v>10469.606400000001</v>
      </c>
      <c r="H31" s="146">
        <f t="shared" si="6"/>
        <v>115165.6704</v>
      </c>
      <c r="I31" s="146">
        <f t="shared" si="7"/>
        <v>115165.6704</v>
      </c>
      <c r="J31" s="125"/>
      <c r="K31" s="134"/>
      <c r="L31" s="137"/>
    </row>
    <row r="32" spans="2:12" x14ac:dyDescent="0.25">
      <c r="B32" s="67"/>
      <c r="C32" s="138" t="s">
        <v>174</v>
      </c>
      <c r="D32" s="69" t="s">
        <v>207</v>
      </c>
      <c r="E32" s="72">
        <v>10</v>
      </c>
      <c r="F32" s="118">
        <f>17449.344*120%</f>
        <v>20939.212800000001</v>
      </c>
      <c r="G32" s="118">
        <f t="shared" si="5"/>
        <v>20939.212800000001</v>
      </c>
      <c r="H32" s="146">
        <f t="shared" si="6"/>
        <v>209392.12800000003</v>
      </c>
      <c r="I32" s="146">
        <f t="shared" si="7"/>
        <v>209392.12800000003</v>
      </c>
      <c r="J32" s="125"/>
      <c r="K32" s="134"/>
      <c r="L32" s="137"/>
    </row>
    <row r="33" spans="2:13" x14ac:dyDescent="0.25">
      <c r="B33" s="67"/>
      <c r="C33" s="138" t="s">
        <v>175</v>
      </c>
      <c r="D33" s="69" t="s">
        <v>207</v>
      </c>
      <c r="E33" s="72">
        <v>4</v>
      </c>
      <c r="F33" s="118">
        <f>43623.36*120%</f>
        <v>52348.031999999999</v>
      </c>
      <c r="G33" s="118">
        <f t="shared" si="5"/>
        <v>52348.031999999999</v>
      </c>
      <c r="H33" s="146">
        <f t="shared" si="6"/>
        <v>209392.128</v>
      </c>
      <c r="I33" s="146">
        <f t="shared" si="7"/>
        <v>209392.128</v>
      </c>
      <c r="J33" s="125"/>
      <c r="K33" s="134"/>
      <c r="L33" s="137"/>
    </row>
    <row r="34" spans="2:13" ht="78.150000000000006" x14ac:dyDescent="0.25">
      <c r="B34" s="67" t="s">
        <v>189</v>
      </c>
      <c r="C34" s="138" t="s">
        <v>202</v>
      </c>
      <c r="D34" s="69"/>
      <c r="E34" s="72"/>
      <c r="F34" s="118"/>
      <c r="G34" s="118">
        <f t="shared" si="5"/>
        <v>0</v>
      </c>
      <c r="H34" s="146">
        <f t="shared" si="6"/>
        <v>0</v>
      </c>
      <c r="I34" s="146">
        <f t="shared" si="7"/>
        <v>0</v>
      </c>
      <c r="J34" s="125"/>
      <c r="K34" s="134"/>
      <c r="L34" s="137"/>
    </row>
    <row r="35" spans="2:13" x14ac:dyDescent="0.25">
      <c r="B35" s="67"/>
      <c r="C35" s="138" t="s">
        <v>176</v>
      </c>
      <c r="D35" s="69" t="s">
        <v>207</v>
      </c>
      <c r="E35" s="72">
        <v>16</v>
      </c>
      <c r="F35" s="118">
        <f>5010.24662068966*120%</f>
        <v>6012.2959448275915</v>
      </c>
      <c r="G35" s="118">
        <f t="shared" si="5"/>
        <v>6012.2959448275915</v>
      </c>
      <c r="H35" s="146">
        <f t="shared" si="6"/>
        <v>96196.735117241464</v>
      </c>
      <c r="I35" s="146">
        <f t="shared" si="7"/>
        <v>96196.735117241464</v>
      </c>
      <c r="J35" s="125"/>
      <c r="K35" s="134"/>
      <c r="L35" s="137"/>
    </row>
    <row r="36" spans="2:13" x14ac:dyDescent="0.25">
      <c r="B36" s="67"/>
      <c r="C36" s="138" t="s">
        <v>177</v>
      </c>
      <c r="D36" s="69" t="s">
        <v>207</v>
      </c>
      <c r="E36" s="72">
        <v>4</v>
      </c>
      <c r="F36" s="118">
        <f>5320.58713043478*120%</f>
        <v>6384.7045565217359</v>
      </c>
      <c r="G36" s="118">
        <f t="shared" si="5"/>
        <v>6384.7045565217359</v>
      </c>
      <c r="H36" s="146">
        <f t="shared" si="6"/>
        <v>25538.818226086943</v>
      </c>
      <c r="I36" s="146">
        <f t="shared" si="7"/>
        <v>25538.818226086943</v>
      </c>
      <c r="J36" s="125"/>
      <c r="K36" s="134"/>
      <c r="L36" s="137"/>
    </row>
    <row r="37" spans="2:13" ht="46.9" x14ac:dyDescent="0.25">
      <c r="B37" s="67" t="s">
        <v>190</v>
      </c>
      <c r="C37" s="138" t="s">
        <v>203</v>
      </c>
      <c r="D37" s="69"/>
      <c r="E37" s="72"/>
      <c r="F37" s="118"/>
      <c r="G37" s="118">
        <f t="shared" si="5"/>
        <v>0</v>
      </c>
      <c r="H37" s="146">
        <f t="shared" si="6"/>
        <v>0</v>
      </c>
      <c r="I37" s="146">
        <f t="shared" si="7"/>
        <v>0</v>
      </c>
      <c r="J37" s="125"/>
      <c r="K37" s="134"/>
      <c r="L37" s="137"/>
    </row>
    <row r="38" spans="2:13" x14ac:dyDescent="0.25">
      <c r="B38" s="67" t="s">
        <v>211</v>
      </c>
      <c r="C38" s="138" t="s">
        <v>178</v>
      </c>
      <c r="D38" s="69" t="s">
        <v>207</v>
      </c>
      <c r="E38" s="72">
        <v>11</v>
      </c>
      <c r="F38" s="118">
        <f>7161.42786206897*120%</f>
        <v>8593.7134344827646</v>
      </c>
      <c r="G38" s="118">
        <f t="shared" si="5"/>
        <v>8593.7134344827646</v>
      </c>
      <c r="H38" s="146">
        <f t="shared" si="6"/>
        <v>94530.84777931041</v>
      </c>
      <c r="I38" s="146">
        <f t="shared" si="7"/>
        <v>94530.84777931041</v>
      </c>
      <c r="J38" s="125"/>
      <c r="K38" s="134"/>
      <c r="L38" s="137"/>
    </row>
    <row r="39" spans="2:13" x14ac:dyDescent="0.25">
      <c r="B39" s="67" t="s">
        <v>212</v>
      </c>
      <c r="C39" s="138" t="s">
        <v>179</v>
      </c>
      <c r="D39" s="69" t="s">
        <v>207</v>
      </c>
      <c r="E39" s="72">
        <v>9</v>
      </c>
      <c r="F39" s="118">
        <f>13449.3696*120%</f>
        <v>16139.24352</v>
      </c>
      <c r="G39" s="118">
        <f t="shared" si="5"/>
        <v>16139.24352</v>
      </c>
      <c r="H39" s="146">
        <f t="shared" si="6"/>
        <v>145253.19167999999</v>
      </c>
      <c r="I39" s="146">
        <f t="shared" si="7"/>
        <v>145253.19167999999</v>
      </c>
      <c r="J39" s="125"/>
      <c r="K39" s="134"/>
      <c r="L39" s="137"/>
    </row>
    <row r="40" spans="2:13" ht="46.9" x14ac:dyDescent="0.25">
      <c r="B40" s="67" t="s">
        <v>191</v>
      </c>
      <c r="C40" s="138" t="s">
        <v>210</v>
      </c>
      <c r="D40" s="69" t="s">
        <v>207</v>
      </c>
      <c r="E40" s="72">
        <v>15</v>
      </c>
      <c r="F40" s="118">
        <f>7356.096*120%</f>
        <v>8827.3151999999991</v>
      </c>
      <c r="G40" s="118">
        <f t="shared" si="5"/>
        <v>8827.3151999999991</v>
      </c>
      <c r="H40" s="146">
        <f t="shared" si="6"/>
        <v>132409.72799999997</v>
      </c>
      <c r="I40" s="146">
        <f t="shared" si="7"/>
        <v>132409.72799999997</v>
      </c>
      <c r="J40" s="125"/>
      <c r="K40" s="134"/>
      <c r="L40" s="137"/>
    </row>
    <row r="41" spans="2:13" ht="46.9" x14ac:dyDescent="0.25">
      <c r="B41" s="67" t="s">
        <v>192</v>
      </c>
      <c r="C41" s="138" t="s">
        <v>204</v>
      </c>
      <c r="D41" s="69" t="s">
        <v>207</v>
      </c>
      <c r="E41" s="72">
        <v>16</v>
      </c>
      <c r="F41" s="118">
        <f>8959.47670588235*120%</f>
        <v>10751.372047058821</v>
      </c>
      <c r="G41" s="118">
        <f t="shared" si="5"/>
        <v>10751.372047058821</v>
      </c>
      <c r="H41" s="146">
        <f t="shared" si="6"/>
        <v>172021.95275294114</v>
      </c>
      <c r="I41" s="146">
        <f t="shared" si="7"/>
        <v>172021.95275294114</v>
      </c>
      <c r="J41" s="125"/>
      <c r="K41" s="134"/>
      <c r="L41" s="137"/>
    </row>
    <row r="42" spans="2:13" ht="46.9" x14ac:dyDescent="0.25">
      <c r="B42" s="67" t="s">
        <v>193</v>
      </c>
      <c r="C42" s="138" t="s">
        <v>205</v>
      </c>
      <c r="D42" s="69"/>
      <c r="E42" s="72"/>
      <c r="F42" s="118"/>
      <c r="G42" s="118">
        <f t="shared" si="5"/>
        <v>0</v>
      </c>
      <c r="H42" s="146">
        <f t="shared" si="6"/>
        <v>0</v>
      </c>
      <c r="I42" s="146">
        <f t="shared" si="7"/>
        <v>0</v>
      </c>
      <c r="J42" s="125"/>
      <c r="K42" s="134"/>
      <c r="L42" s="137"/>
    </row>
    <row r="43" spans="2:13" x14ac:dyDescent="0.25">
      <c r="B43" s="67"/>
      <c r="C43" s="138" t="s">
        <v>180</v>
      </c>
      <c r="D43" s="69" t="s">
        <v>45</v>
      </c>
      <c r="E43" s="72">
        <v>67</v>
      </c>
      <c r="F43" s="118">
        <f>365.562594174757*120%</f>
        <v>438.67511300970841</v>
      </c>
      <c r="G43" s="118">
        <f t="shared" si="5"/>
        <v>438.67511300970841</v>
      </c>
      <c r="H43" s="146">
        <f t="shared" si="6"/>
        <v>29391.232571650464</v>
      </c>
      <c r="I43" s="146">
        <f t="shared" si="7"/>
        <v>29391.232571650464</v>
      </c>
      <c r="J43" s="125"/>
      <c r="K43" s="134"/>
      <c r="L43" s="137"/>
    </row>
    <row r="44" spans="2:13" x14ac:dyDescent="0.25">
      <c r="B44" s="67"/>
      <c r="C44" s="138" t="s">
        <v>181</v>
      </c>
      <c r="D44" s="69" t="s">
        <v>45</v>
      </c>
      <c r="E44" s="72">
        <v>38</v>
      </c>
      <c r="F44" s="118">
        <f>517.20214368932*120%</f>
        <v>620.64257242718395</v>
      </c>
      <c r="G44" s="118">
        <f t="shared" si="5"/>
        <v>620.64257242718395</v>
      </c>
      <c r="H44" s="146">
        <f t="shared" si="6"/>
        <v>23584.417752232992</v>
      </c>
      <c r="I44" s="146">
        <f t="shared" si="7"/>
        <v>23584.417752232992</v>
      </c>
      <c r="J44" s="125"/>
      <c r="K44" s="134"/>
      <c r="L44" s="137"/>
    </row>
    <row r="45" spans="2:13" x14ac:dyDescent="0.25">
      <c r="B45" s="67"/>
      <c r="C45" s="138" t="s">
        <v>182</v>
      </c>
      <c r="D45" s="69" t="s">
        <v>45</v>
      </c>
      <c r="E45" s="72">
        <v>41</v>
      </c>
      <c r="F45" s="118">
        <f>687.248861538461*120%</f>
        <v>824.69863384615326</v>
      </c>
      <c r="G45" s="118">
        <f t="shared" si="5"/>
        <v>824.69863384615326</v>
      </c>
      <c r="H45" s="146">
        <f t="shared" si="6"/>
        <v>33812.643987692281</v>
      </c>
      <c r="I45" s="146">
        <f t="shared" si="7"/>
        <v>33812.643987692281</v>
      </c>
      <c r="J45" s="125"/>
      <c r="K45" s="134"/>
      <c r="L45" s="137"/>
    </row>
    <row r="46" spans="2:13" ht="31.25" x14ac:dyDescent="0.25">
      <c r="B46" s="67" t="s">
        <v>194</v>
      </c>
      <c r="C46" s="138" t="s">
        <v>206</v>
      </c>
      <c r="D46" s="69" t="s">
        <v>207</v>
      </c>
      <c r="E46" s="72">
        <v>7</v>
      </c>
      <c r="F46" s="118">
        <f>3960.85621621622*120%</f>
        <v>4753.0274594594639</v>
      </c>
      <c r="G46" s="118">
        <f t="shared" si="5"/>
        <v>4753.0274594594639</v>
      </c>
      <c r="H46" s="146">
        <f t="shared" si="6"/>
        <v>33271.192216216245</v>
      </c>
      <c r="I46" s="146">
        <f t="shared" si="7"/>
        <v>33271.192216216245</v>
      </c>
      <c r="J46" s="125"/>
      <c r="K46" s="134"/>
      <c r="L46" s="137"/>
    </row>
    <row r="47" spans="2:13" ht="31.25" x14ac:dyDescent="0.25">
      <c r="B47" s="67">
        <v>9</v>
      </c>
      <c r="C47" s="68" t="s">
        <v>126</v>
      </c>
      <c r="D47" s="69" t="s">
        <v>40</v>
      </c>
      <c r="E47" s="70">
        <v>18000</v>
      </c>
      <c r="F47" s="118">
        <f>'Concrete paver blocks'!G12</f>
        <v>1745.84</v>
      </c>
      <c r="G47" s="118">
        <f>F47</f>
        <v>1745.84</v>
      </c>
      <c r="H47" s="133">
        <f t="shared" si="0"/>
        <v>31425120</v>
      </c>
      <c r="I47" s="133">
        <f t="shared" si="1"/>
        <v>31425120</v>
      </c>
      <c r="J47" s="125">
        <f t="shared" si="2"/>
        <v>1483.9639999999999</v>
      </c>
      <c r="K47" s="134">
        <f t="shared" si="3"/>
        <v>26711352</v>
      </c>
      <c r="L47" s="135">
        <v>1000</v>
      </c>
      <c r="M47" s="130">
        <f t="shared" si="4"/>
        <v>18000000</v>
      </c>
    </row>
    <row r="48" spans="2:13" ht="31.25" x14ac:dyDescent="0.25">
      <c r="B48" s="67">
        <v>10</v>
      </c>
      <c r="C48" s="68" t="s">
        <v>127</v>
      </c>
      <c r="D48" s="69" t="s">
        <v>40</v>
      </c>
      <c r="E48" s="70">
        <v>14000</v>
      </c>
      <c r="F48" s="118">
        <f>'Concrete paver blocks'!G19</f>
        <v>1585.94</v>
      </c>
      <c r="G48" s="118">
        <f>F48</f>
        <v>1585.94</v>
      </c>
      <c r="H48" s="133">
        <f t="shared" si="0"/>
        <v>22203160</v>
      </c>
      <c r="I48" s="133">
        <f t="shared" si="1"/>
        <v>22203160</v>
      </c>
      <c r="J48" s="125">
        <f t="shared" si="2"/>
        <v>1348.049</v>
      </c>
      <c r="K48" s="134">
        <f t="shared" si="3"/>
        <v>18872686</v>
      </c>
      <c r="L48" s="135">
        <v>800</v>
      </c>
      <c r="M48" s="130">
        <f t="shared" si="4"/>
        <v>11200000</v>
      </c>
    </row>
    <row r="49" spans="2:13" ht="109.4" x14ac:dyDescent="0.25">
      <c r="B49" s="67">
        <v>11</v>
      </c>
      <c r="C49" s="68" t="s">
        <v>128</v>
      </c>
      <c r="D49" s="69" t="s">
        <v>45</v>
      </c>
      <c r="E49" s="70">
        <v>6000</v>
      </c>
      <c r="F49" s="118">
        <f>'Concertina Wire'!G13</f>
        <v>520</v>
      </c>
      <c r="G49" s="118">
        <f>600*104%</f>
        <v>624</v>
      </c>
      <c r="H49" s="133">
        <f t="shared" si="0"/>
        <v>3120000</v>
      </c>
      <c r="I49" s="133">
        <f t="shared" si="1"/>
        <v>3744000</v>
      </c>
      <c r="J49" s="125">
        <f t="shared" si="2"/>
        <v>442</v>
      </c>
      <c r="K49" s="134">
        <f t="shared" si="3"/>
        <v>2652000</v>
      </c>
      <c r="L49" s="135">
        <v>600</v>
      </c>
      <c r="M49" s="130">
        <f t="shared" si="4"/>
        <v>3600000</v>
      </c>
    </row>
    <row r="50" spans="2:13" ht="46.9" x14ac:dyDescent="0.25">
      <c r="B50" s="67">
        <v>12</v>
      </c>
      <c r="C50" s="68" t="s">
        <v>129</v>
      </c>
      <c r="D50" s="69" t="s">
        <v>37</v>
      </c>
      <c r="E50" s="70">
        <v>5000</v>
      </c>
      <c r="F50" s="118">
        <f>'Sand filling'!G15</f>
        <v>2237.6640000000002</v>
      </c>
      <c r="G50" s="118">
        <f>F50*104%</f>
        <v>2327.1705600000005</v>
      </c>
      <c r="H50" s="133">
        <f t="shared" si="0"/>
        <v>11188320.000000002</v>
      </c>
      <c r="I50" s="133">
        <f t="shared" si="1"/>
        <v>11635852.800000003</v>
      </c>
      <c r="J50" s="125">
        <f t="shared" si="2"/>
        <v>1902.0144</v>
      </c>
      <c r="K50" s="134">
        <f t="shared" si="3"/>
        <v>9510072</v>
      </c>
      <c r="L50" s="135">
        <v>1000</v>
      </c>
      <c r="M50" s="130">
        <f t="shared" si="4"/>
        <v>5000000</v>
      </c>
    </row>
    <row r="51" spans="2:13" ht="31.25" x14ac:dyDescent="0.25">
      <c r="B51" s="67">
        <v>13</v>
      </c>
      <c r="C51" s="68" t="s">
        <v>130</v>
      </c>
      <c r="D51" s="69"/>
      <c r="E51" s="70"/>
      <c r="F51" s="118"/>
      <c r="G51" s="118"/>
      <c r="H51" s="133">
        <f t="shared" si="0"/>
        <v>0</v>
      </c>
      <c r="I51" s="133">
        <f t="shared" si="1"/>
        <v>0</v>
      </c>
      <c r="J51" s="125">
        <f t="shared" si="2"/>
        <v>0</v>
      </c>
      <c r="K51" s="134">
        <f t="shared" si="3"/>
        <v>0</v>
      </c>
      <c r="L51" s="135"/>
      <c r="M51" s="130">
        <f t="shared" si="4"/>
        <v>0</v>
      </c>
    </row>
    <row r="52" spans="2:13" x14ac:dyDescent="0.25">
      <c r="B52" s="67" t="s">
        <v>66</v>
      </c>
      <c r="C52" s="68" t="s">
        <v>60</v>
      </c>
      <c r="D52" s="69" t="s">
        <v>45</v>
      </c>
      <c r="E52" s="72">
        <v>70</v>
      </c>
      <c r="F52" s="118">
        <f>'Hume pipe'!G11</f>
        <v>2516.8000000000002</v>
      </c>
      <c r="G52" s="118">
        <f>3000*104%</f>
        <v>3120</v>
      </c>
      <c r="H52" s="133">
        <f t="shared" si="0"/>
        <v>176176</v>
      </c>
      <c r="I52" s="133">
        <f t="shared" si="1"/>
        <v>218400</v>
      </c>
      <c r="J52" s="125">
        <f t="shared" si="2"/>
        <v>2139.2800000000002</v>
      </c>
      <c r="K52" s="134">
        <f t="shared" si="3"/>
        <v>149749.6</v>
      </c>
      <c r="L52" s="135">
        <v>3000</v>
      </c>
      <c r="M52" s="130">
        <f t="shared" si="4"/>
        <v>210000</v>
      </c>
    </row>
    <row r="53" spans="2:13" x14ac:dyDescent="0.25">
      <c r="B53" s="67" t="s">
        <v>67</v>
      </c>
      <c r="C53" s="68" t="s">
        <v>61</v>
      </c>
      <c r="D53" s="69" t="s">
        <v>45</v>
      </c>
      <c r="E53" s="72">
        <v>100</v>
      </c>
      <c r="F53" s="118">
        <f>'Hume pipe'!G16</f>
        <v>3705</v>
      </c>
      <c r="G53" s="118">
        <f>4000*104%</f>
        <v>4160</v>
      </c>
      <c r="H53" s="133">
        <f t="shared" si="0"/>
        <v>370500</v>
      </c>
      <c r="I53" s="133">
        <f t="shared" si="1"/>
        <v>416000</v>
      </c>
      <c r="J53" s="125">
        <f t="shared" si="2"/>
        <v>3149.25</v>
      </c>
      <c r="K53" s="134">
        <f t="shared" si="3"/>
        <v>314925</v>
      </c>
      <c r="L53" s="135">
        <v>4000</v>
      </c>
      <c r="M53" s="130">
        <f t="shared" si="4"/>
        <v>400000</v>
      </c>
    </row>
    <row r="54" spans="2:13" x14ac:dyDescent="0.25">
      <c r="B54" s="67" t="s">
        <v>68</v>
      </c>
      <c r="C54" s="68" t="s">
        <v>62</v>
      </c>
      <c r="D54" s="69" t="s">
        <v>45</v>
      </c>
      <c r="E54" s="72">
        <v>100</v>
      </c>
      <c r="F54" s="118">
        <f>'Hume pipe'!G21</f>
        <v>5153.2</v>
      </c>
      <c r="G54" s="118">
        <f>5000*104%</f>
        <v>5200</v>
      </c>
      <c r="H54" s="133">
        <f t="shared" si="0"/>
        <v>515320</v>
      </c>
      <c r="I54" s="133">
        <f t="shared" si="1"/>
        <v>520000</v>
      </c>
      <c r="J54" s="125">
        <f t="shared" si="2"/>
        <v>4380.2199999999993</v>
      </c>
      <c r="K54" s="134">
        <f t="shared" si="3"/>
        <v>438021.99999999994</v>
      </c>
      <c r="L54" s="135">
        <v>5000</v>
      </c>
      <c r="M54" s="130">
        <f t="shared" si="4"/>
        <v>500000</v>
      </c>
    </row>
    <row r="55" spans="2:13" x14ac:dyDescent="0.25">
      <c r="B55" s="67" t="s">
        <v>69</v>
      </c>
      <c r="C55" s="68" t="s">
        <v>63</v>
      </c>
      <c r="D55" s="69" t="s">
        <v>45</v>
      </c>
      <c r="E55" s="72">
        <v>50</v>
      </c>
      <c r="F55" s="118">
        <f>'Hume pipe'!G26</f>
        <v>6376.5</v>
      </c>
      <c r="G55" s="118">
        <f>7000*104%</f>
        <v>7280</v>
      </c>
      <c r="H55" s="133">
        <f t="shared" si="0"/>
        <v>318825</v>
      </c>
      <c r="I55" s="133">
        <f t="shared" si="1"/>
        <v>364000</v>
      </c>
      <c r="J55" s="125">
        <f t="shared" si="2"/>
        <v>5420.0249999999996</v>
      </c>
      <c r="K55" s="134">
        <f t="shared" si="3"/>
        <v>271001.25</v>
      </c>
      <c r="L55" s="135">
        <v>7000</v>
      </c>
      <c r="M55" s="130">
        <f t="shared" si="4"/>
        <v>350000</v>
      </c>
    </row>
    <row r="56" spans="2:13" ht="47.55" thickBot="1" x14ac:dyDescent="0.3">
      <c r="B56" s="114">
        <v>14</v>
      </c>
      <c r="C56" s="115" t="s">
        <v>131</v>
      </c>
      <c r="D56" s="116" t="s">
        <v>156</v>
      </c>
      <c r="E56" s="117">
        <v>500</v>
      </c>
      <c r="F56" s="119">
        <f>'injuction Grouting '!G10</f>
        <v>3641</v>
      </c>
      <c r="G56" s="119">
        <v>3641</v>
      </c>
      <c r="H56" s="139">
        <f t="shared" si="0"/>
        <v>1820500</v>
      </c>
      <c r="I56" s="133">
        <f t="shared" si="1"/>
        <v>1820500</v>
      </c>
      <c r="J56" s="126">
        <f t="shared" si="2"/>
        <v>3094.85</v>
      </c>
      <c r="K56" s="140">
        <f t="shared" si="3"/>
        <v>1547425</v>
      </c>
      <c r="L56" s="137">
        <f>F56</f>
        <v>3641</v>
      </c>
      <c r="M56" s="130">
        <f t="shared" si="4"/>
        <v>1820500</v>
      </c>
    </row>
    <row r="57" spans="2:13" ht="42.8" customHeight="1" thickBot="1" x14ac:dyDescent="0.3">
      <c r="B57" s="141"/>
      <c r="C57" s="156" t="s">
        <v>122</v>
      </c>
      <c r="D57" s="157"/>
      <c r="E57" s="157"/>
      <c r="F57" s="157"/>
      <c r="G57" s="142"/>
      <c r="H57" s="137">
        <f>SUM(H4:H56)</f>
        <v>98547790.264440775</v>
      </c>
      <c r="I57" s="137">
        <f>SUM(I4:I56)</f>
        <v>106158819.26444079</v>
      </c>
      <c r="J57" s="143"/>
      <c r="K57" s="144">
        <f>SUM(K4:K56)</f>
        <v>82260716.729999989</v>
      </c>
      <c r="L57" s="144">
        <f t="shared" ref="L57:M57" si="8">SUM(L4:L56)</f>
        <v>47291</v>
      </c>
      <c r="M57" s="145">
        <f t="shared" si="8"/>
        <v>63600500</v>
      </c>
    </row>
  </sheetData>
  <mergeCells count="2">
    <mergeCell ref="C57:F57"/>
    <mergeCell ref="B2:L2"/>
  </mergeCells>
  <printOptions horizontalCentered="1"/>
  <pageMargins left="0" right="0" top="0" bottom="0" header="0" footer="0"/>
  <pageSetup paperSize="9" scale="59" fitToHeight="0" orientation="landscape" r:id="rId1"/>
  <colBreaks count="1" manualBreakCount="1">
    <brk id="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5"/>
  <sheetViews>
    <sheetView showGridLines="0" view="pageBreakPreview" zoomScale="85" zoomScaleNormal="85" zoomScaleSheetLayoutView="85" workbookViewId="0">
      <selection activeCell="I5" sqref="I5:I13"/>
    </sheetView>
  </sheetViews>
  <sheetFormatPr defaultColWidth="9.125" defaultRowHeight="12.9" x14ac:dyDescent="0.2"/>
  <cols>
    <col min="1" max="1" width="9.125" style="1" customWidth="1"/>
    <col min="2" max="2" width="9.625" style="5" customWidth="1"/>
    <col min="3" max="3" width="59.625" style="1" customWidth="1"/>
    <col min="4" max="4" width="7.125" style="5" customWidth="1"/>
    <col min="5" max="5" width="11.25" style="1" customWidth="1"/>
    <col min="6" max="6" width="9.75" style="1" customWidth="1"/>
    <col min="7" max="7" width="14.25" style="1" customWidth="1"/>
    <col min="8" max="8" width="25.625" style="1" customWidth="1"/>
    <col min="9" max="9" width="12.125" style="5" customWidth="1"/>
    <col min="10" max="10" width="12.875" style="1" customWidth="1"/>
    <col min="11" max="11" width="16.125" style="1" customWidth="1"/>
    <col min="12" max="12" width="12.375" style="1" bestFit="1" customWidth="1"/>
    <col min="13" max="16384" width="9.125" style="1"/>
  </cols>
  <sheetData>
    <row r="1" spans="2:13" ht="7.5" customHeight="1" x14ac:dyDescent="0.2"/>
    <row r="2" spans="2:13" ht="23.95" customHeight="1" x14ac:dyDescent="0.2">
      <c r="B2" s="169"/>
      <c r="C2" s="171" t="s">
        <v>10</v>
      </c>
      <c r="D2" s="171"/>
      <c r="E2" s="171"/>
      <c r="F2" s="171"/>
      <c r="G2" s="171"/>
      <c r="H2" s="171"/>
      <c r="I2" s="169"/>
    </row>
    <row r="3" spans="2:13" ht="30.1" customHeight="1" x14ac:dyDescent="0.2">
      <c r="B3" s="170"/>
      <c r="C3" s="166" t="s">
        <v>11</v>
      </c>
      <c r="D3" s="167"/>
      <c r="E3" s="167"/>
      <c r="F3" s="167"/>
      <c r="G3" s="167"/>
      <c r="H3" s="168"/>
      <c r="I3" s="170"/>
      <c r="M3" s="20"/>
    </row>
    <row r="4" spans="2:13" s="4" customFormat="1" ht="41.3" customHeight="1" x14ac:dyDescent="0.25">
      <c r="B4" s="38" t="s">
        <v>1</v>
      </c>
      <c r="C4" s="38" t="s">
        <v>2</v>
      </c>
      <c r="D4" s="38" t="s">
        <v>3</v>
      </c>
      <c r="E4" s="9" t="s">
        <v>22</v>
      </c>
      <c r="F4" s="9" t="s">
        <v>23</v>
      </c>
      <c r="G4" s="9" t="s">
        <v>24</v>
      </c>
      <c r="H4" s="9" t="s">
        <v>5</v>
      </c>
      <c r="I4" s="38" t="s">
        <v>228</v>
      </c>
    </row>
    <row r="5" spans="2:13" s="4" customFormat="1" ht="24.8" customHeight="1" x14ac:dyDescent="0.25">
      <c r="B5" s="38"/>
      <c r="C5" s="18" t="s">
        <v>75</v>
      </c>
      <c r="D5" s="38"/>
      <c r="E5" s="9"/>
      <c r="F5" s="9"/>
      <c r="G5" s="9"/>
      <c r="H5" s="9"/>
      <c r="I5" s="191"/>
    </row>
    <row r="6" spans="2:13" ht="183.1" customHeight="1" x14ac:dyDescent="0.2">
      <c r="B6" s="11"/>
      <c r="C6" s="10" t="s">
        <v>155</v>
      </c>
      <c r="D6" s="11" t="s">
        <v>29</v>
      </c>
      <c r="E6" s="21">
        <v>400</v>
      </c>
      <c r="F6" s="21">
        <v>6000</v>
      </c>
      <c r="G6" s="21">
        <f>F6*E6</f>
        <v>2400000</v>
      </c>
      <c r="H6" s="43" t="s">
        <v>105</v>
      </c>
      <c r="I6" s="193"/>
    </row>
    <row r="7" spans="2:13" ht="25.3" customHeight="1" x14ac:dyDescent="0.2">
      <c r="B7" s="11"/>
      <c r="C7" s="153" t="s">
        <v>220</v>
      </c>
      <c r="D7" s="11"/>
      <c r="E7" s="21"/>
      <c r="F7" s="21"/>
      <c r="G7" s="21"/>
      <c r="H7" s="43"/>
      <c r="I7" s="193">
        <v>370</v>
      </c>
    </row>
    <row r="8" spans="2:13" ht="25.3" customHeight="1" x14ac:dyDescent="0.2">
      <c r="B8" s="11"/>
      <c r="C8" s="153" t="s">
        <v>221</v>
      </c>
      <c r="D8" s="11"/>
      <c r="E8" s="21"/>
      <c r="F8" s="21"/>
      <c r="G8" s="21"/>
      <c r="H8" s="43"/>
      <c r="I8" s="193">
        <v>155</v>
      </c>
    </row>
    <row r="9" spans="2:13" ht="25.3" customHeight="1" x14ac:dyDescent="0.2">
      <c r="B9" s="11"/>
      <c r="C9" s="153" t="s">
        <v>222</v>
      </c>
      <c r="D9" s="11"/>
      <c r="E9" s="21"/>
      <c r="F9" s="21"/>
      <c r="G9" s="21"/>
      <c r="H9" s="43"/>
      <c r="I9" s="193">
        <v>70</v>
      </c>
    </row>
    <row r="10" spans="2:13" ht="25.3" customHeight="1" x14ac:dyDescent="0.2">
      <c r="B10" s="11"/>
      <c r="C10" s="153" t="s">
        <v>223</v>
      </c>
      <c r="D10" s="11"/>
      <c r="E10" s="21"/>
      <c r="F10" s="21"/>
      <c r="G10" s="21"/>
      <c r="H10" s="43"/>
      <c r="I10" s="193">
        <v>46</v>
      </c>
    </row>
    <row r="11" spans="2:13" ht="26.5" x14ac:dyDescent="0.25">
      <c r="B11" s="11"/>
      <c r="C11" s="10" t="s">
        <v>145</v>
      </c>
      <c r="D11" s="11"/>
      <c r="E11" s="21"/>
      <c r="F11" s="21"/>
      <c r="G11" s="21">
        <f>+G6*30%</f>
        <v>720000</v>
      </c>
      <c r="H11" s="182" t="s">
        <v>233</v>
      </c>
      <c r="I11" s="193">
        <f>ROUND((I7+I8+I9+I10)*30%,0)</f>
        <v>192</v>
      </c>
    </row>
    <row r="12" spans="2:13" s="4" customFormat="1" ht="21.75" customHeight="1" x14ac:dyDescent="0.25">
      <c r="B12" s="38"/>
      <c r="C12" s="38" t="s">
        <v>6</v>
      </c>
      <c r="D12" s="38"/>
      <c r="E12" s="13"/>
      <c r="F12" s="13"/>
      <c r="G12" s="22">
        <f>SUM(G6:G11)</f>
        <v>3120000</v>
      </c>
      <c r="H12" s="38"/>
      <c r="I12" s="193"/>
    </row>
    <row r="13" spans="2:13" s="2" customFormat="1" ht="21.75" customHeight="1" x14ac:dyDescent="0.25">
      <c r="B13" s="14"/>
      <c r="C13" s="15" t="s">
        <v>78</v>
      </c>
      <c r="D13" s="14"/>
      <c r="E13" s="25"/>
      <c r="F13" s="16"/>
      <c r="G13" s="25">
        <f>G12/F6</f>
        <v>520</v>
      </c>
      <c r="H13" s="17"/>
      <c r="I13" s="194">
        <f>SUM(I6:I12)</f>
        <v>833</v>
      </c>
    </row>
    <row r="14" spans="2:13" s="2" customFormat="1" ht="5.0999999999999996" customHeight="1" x14ac:dyDescent="0.25">
      <c r="B14" s="3"/>
      <c r="D14" s="3"/>
      <c r="I14" s="3"/>
    </row>
    <row r="15" spans="2:13" s="2" customFormat="1" ht="21.75" customHeight="1" x14ac:dyDescent="0.25">
      <c r="B15" s="4" t="s">
        <v>8</v>
      </c>
      <c r="C15" s="6" t="s">
        <v>9</v>
      </c>
      <c r="D15" s="3"/>
      <c r="I15" s="3"/>
    </row>
    <row r="16" spans="2:13" s="2" customFormat="1" ht="21.75" customHeight="1" x14ac:dyDescent="0.25">
      <c r="B16" s="3"/>
      <c r="D16" s="3"/>
      <c r="I16" s="3"/>
    </row>
    <row r="17" spans="2:9" s="2" customFormat="1" ht="21.75" customHeight="1" x14ac:dyDescent="0.25">
      <c r="B17" s="3"/>
      <c r="D17" s="3"/>
      <c r="I17" s="3"/>
    </row>
    <row r="18" spans="2:9" s="2" customFormat="1" ht="21.75" customHeight="1" x14ac:dyDescent="0.25">
      <c r="B18" s="3"/>
      <c r="D18" s="3"/>
      <c r="I18" s="3"/>
    </row>
    <row r="19" spans="2:9" s="2" customFormat="1" ht="21.75" customHeight="1" x14ac:dyDescent="0.25">
      <c r="B19" s="3"/>
      <c r="D19" s="3"/>
      <c r="I19" s="3"/>
    </row>
    <row r="20" spans="2:9" s="2" customFormat="1" ht="21.75" customHeight="1" x14ac:dyDescent="0.25">
      <c r="B20" s="3"/>
      <c r="D20" s="3"/>
      <c r="I20" s="3"/>
    </row>
    <row r="21" spans="2:9" s="2" customFormat="1" ht="21.75" customHeight="1" x14ac:dyDescent="0.25">
      <c r="B21" s="3"/>
      <c r="D21" s="3"/>
      <c r="I21" s="3"/>
    </row>
    <row r="22" spans="2:9" s="2" customFormat="1" ht="21.75" customHeight="1" x14ac:dyDescent="0.25">
      <c r="B22" s="3"/>
      <c r="D22" s="3"/>
      <c r="I22" s="3"/>
    </row>
    <row r="23" spans="2:9" s="2" customFormat="1" ht="21.75" customHeight="1" x14ac:dyDescent="0.25">
      <c r="B23" s="3"/>
      <c r="D23" s="3"/>
      <c r="I23" s="3"/>
    </row>
    <row r="24" spans="2:9" s="2" customFormat="1" ht="21.75" customHeight="1" x14ac:dyDescent="0.25">
      <c r="B24" s="3"/>
      <c r="D24" s="3"/>
      <c r="I24" s="3"/>
    </row>
    <row r="25" spans="2:9" s="2" customFormat="1" ht="21.75" customHeight="1" x14ac:dyDescent="0.25">
      <c r="B25" s="3"/>
      <c r="D25" s="3"/>
      <c r="I25" s="3"/>
    </row>
  </sheetData>
  <mergeCells count="4">
    <mergeCell ref="B2:B3"/>
    <mergeCell ref="C2:H2"/>
    <mergeCell ref="I2:I3"/>
    <mergeCell ref="C3:H3"/>
  </mergeCells>
  <printOptions horizontalCentered="1"/>
  <pageMargins left="0.11811023622047245" right="0.11811023622047245" top="0.70866141732283472" bottom="0.11811023622047245" header="0.11811023622047245" footer="0.11811023622047245"/>
  <pageSetup paperSize="9" scale="9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view="pageBreakPreview" zoomScale="85" zoomScaleNormal="100" zoomScaleSheetLayoutView="85" workbookViewId="0">
      <selection activeCell="I6" sqref="I6:I17"/>
    </sheetView>
  </sheetViews>
  <sheetFormatPr defaultColWidth="9.125" defaultRowHeight="12.9" x14ac:dyDescent="0.2"/>
  <cols>
    <col min="1" max="1" width="9.125" style="1" customWidth="1"/>
    <col min="2" max="2" width="9.625" style="5" customWidth="1"/>
    <col min="3" max="3" width="59.625" style="1" customWidth="1"/>
    <col min="4" max="4" width="7.125" style="5" customWidth="1"/>
    <col min="5" max="5" width="11.25" style="1" customWidth="1"/>
    <col min="6" max="6" width="9.75" style="1" customWidth="1"/>
    <col min="7" max="7" width="14.25" style="1" customWidth="1"/>
    <col min="8" max="8" width="25.625" style="1" customWidth="1"/>
    <col min="9" max="9" width="12.125" style="5" customWidth="1"/>
    <col min="10" max="10" width="12.875" style="1" customWidth="1"/>
    <col min="11" max="11" width="16.125" style="1" customWidth="1"/>
    <col min="12" max="12" width="12.375" style="1" bestFit="1" customWidth="1"/>
    <col min="13" max="16384" width="9.125" style="1"/>
  </cols>
  <sheetData>
    <row r="1" spans="2:13" ht="7.5" customHeight="1" x14ac:dyDescent="0.2"/>
    <row r="2" spans="2:13" ht="23.95" customHeight="1" x14ac:dyDescent="0.2">
      <c r="B2" s="169"/>
      <c r="C2" s="171" t="s">
        <v>10</v>
      </c>
      <c r="D2" s="171"/>
      <c r="E2" s="171"/>
      <c r="F2" s="171"/>
      <c r="G2" s="171"/>
      <c r="H2" s="171"/>
      <c r="I2" s="169"/>
    </row>
    <row r="3" spans="2:13" ht="30.1" customHeight="1" x14ac:dyDescent="0.2">
      <c r="B3" s="170"/>
      <c r="C3" s="166" t="s">
        <v>11</v>
      </c>
      <c r="D3" s="167"/>
      <c r="E3" s="167"/>
      <c r="F3" s="167"/>
      <c r="G3" s="167"/>
      <c r="H3" s="168"/>
      <c r="I3" s="170"/>
      <c r="M3" s="20"/>
    </row>
    <row r="4" spans="2:13" s="4" customFormat="1" ht="41.3" customHeight="1" x14ac:dyDescent="0.25">
      <c r="B4" s="38" t="s">
        <v>1</v>
      </c>
      <c r="C4" s="38" t="s">
        <v>2</v>
      </c>
      <c r="D4" s="38" t="s">
        <v>3</v>
      </c>
      <c r="E4" s="9" t="s">
        <v>22</v>
      </c>
      <c r="F4" s="9" t="s">
        <v>23</v>
      </c>
      <c r="G4" s="9" t="s">
        <v>24</v>
      </c>
      <c r="H4" s="9" t="s">
        <v>5</v>
      </c>
      <c r="I4" s="38" t="s">
        <v>228</v>
      </c>
    </row>
    <row r="5" spans="2:13" s="4" customFormat="1" ht="24.8" customHeight="1" x14ac:dyDescent="0.25">
      <c r="B5" s="38"/>
      <c r="C5" s="18" t="s">
        <v>76</v>
      </c>
      <c r="D5" s="38"/>
      <c r="E5" s="9"/>
      <c r="F5" s="9"/>
      <c r="G5" s="9"/>
      <c r="H5" s="9"/>
      <c r="I5" s="38"/>
    </row>
    <row r="6" spans="2:13" ht="77.45" x14ac:dyDescent="0.2">
      <c r="B6" s="11"/>
      <c r="C6" s="10" t="s">
        <v>143</v>
      </c>
      <c r="D6" s="40"/>
      <c r="E6" s="41"/>
      <c r="F6" s="40"/>
      <c r="G6" s="40"/>
      <c r="H6" s="41"/>
      <c r="I6" s="193"/>
    </row>
    <row r="7" spans="2:13" ht="30.75" customHeight="1" x14ac:dyDescent="0.2">
      <c r="B7" s="11"/>
      <c r="C7" s="10" t="s">
        <v>110</v>
      </c>
      <c r="D7" s="11" t="s">
        <v>0</v>
      </c>
      <c r="E7" s="112">
        <f>(705*1.6)*105%</f>
        <v>1184.4000000000001</v>
      </c>
      <c r="F7" s="11">
        <v>5000</v>
      </c>
      <c r="G7" s="21">
        <f>+F7*E7</f>
        <v>5922000</v>
      </c>
      <c r="H7" s="24" t="s">
        <v>152</v>
      </c>
      <c r="I7" s="193">
        <v>1280</v>
      </c>
    </row>
    <row r="8" spans="2:13" ht="22.6" customHeight="1" x14ac:dyDescent="0.2">
      <c r="B8" s="11"/>
      <c r="C8" s="10" t="s">
        <v>111</v>
      </c>
      <c r="D8" s="11" t="s">
        <v>0</v>
      </c>
      <c r="E8" s="11">
        <v>300</v>
      </c>
      <c r="F8" s="11">
        <v>5000</v>
      </c>
      <c r="G8" s="21">
        <f>+F8*E8</f>
        <v>1500000</v>
      </c>
      <c r="H8" s="24"/>
      <c r="I8" s="193"/>
    </row>
    <row r="9" spans="2:13" ht="22.6" customHeight="1" x14ac:dyDescent="0.2">
      <c r="B9" s="11"/>
      <c r="C9" s="10" t="s">
        <v>153</v>
      </c>
      <c r="D9" s="11" t="s">
        <v>0</v>
      </c>
      <c r="E9" s="112">
        <f>E7*20%</f>
        <v>236.88000000000002</v>
      </c>
      <c r="F9" s="11">
        <v>5000</v>
      </c>
      <c r="G9" s="21">
        <f>+F9*E9</f>
        <v>1184400.0000000002</v>
      </c>
      <c r="H9" s="24"/>
      <c r="I9" s="193"/>
    </row>
    <row r="10" spans="2:13" ht="22.6" customHeight="1" x14ac:dyDescent="0.2">
      <c r="B10" s="11"/>
      <c r="C10" s="151" t="s">
        <v>219</v>
      </c>
      <c r="D10" s="11"/>
      <c r="E10" s="112"/>
      <c r="F10" s="11"/>
      <c r="G10" s="21"/>
      <c r="H10" s="24"/>
      <c r="I10" s="193">
        <v>300</v>
      </c>
    </row>
    <row r="11" spans="2:13" ht="22.6" customHeight="1" x14ac:dyDescent="0.2">
      <c r="B11" s="11"/>
      <c r="C11" s="151" t="s">
        <v>227</v>
      </c>
      <c r="D11" s="154"/>
      <c r="E11" s="112"/>
      <c r="F11" s="11"/>
      <c r="G11" s="21"/>
      <c r="H11" s="24"/>
      <c r="I11" s="193">
        <v>2200</v>
      </c>
    </row>
    <row r="12" spans="2:13" s="4" customFormat="1" ht="21.75" customHeight="1" x14ac:dyDescent="0.25">
      <c r="B12" s="38"/>
      <c r="C12" s="38" t="s">
        <v>6</v>
      </c>
      <c r="D12" s="38"/>
      <c r="E12" s="13"/>
      <c r="F12" s="13"/>
      <c r="G12" s="21">
        <f>SUM(G7:G9)</f>
        <v>8606400</v>
      </c>
      <c r="H12" s="38"/>
      <c r="I12" s="193">
        <f>SUM(I7:I11)</f>
        <v>3780</v>
      </c>
    </row>
    <row r="13" spans="2:13" s="2" customFormat="1" ht="26.5" x14ac:dyDescent="0.25">
      <c r="B13" s="11"/>
      <c r="C13" s="11" t="s">
        <v>145</v>
      </c>
      <c r="D13" s="11"/>
      <c r="E13" s="13"/>
      <c r="F13" s="13"/>
      <c r="G13" s="21">
        <f>G12*30%</f>
        <v>2581920</v>
      </c>
      <c r="H13" s="182" t="s">
        <v>233</v>
      </c>
      <c r="I13" s="193">
        <f>ROUND(I12*30%,0)</f>
        <v>1134</v>
      </c>
    </row>
    <row r="14" spans="2:13" s="2" customFormat="1" ht="21.75" customHeight="1" x14ac:dyDescent="0.25">
      <c r="B14" s="11"/>
      <c r="C14" s="11" t="s">
        <v>112</v>
      </c>
      <c r="D14" s="11"/>
      <c r="E14" s="13"/>
      <c r="F14" s="13"/>
      <c r="G14" s="22">
        <f>+G13+G12</f>
        <v>11188320</v>
      </c>
      <c r="H14" s="12"/>
      <c r="I14" s="193"/>
    </row>
    <row r="15" spans="2:13" s="2" customFormat="1" ht="21.75" customHeight="1" x14ac:dyDescent="0.25">
      <c r="B15" s="14"/>
      <c r="C15" s="15" t="s">
        <v>113</v>
      </c>
      <c r="D15" s="14"/>
      <c r="E15" s="16">
        <f>+E12+E13</f>
        <v>0</v>
      </c>
      <c r="F15" s="16"/>
      <c r="G15" s="25">
        <f>G14/5000</f>
        <v>2237.6640000000002</v>
      </c>
      <c r="H15" s="17"/>
      <c r="I15" s="194">
        <f>SUM(I12:I14)</f>
        <v>4914</v>
      </c>
    </row>
    <row r="16" spans="2:13" s="2" customFormat="1" ht="5.0999999999999996" customHeight="1" x14ac:dyDescent="0.25">
      <c r="B16" s="3"/>
      <c r="D16" s="3"/>
      <c r="I16" s="195"/>
    </row>
    <row r="17" spans="2:9" s="2" customFormat="1" ht="21.75" customHeight="1" x14ac:dyDescent="0.25">
      <c r="B17" s="4" t="s">
        <v>8</v>
      </c>
      <c r="C17" s="6" t="s">
        <v>9</v>
      </c>
      <c r="D17" s="3"/>
      <c r="I17" s="195"/>
    </row>
    <row r="18" spans="2:9" s="2" customFormat="1" ht="21.75" customHeight="1" x14ac:dyDescent="0.25">
      <c r="B18" s="3"/>
      <c r="D18" s="3"/>
      <c r="I18" s="3"/>
    </row>
    <row r="19" spans="2:9" s="2" customFormat="1" ht="21.75" customHeight="1" x14ac:dyDescent="0.25">
      <c r="B19" s="3"/>
      <c r="D19" s="3"/>
      <c r="I19" s="3"/>
    </row>
    <row r="20" spans="2:9" s="2" customFormat="1" ht="21.75" customHeight="1" x14ac:dyDescent="0.25">
      <c r="B20" s="3"/>
      <c r="D20" s="3"/>
      <c r="I20" s="3"/>
    </row>
    <row r="21" spans="2:9" s="2" customFormat="1" ht="21.75" customHeight="1" x14ac:dyDescent="0.25">
      <c r="B21" s="3"/>
      <c r="D21" s="3"/>
      <c r="I21" s="3"/>
    </row>
    <row r="22" spans="2:9" s="2" customFormat="1" ht="21.75" customHeight="1" x14ac:dyDescent="0.25">
      <c r="B22" s="3"/>
      <c r="D22" s="3"/>
      <c r="I22" s="3"/>
    </row>
    <row r="23" spans="2:9" s="2" customFormat="1" ht="21.75" customHeight="1" x14ac:dyDescent="0.25">
      <c r="B23" s="3"/>
      <c r="D23" s="3"/>
      <c r="I23" s="3"/>
    </row>
    <row r="24" spans="2:9" s="2" customFormat="1" ht="21.75" customHeight="1" x14ac:dyDescent="0.25">
      <c r="B24" s="3"/>
      <c r="D24" s="3"/>
      <c r="I24" s="3"/>
    </row>
    <row r="25" spans="2:9" s="2" customFormat="1" ht="21.75" customHeight="1" x14ac:dyDescent="0.25">
      <c r="B25" s="3"/>
      <c r="D25" s="3"/>
      <c r="I25" s="3"/>
    </row>
    <row r="26" spans="2:9" s="2" customFormat="1" ht="21.75" customHeight="1" x14ac:dyDescent="0.25">
      <c r="B26" s="3"/>
      <c r="D26" s="3"/>
      <c r="I26" s="3"/>
    </row>
    <row r="27" spans="2:9" s="2" customFormat="1" ht="21.75" customHeight="1" x14ac:dyDescent="0.25">
      <c r="B27" s="3"/>
      <c r="D27" s="3"/>
      <c r="I27" s="3"/>
    </row>
  </sheetData>
  <mergeCells count="4">
    <mergeCell ref="B2:B3"/>
    <mergeCell ref="C2:H2"/>
    <mergeCell ref="I2:I3"/>
    <mergeCell ref="C3:H3"/>
  </mergeCells>
  <printOptions horizontalCentered="1"/>
  <pageMargins left="0.11811023622047245" right="0.11811023622047245" top="0.70866141732283472" bottom="0.11811023622047245" header="0.11811023622047245" footer="0.11811023622047245"/>
  <pageSetup paperSize="9" scale="96"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8"/>
  <sheetViews>
    <sheetView showGridLines="0" view="pageBreakPreview" zoomScaleNormal="100" zoomScaleSheetLayoutView="100" workbookViewId="0">
      <selection activeCell="I4" sqref="I4"/>
    </sheetView>
  </sheetViews>
  <sheetFormatPr defaultColWidth="9.125" defaultRowHeight="12.9" x14ac:dyDescent="0.2"/>
  <cols>
    <col min="1" max="1" width="9.125" style="1" customWidth="1"/>
    <col min="2" max="2" width="9.625" style="5" customWidth="1"/>
    <col min="3" max="3" width="59.875" style="1" customWidth="1"/>
    <col min="4" max="4" width="7.125" style="5" customWidth="1"/>
    <col min="5" max="5" width="11.25" style="1" customWidth="1"/>
    <col min="6" max="6" width="9.75" style="1" customWidth="1"/>
    <col min="7" max="7" width="14.25" style="1" customWidth="1"/>
    <col min="8" max="8" width="27.75" style="1" customWidth="1"/>
    <col min="9" max="9" width="12.125" style="188" customWidth="1"/>
    <col min="10" max="10" width="12.875" style="1" customWidth="1"/>
    <col min="11" max="11" width="16.125" style="1" customWidth="1"/>
    <col min="12" max="12" width="12.375" style="1" bestFit="1" customWidth="1"/>
    <col min="13" max="16384" width="9.125" style="1"/>
  </cols>
  <sheetData>
    <row r="1" spans="2:13" ht="7.5" customHeight="1" x14ac:dyDescent="0.2"/>
    <row r="2" spans="2:13" ht="23.95" customHeight="1" x14ac:dyDescent="0.2">
      <c r="B2" s="169"/>
      <c r="C2" s="171" t="s">
        <v>10</v>
      </c>
      <c r="D2" s="171"/>
      <c r="E2" s="171"/>
      <c r="F2" s="171"/>
      <c r="G2" s="171"/>
      <c r="H2" s="171"/>
      <c r="I2" s="189"/>
    </row>
    <row r="3" spans="2:13" ht="30.1" customHeight="1" x14ac:dyDescent="0.2">
      <c r="B3" s="170"/>
      <c r="C3" s="166" t="s">
        <v>11</v>
      </c>
      <c r="D3" s="167"/>
      <c r="E3" s="167"/>
      <c r="F3" s="167"/>
      <c r="G3" s="167"/>
      <c r="H3" s="168"/>
      <c r="I3" s="190"/>
      <c r="M3" s="20"/>
    </row>
    <row r="4" spans="2:13" s="4" customFormat="1" ht="27.2" x14ac:dyDescent="0.25">
      <c r="B4" s="38" t="s">
        <v>1</v>
      </c>
      <c r="C4" s="38" t="s">
        <v>2</v>
      </c>
      <c r="D4" s="38" t="s">
        <v>3</v>
      </c>
      <c r="E4" s="9" t="s">
        <v>22</v>
      </c>
      <c r="F4" s="9" t="s">
        <v>23</v>
      </c>
      <c r="G4" s="9" t="s">
        <v>24</v>
      </c>
      <c r="H4" s="9" t="s">
        <v>5</v>
      </c>
      <c r="I4" s="152" t="s">
        <v>228</v>
      </c>
    </row>
    <row r="5" spans="2:13" s="4" customFormat="1" ht="19.7" customHeight="1" x14ac:dyDescent="0.25">
      <c r="B5" s="38"/>
      <c r="C5" s="18" t="s">
        <v>25</v>
      </c>
      <c r="D5" s="38"/>
      <c r="E5" s="9"/>
      <c r="F5" s="9"/>
      <c r="G5" s="9"/>
      <c r="H5" s="9"/>
      <c r="I5" s="191"/>
    </row>
    <row r="6" spans="2:13" ht="51.65" x14ac:dyDescent="0.2">
      <c r="B6" s="11"/>
      <c r="C6" s="10" t="s">
        <v>114</v>
      </c>
      <c r="D6" s="11"/>
      <c r="E6" s="8"/>
      <c r="F6" s="11"/>
      <c r="G6" s="11"/>
      <c r="H6" s="8"/>
      <c r="I6" s="196"/>
    </row>
    <row r="7" spans="2:13" ht="42.8" customHeight="1" x14ac:dyDescent="0.2">
      <c r="B7" s="11" t="s">
        <v>19</v>
      </c>
      <c r="C7" s="10" t="s">
        <v>27</v>
      </c>
      <c r="D7" s="11" t="s">
        <v>29</v>
      </c>
      <c r="E7" s="11">
        <v>1936</v>
      </c>
      <c r="F7" s="11">
        <v>70</v>
      </c>
      <c r="G7" s="21">
        <f>F7*E7</f>
        <v>135520</v>
      </c>
      <c r="H7" s="24" t="s">
        <v>115</v>
      </c>
      <c r="I7" s="193">
        <v>1605</v>
      </c>
    </row>
    <row r="8" spans="2:13" ht="21.75" customHeight="1" x14ac:dyDescent="0.2">
      <c r="B8" s="11"/>
      <c r="C8" s="151" t="s">
        <v>224</v>
      </c>
      <c r="D8" s="155"/>
      <c r="E8" s="11"/>
      <c r="F8" s="11"/>
      <c r="G8" s="21"/>
      <c r="H8" s="24"/>
      <c r="I8" s="193">
        <v>150</v>
      </c>
    </row>
    <row r="9" spans="2:13" ht="21.75" customHeight="1" x14ac:dyDescent="0.2">
      <c r="B9" s="11"/>
      <c r="C9" s="151" t="s">
        <v>225</v>
      </c>
      <c r="D9" s="155"/>
      <c r="E9" s="11"/>
      <c r="F9" s="11"/>
      <c r="G9" s="21"/>
      <c r="H9" s="24"/>
      <c r="I9" s="193">
        <v>204.5</v>
      </c>
    </row>
    <row r="10" spans="2:13" ht="26.5" x14ac:dyDescent="0.25">
      <c r="B10" s="11"/>
      <c r="C10" s="10" t="s">
        <v>145</v>
      </c>
      <c r="D10" s="11"/>
      <c r="E10" s="11"/>
      <c r="F10" s="11"/>
      <c r="G10" s="21">
        <f>G7*30%</f>
        <v>40656</v>
      </c>
      <c r="H10" s="182" t="s">
        <v>233</v>
      </c>
      <c r="I10" s="193">
        <f>ROUND((I7+I8+I9)*30%,0)</f>
        <v>588</v>
      </c>
    </row>
    <row r="11" spans="2:13" ht="19.7" customHeight="1" x14ac:dyDescent="0.2">
      <c r="B11" s="11"/>
      <c r="C11" s="65" t="s">
        <v>117</v>
      </c>
      <c r="D11" s="48"/>
      <c r="E11" s="48"/>
      <c r="F11" s="48"/>
      <c r="G11" s="57">
        <f>(G10+G7)/70</f>
        <v>2516.8000000000002</v>
      </c>
      <c r="H11" s="66"/>
      <c r="I11" s="197">
        <f>SUM(I7:I10)</f>
        <v>2547.5</v>
      </c>
    </row>
    <row r="12" spans="2:13" ht="25.85" x14ac:dyDescent="0.2">
      <c r="B12" s="11" t="s">
        <v>19</v>
      </c>
      <c r="C12" s="10" t="s">
        <v>120</v>
      </c>
      <c r="D12" s="11" t="s">
        <v>29</v>
      </c>
      <c r="E12" s="11">
        <v>2850</v>
      </c>
      <c r="F12" s="11">
        <v>100</v>
      </c>
      <c r="G12" s="21">
        <f>F12*E12</f>
        <v>285000</v>
      </c>
      <c r="H12" s="42" t="s">
        <v>121</v>
      </c>
      <c r="I12" s="193">
        <v>2310</v>
      </c>
    </row>
    <row r="13" spans="2:13" ht="21.1" customHeight="1" x14ac:dyDescent="0.2">
      <c r="B13" s="11"/>
      <c r="C13" s="151" t="s">
        <v>224</v>
      </c>
      <c r="D13" s="155"/>
      <c r="E13" s="11"/>
      <c r="F13" s="11"/>
      <c r="G13" s="21"/>
      <c r="H13" s="42"/>
      <c r="I13" s="193">
        <v>300</v>
      </c>
    </row>
    <row r="14" spans="2:13" ht="21.1" customHeight="1" x14ac:dyDescent="0.2">
      <c r="B14" s="11"/>
      <c r="C14" s="151" t="s">
        <v>225</v>
      </c>
      <c r="D14" s="155"/>
      <c r="E14" s="11"/>
      <c r="F14" s="11"/>
      <c r="G14" s="21"/>
      <c r="H14" s="42"/>
      <c r="I14" s="193">
        <v>213.88</v>
      </c>
    </row>
    <row r="15" spans="2:13" ht="26.5" x14ac:dyDescent="0.25">
      <c r="B15" s="11"/>
      <c r="C15" s="10" t="s">
        <v>154</v>
      </c>
      <c r="D15" s="11"/>
      <c r="E15" s="11"/>
      <c r="F15" s="11"/>
      <c r="G15" s="21">
        <f>G12*30%</f>
        <v>85500</v>
      </c>
      <c r="H15" s="182" t="s">
        <v>233</v>
      </c>
      <c r="I15" s="193">
        <f>ROUND((I12+I13+I14)*30%,0)</f>
        <v>847</v>
      </c>
    </row>
    <row r="16" spans="2:13" ht="19.7" customHeight="1" x14ac:dyDescent="0.2">
      <c r="B16" s="11"/>
      <c r="C16" s="65" t="s">
        <v>117</v>
      </c>
      <c r="D16" s="48"/>
      <c r="E16" s="48"/>
      <c r="F16" s="48"/>
      <c r="G16" s="57">
        <f>(G15+G12)/100</f>
        <v>3705</v>
      </c>
      <c r="H16" s="66"/>
      <c r="I16" s="197">
        <f>SUM(I12:I15)</f>
        <v>3670.88</v>
      </c>
    </row>
    <row r="17" spans="2:9" ht="25.85" x14ac:dyDescent="0.2">
      <c r="B17" s="11" t="s">
        <v>19</v>
      </c>
      <c r="C17" s="10" t="s">
        <v>28</v>
      </c>
      <c r="D17" s="11" t="s">
        <v>29</v>
      </c>
      <c r="E17" s="11">
        <v>3964</v>
      </c>
      <c r="F17" s="11">
        <v>100</v>
      </c>
      <c r="G17" s="21">
        <f>F17*E17</f>
        <v>396400</v>
      </c>
      <c r="H17" s="24" t="s">
        <v>116</v>
      </c>
      <c r="I17" s="193">
        <v>4300</v>
      </c>
    </row>
    <row r="18" spans="2:9" ht="21.1" customHeight="1" x14ac:dyDescent="0.2">
      <c r="B18" s="11"/>
      <c r="C18" s="151" t="s">
        <v>224</v>
      </c>
      <c r="D18" s="155"/>
      <c r="E18" s="11"/>
      <c r="F18" s="11"/>
      <c r="G18" s="21"/>
      <c r="H18" s="24"/>
      <c r="I18" s="193">
        <v>460</v>
      </c>
    </row>
    <row r="19" spans="2:9" ht="21.1" customHeight="1" x14ac:dyDescent="0.2">
      <c r="B19" s="11"/>
      <c r="C19" s="151" t="s">
        <v>225</v>
      </c>
      <c r="D19" s="155"/>
      <c r="E19" s="11"/>
      <c r="F19" s="11"/>
      <c r="G19" s="21"/>
      <c r="H19" s="24"/>
      <c r="I19" s="193">
        <v>280</v>
      </c>
    </row>
    <row r="20" spans="2:9" ht="26.5" x14ac:dyDescent="0.25">
      <c r="B20" s="11"/>
      <c r="C20" s="10" t="s">
        <v>145</v>
      </c>
      <c r="D20" s="11"/>
      <c r="E20" s="11"/>
      <c r="F20" s="11"/>
      <c r="G20" s="21">
        <f>G17*30%</f>
        <v>118920</v>
      </c>
      <c r="H20" s="182" t="s">
        <v>233</v>
      </c>
      <c r="I20" s="193">
        <f>ROUND((I17+I18+I19)*30%,0)</f>
        <v>1512</v>
      </c>
    </row>
    <row r="21" spans="2:9" ht="19.7" customHeight="1" x14ac:dyDescent="0.2">
      <c r="B21" s="11"/>
      <c r="C21" s="65" t="s">
        <v>117</v>
      </c>
      <c r="D21" s="48"/>
      <c r="E21" s="48"/>
      <c r="F21" s="48"/>
      <c r="G21" s="57">
        <f>(G20+G17)/100</f>
        <v>5153.2</v>
      </c>
      <c r="H21" s="66"/>
      <c r="I21" s="197">
        <f>SUM(I17:I20)</f>
        <v>6552</v>
      </c>
    </row>
    <row r="22" spans="2:9" ht="25.85" x14ac:dyDescent="0.2">
      <c r="B22" s="11" t="s">
        <v>19</v>
      </c>
      <c r="C22" s="10" t="s">
        <v>118</v>
      </c>
      <c r="D22" s="11" t="s">
        <v>29</v>
      </c>
      <c r="E22" s="11">
        <v>4905</v>
      </c>
      <c r="F22" s="11">
        <v>50</v>
      </c>
      <c r="G22" s="21">
        <f>F22*E22</f>
        <v>245250</v>
      </c>
      <c r="H22" s="24" t="s">
        <v>160</v>
      </c>
      <c r="I22" s="193">
        <v>4934</v>
      </c>
    </row>
    <row r="23" spans="2:9" ht="21.1" customHeight="1" x14ac:dyDescent="0.2">
      <c r="B23" s="11"/>
      <c r="C23" s="151" t="s">
        <v>224</v>
      </c>
      <c r="D23" s="155"/>
      <c r="E23" s="11"/>
      <c r="F23" s="11"/>
      <c r="G23" s="21"/>
      <c r="H23" s="24"/>
      <c r="I23" s="193">
        <v>1800</v>
      </c>
    </row>
    <row r="24" spans="2:9" ht="21.1" customHeight="1" x14ac:dyDescent="0.2">
      <c r="B24" s="11"/>
      <c r="C24" s="151" t="s">
        <v>225</v>
      </c>
      <c r="D24" s="155"/>
      <c r="E24" s="11"/>
      <c r="F24" s="11"/>
      <c r="G24" s="21"/>
      <c r="H24" s="24"/>
      <c r="I24" s="193">
        <v>901.85</v>
      </c>
    </row>
    <row r="25" spans="2:9" ht="26.5" x14ac:dyDescent="0.25">
      <c r="B25" s="11"/>
      <c r="C25" s="10" t="s">
        <v>145</v>
      </c>
      <c r="D25" s="11"/>
      <c r="E25" s="11"/>
      <c r="F25" s="11"/>
      <c r="G25" s="21">
        <f>G22*30%</f>
        <v>73575</v>
      </c>
      <c r="H25" s="182" t="s">
        <v>233</v>
      </c>
      <c r="I25" s="193">
        <f>ROUND((I22+I23+I24)*30%,0)</f>
        <v>2291</v>
      </c>
    </row>
    <row r="26" spans="2:9" ht="19.7" customHeight="1" x14ac:dyDescent="0.2">
      <c r="B26" s="11"/>
      <c r="C26" s="65" t="s">
        <v>117</v>
      </c>
      <c r="D26" s="48"/>
      <c r="E26" s="48"/>
      <c r="F26" s="48"/>
      <c r="G26" s="57">
        <f>(G25+G22)/50</f>
        <v>6376.5</v>
      </c>
      <c r="H26" s="66"/>
      <c r="I26" s="197">
        <f>SUM(I22:I25)</f>
        <v>9926.85</v>
      </c>
    </row>
    <row r="27" spans="2:9" s="2" customFormat="1" x14ac:dyDescent="0.25">
      <c r="B27" s="3"/>
      <c r="D27" s="3"/>
      <c r="I27" s="195"/>
    </row>
    <row r="28" spans="2:9" s="2" customFormat="1" ht="19.7" customHeight="1" x14ac:dyDescent="0.25">
      <c r="B28" s="4" t="s">
        <v>8</v>
      </c>
      <c r="C28" s="6" t="s">
        <v>9</v>
      </c>
      <c r="D28" s="3"/>
      <c r="I28" s="195"/>
    </row>
    <row r="29" spans="2:9" s="2" customFormat="1" ht="21.75" customHeight="1" x14ac:dyDescent="0.25">
      <c r="B29" s="3"/>
      <c r="D29" s="3"/>
      <c r="I29" s="195"/>
    </row>
    <row r="30" spans="2:9" s="2" customFormat="1" ht="21.75" customHeight="1" x14ac:dyDescent="0.25">
      <c r="B30" s="3"/>
      <c r="D30" s="3"/>
      <c r="I30" s="195"/>
    </row>
    <row r="31" spans="2:9" s="2" customFormat="1" ht="21.75" customHeight="1" x14ac:dyDescent="0.25">
      <c r="B31" s="3"/>
      <c r="D31" s="3"/>
      <c r="I31" s="195"/>
    </row>
    <row r="32" spans="2:9" s="2" customFormat="1" ht="21.75" customHeight="1" x14ac:dyDescent="0.25">
      <c r="B32" s="3"/>
      <c r="D32" s="3"/>
      <c r="I32" s="195"/>
    </row>
    <row r="33" spans="2:9" s="2" customFormat="1" ht="21.75" customHeight="1" x14ac:dyDescent="0.25">
      <c r="B33" s="3"/>
      <c r="D33" s="3"/>
      <c r="I33" s="195"/>
    </row>
    <row r="34" spans="2:9" s="2" customFormat="1" ht="21.75" customHeight="1" x14ac:dyDescent="0.25">
      <c r="B34" s="3"/>
      <c r="D34" s="3"/>
      <c r="I34" s="195"/>
    </row>
    <row r="35" spans="2:9" s="2" customFormat="1" ht="21.75" customHeight="1" x14ac:dyDescent="0.25">
      <c r="B35" s="3"/>
      <c r="D35" s="3"/>
      <c r="I35" s="195"/>
    </row>
    <row r="36" spans="2:9" s="2" customFormat="1" ht="21.75" customHeight="1" x14ac:dyDescent="0.25">
      <c r="B36" s="3"/>
      <c r="D36" s="3"/>
      <c r="I36" s="195"/>
    </row>
    <row r="37" spans="2:9" s="2" customFormat="1" ht="21.75" customHeight="1" x14ac:dyDescent="0.25">
      <c r="B37" s="3"/>
      <c r="D37" s="3"/>
      <c r="I37" s="195"/>
    </row>
    <row r="38" spans="2:9" s="2" customFormat="1" ht="21.75" customHeight="1" x14ac:dyDescent="0.25">
      <c r="B38" s="3"/>
      <c r="D38" s="3"/>
      <c r="I38" s="195"/>
    </row>
  </sheetData>
  <mergeCells count="4">
    <mergeCell ref="B2:B3"/>
    <mergeCell ref="C2:H2"/>
    <mergeCell ref="I2:I3"/>
    <mergeCell ref="C3:H3"/>
  </mergeCells>
  <printOptions horizontalCentered="1"/>
  <pageMargins left="0.11811023622047245" right="0.11811023622047245" top="0.70866141732283472" bottom="0.11811023622047245" header="0.11811023622047245" footer="0.11811023622047245"/>
  <pageSetup paperSize="9" scale="7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1"/>
  <sheetViews>
    <sheetView showGridLines="0" view="pageBreakPreview" zoomScale="85" zoomScaleNormal="100" zoomScaleSheetLayoutView="85" workbookViewId="0">
      <selection activeCell="I17" sqref="I17"/>
    </sheetView>
  </sheetViews>
  <sheetFormatPr defaultColWidth="9.125" defaultRowHeight="12.9" x14ac:dyDescent="0.2"/>
  <cols>
    <col min="1" max="1" width="9.125" style="1" customWidth="1"/>
    <col min="2" max="2" width="10.875" style="5" customWidth="1"/>
    <col min="3" max="3" width="59.875" style="1" customWidth="1"/>
    <col min="4" max="4" width="7.125" style="5" customWidth="1"/>
    <col min="5" max="5" width="11.25" style="1" customWidth="1"/>
    <col min="6" max="6" width="9.75" style="1" customWidth="1"/>
    <col min="7" max="7" width="14.25" style="1" customWidth="1"/>
    <col min="8" max="8" width="21.75" style="1" customWidth="1"/>
    <col min="9" max="9" width="12.125" style="5" customWidth="1"/>
    <col min="10" max="10" width="12.875" style="1" customWidth="1"/>
    <col min="11" max="11" width="16.125" style="1" customWidth="1"/>
    <col min="12" max="12" width="12.375" style="1" bestFit="1" customWidth="1"/>
    <col min="13" max="16384" width="9.125" style="1"/>
  </cols>
  <sheetData>
    <row r="1" spans="2:13" ht="7.5" customHeight="1" x14ac:dyDescent="0.2"/>
    <row r="2" spans="2:13" ht="23.95" customHeight="1" x14ac:dyDescent="0.2">
      <c r="B2" s="169"/>
      <c r="C2" s="171" t="s">
        <v>10</v>
      </c>
      <c r="D2" s="171"/>
      <c r="E2" s="171"/>
      <c r="F2" s="171"/>
      <c r="G2" s="171"/>
      <c r="H2" s="171"/>
      <c r="I2" s="169"/>
    </row>
    <row r="3" spans="2:13" ht="30.1" customHeight="1" x14ac:dyDescent="0.2">
      <c r="B3" s="170"/>
      <c r="C3" s="166" t="s">
        <v>11</v>
      </c>
      <c r="D3" s="167"/>
      <c r="E3" s="167"/>
      <c r="F3" s="167"/>
      <c r="G3" s="167"/>
      <c r="H3" s="168"/>
      <c r="I3" s="170"/>
      <c r="M3" s="20"/>
    </row>
    <row r="4" spans="2:13" s="4" customFormat="1" ht="41.3" customHeight="1" x14ac:dyDescent="0.25">
      <c r="B4" s="38" t="s">
        <v>1</v>
      </c>
      <c r="C4" s="38" t="s">
        <v>2</v>
      </c>
      <c r="D4" s="38" t="s">
        <v>3</v>
      </c>
      <c r="E4" s="9" t="s">
        <v>22</v>
      </c>
      <c r="F4" s="9" t="s">
        <v>23</v>
      </c>
      <c r="G4" s="9" t="s">
        <v>24</v>
      </c>
      <c r="H4" s="9" t="s">
        <v>5</v>
      </c>
      <c r="I4" s="38" t="s">
        <v>7</v>
      </c>
    </row>
    <row r="5" spans="2:13" s="4" customFormat="1" ht="24.8" customHeight="1" x14ac:dyDescent="0.25">
      <c r="B5" s="38"/>
      <c r="C5" s="18" t="s">
        <v>25</v>
      </c>
      <c r="D5" s="38"/>
      <c r="E5" s="9"/>
      <c r="F5" s="9"/>
      <c r="G5" s="9"/>
      <c r="H5" s="9"/>
      <c r="I5" s="38"/>
    </row>
    <row r="6" spans="2:13" ht="75.75" customHeight="1" x14ac:dyDescent="0.2">
      <c r="B6" s="11"/>
      <c r="C6" s="10" t="s">
        <v>77</v>
      </c>
      <c r="D6" s="11" t="s">
        <v>156</v>
      </c>
      <c r="E6" s="44">
        <v>2750</v>
      </c>
      <c r="F6" s="21">
        <v>500</v>
      </c>
      <c r="G6" s="21">
        <f>+F6*E6</f>
        <v>1375000</v>
      </c>
      <c r="H6" s="12"/>
      <c r="I6" s="7"/>
    </row>
    <row r="7" spans="2:13" ht="46.55" customHeight="1" x14ac:dyDescent="0.2">
      <c r="B7" s="11"/>
      <c r="C7" s="10" t="s">
        <v>157</v>
      </c>
      <c r="D7" s="11" t="s">
        <v>12</v>
      </c>
      <c r="E7" s="44">
        <f>4*55</f>
        <v>220</v>
      </c>
      <c r="F7" s="21">
        <v>500</v>
      </c>
      <c r="G7" s="21">
        <f>+F7*E7</f>
        <v>110000</v>
      </c>
      <c r="H7" s="12"/>
      <c r="I7" s="7"/>
    </row>
    <row r="8" spans="2:13" ht="34.5" customHeight="1" x14ac:dyDescent="0.2">
      <c r="B8" s="11"/>
      <c r="C8" s="10" t="s">
        <v>145</v>
      </c>
      <c r="D8" s="11"/>
      <c r="E8" s="12"/>
      <c r="F8" s="11"/>
      <c r="G8" s="21">
        <f>SUM(G6:G7)*30%</f>
        <v>445500</v>
      </c>
      <c r="H8" s="12"/>
      <c r="I8" s="7"/>
    </row>
    <row r="9" spans="2:13" s="4" customFormat="1" ht="26.35" customHeight="1" x14ac:dyDescent="0.25">
      <c r="B9" s="38"/>
      <c r="C9" s="38" t="s">
        <v>6</v>
      </c>
      <c r="D9" s="38"/>
      <c r="E9" s="13"/>
      <c r="F9" s="13"/>
      <c r="G9" s="22">
        <f>+G8+G6</f>
        <v>1820500</v>
      </c>
      <c r="H9" s="38"/>
      <c r="I9" s="11"/>
    </row>
    <row r="10" spans="2:13" s="2" customFormat="1" ht="24.8" customHeight="1" x14ac:dyDescent="0.25">
      <c r="B10" s="14"/>
      <c r="C10" s="113" t="s">
        <v>158</v>
      </c>
      <c r="D10" s="14"/>
      <c r="E10" s="16"/>
      <c r="F10" s="16"/>
      <c r="G10" s="25">
        <f>G9/F6</f>
        <v>3641</v>
      </c>
      <c r="H10" s="17"/>
      <c r="I10" s="14"/>
    </row>
    <row r="11" spans="2:13" s="2" customFormat="1" ht="21.75" customHeight="1" x14ac:dyDescent="0.25">
      <c r="B11" s="4" t="s">
        <v>8</v>
      </c>
      <c r="C11" s="6" t="s">
        <v>9</v>
      </c>
      <c r="D11" s="3"/>
      <c r="I11" s="3"/>
    </row>
    <row r="12" spans="2:13" s="2" customFormat="1" ht="21.75" customHeight="1" x14ac:dyDescent="0.25">
      <c r="B12" s="3"/>
      <c r="D12" s="3"/>
      <c r="I12" s="3"/>
    </row>
    <row r="13" spans="2:13" s="2" customFormat="1" ht="21.75" customHeight="1" x14ac:dyDescent="0.25">
      <c r="B13" s="3"/>
      <c r="D13" s="3"/>
      <c r="I13" s="3"/>
    </row>
    <row r="14" spans="2:13" s="2" customFormat="1" ht="21.75" customHeight="1" x14ac:dyDescent="0.25">
      <c r="B14" s="3"/>
      <c r="D14" s="3"/>
      <c r="I14" s="3"/>
    </row>
    <row r="15" spans="2:13" s="2" customFormat="1" ht="21.75" customHeight="1" x14ac:dyDescent="0.25">
      <c r="B15" s="3"/>
      <c r="D15" s="3"/>
      <c r="I15" s="3"/>
    </row>
    <row r="16" spans="2:13" s="2" customFormat="1" ht="21.75" customHeight="1" x14ac:dyDescent="0.25">
      <c r="B16" s="3"/>
      <c r="D16" s="3"/>
      <c r="I16" s="3"/>
    </row>
    <row r="17" spans="2:9" s="2" customFormat="1" ht="21.75" customHeight="1" x14ac:dyDescent="0.25">
      <c r="B17" s="3"/>
      <c r="D17" s="3"/>
      <c r="I17" s="3"/>
    </row>
    <row r="18" spans="2:9" s="2" customFormat="1" ht="21.75" customHeight="1" x14ac:dyDescent="0.25">
      <c r="B18" s="3"/>
      <c r="D18" s="3"/>
      <c r="I18" s="3"/>
    </row>
    <row r="19" spans="2:9" s="2" customFormat="1" ht="21.75" customHeight="1" x14ac:dyDescent="0.25">
      <c r="B19" s="3"/>
      <c r="D19" s="3"/>
      <c r="I19" s="3"/>
    </row>
    <row r="20" spans="2:9" s="2" customFormat="1" ht="21.75" customHeight="1" x14ac:dyDescent="0.25">
      <c r="B20" s="3"/>
      <c r="D20" s="3"/>
      <c r="I20" s="3"/>
    </row>
    <row r="21" spans="2:9" s="2" customFormat="1" ht="21.75" customHeight="1" x14ac:dyDescent="0.25">
      <c r="B21" s="3"/>
      <c r="D21" s="3"/>
      <c r="I21" s="3"/>
    </row>
  </sheetData>
  <mergeCells count="4">
    <mergeCell ref="B2:B3"/>
    <mergeCell ref="C2:H2"/>
    <mergeCell ref="I2:I3"/>
    <mergeCell ref="C3:H3"/>
  </mergeCells>
  <printOptions horizontalCentered="1"/>
  <pageMargins left="0.11811023622047245" right="0.11811023622047245" top="0.70866141732283472" bottom="0.11811023622047245" header="0.11811023622047245" footer="0.11811023622047245"/>
  <pageSetup paperSize="9" scale="98" fitToHeight="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1:H22"/>
  <sheetViews>
    <sheetView topLeftCell="A2" workbookViewId="0">
      <selection activeCell="D2" sqref="D2:H22"/>
    </sheetView>
  </sheetViews>
  <sheetFormatPr defaultColWidth="9.125" defaultRowHeight="13.6" x14ac:dyDescent="0.2"/>
  <cols>
    <col min="1" max="3" width="9.125" style="26"/>
    <col min="4" max="4" width="5.875" style="26" customWidth="1"/>
    <col min="5" max="5" width="53.375" style="26" customWidth="1"/>
    <col min="6" max="8" width="17.875" style="26" customWidth="1"/>
    <col min="9" max="16384" width="9.125" style="26"/>
  </cols>
  <sheetData>
    <row r="1" spans="4:8" ht="14.3" thickBot="1" x14ac:dyDescent="0.25"/>
    <row r="2" spans="4:8" ht="30.75" customHeight="1" thickBot="1" x14ac:dyDescent="0.25">
      <c r="D2" s="175" t="s">
        <v>57</v>
      </c>
      <c r="E2" s="176"/>
      <c r="F2" s="176"/>
      <c r="G2" s="176"/>
      <c r="H2" s="177"/>
    </row>
    <row r="3" spans="4:8" ht="18.7" customHeight="1" x14ac:dyDescent="0.2">
      <c r="D3" s="28"/>
      <c r="E3" s="29" t="s">
        <v>33</v>
      </c>
      <c r="F3" s="29" t="s">
        <v>3</v>
      </c>
      <c r="G3" s="52" t="s">
        <v>34</v>
      </c>
      <c r="H3" s="53" t="s">
        <v>35</v>
      </c>
    </row>
    <row r="4" spans="4:8" ht="36" customHeight="1" x14ac:dyDescent="0.2">
      <c r="D4" s="37">
        <v>1</v>
      </c>
      <c r="E4" s="27" t="s">
        <v>36</v>
      </c>
      <c r="F4" s="34" t="s">
        <v>37</v>
      </c>
      <c r="G4" s="35">
        <v>2500</v>
      </c>
      <c r="H4" s="30"/>
    </row>
    <row r="5" spans="4:8" ht="36" customHeight="1" x14ac:dyDescent="0.2">
      <c r="D5" s="37">
        <v>2</v>
      </c>
      <c r="E5" s="27" t="s">
        <v>38</v>
      </c>
      <c r="F5" s="34" t="s">
        <v>37</v>
      </c>
      <c r="G5" s="36">
        <v>400</v>
      </c>
      <c r="H5" s="30"/>
    </row>
    <row r="6" spans="4:8" ht="36" customHeight="1" x14ac:dyDescent="0.2">
      <c r="D6" s="37">
        <v>3</v>
      </c>
      <c r="E6" s="27" t="s">
        <v>39</v>
      </c>
      <c r="F6" s="34" t="s">
        <v>40</v>
      </c>
      <c r="G6" s="36">
        <v>400</v>
      </c>
      <c r="H6" s="30"/>
    </row>
    <row r="7" spans="4:8" ht="36" customHeight="1" x14ac:dyDescent="0.2">
      <c r="D7" s="37">
        <v>4</v>
      </c>
      <c r="E7" s="27" t="s">
        <v>41</v>
      </c>
      <c r="F7" s="34" t="s">
        <v>40</v>
      </c>
      <c r="G7" s="36">
        <v>900</v>
      </c>
      <c r="H7" s="30"/>
    </row>
    <row r="8" spans="4:8" ht="36" customHeight="1" x14ac:dyDescent="0.2">
      <c r="D8" s="37">
        <v>5</v>
      </c>
      <c r="E8" s="27" t="s">
        <v>42</v>
      </c>
      <c r="F8" s="34" t="s">
        <v>40</v>
      </c>
      <c r="G8" s="35">
        <v>1000</v>
      </c>
      <c r="H8" s="30"/>
    </row>
    <row r="9" spans="4:8" ht="36" customHeight="1" x14ac:dyDescent="0.2">
      <c r="D9" s="37">
        <v>6</v>
      </c>
      <c r="E9" s="27" t="s">
        <v>43</v>
      </c>
      <c r="F9" s="34" t="s">
        <v>40</v>
      </c>
      <c r="G9" s="36">
        <v>600</v>
      </c>
      <c r="H9" s="30"/>
    </row>
    <row r="10" spans="4:8" ht="36" customHeight="1" x14ac:dyDescent="0.2">
      <c r="D10" s="37">
        <v>7</v>
      </c>
      <c r="E10" s="27" t="s">
        <v>44</v>
      </c>
      <c r="F10" s="34" t="s">
        <v>45</v>
      </c>
      <c r="G10" s="35">
        <v>1000</v>
      </c>
      <c r="H10" s="30"/>
    </row>
    <row r="11" spans="4:8" ht="36" customHeight="1" x14ac:dyDescent="0.2">
      <c r="D11" s="37">
        <v>8</v>
      </c>
      <c r="E11" s="27" t="s">
        <v>46</v>
      </c>
      <c r="F11" s="34" t="s">
        <v>45</v>
      </c>
      <c r="G11" s="35">
        <v>1000</v>
      </c>
      <c r="H11" s="30"/>
    </row>
    <row r="12" spans="4:8" ht="36" customHeight="1" x14ac:dyDescent="0.2">
      <c r="D12" s="37">
        <v>9</v>
      </c>
      <c r="E12" s="27" t="s">
        <v>47</v>
      </c>
      <c r="F12" s="34" t="s">
        <v>40</v>
      </c>
      <c r="G12" s="36">
        <v>240</v>
      </c>
      <c r="H12" s="30"/>
    </row>
    <row r="13" spans="4:8" ht="36" customHeight="1" x14ac:dyDescent="0.2">
      <c r="D13" s="37">
        <v>10</v>
      </c>
      <c r="E13" s="27" t="s">
        <v>48</v>
      </c>
      <c r="F13" s="34" t="s">
        <v>40</v>
      </c>
      <c r="G13" s="35">
        <v>18000</v>
      </c>
      <c r="H13" s="30"/>
    </row>
    <row r="14" spans="4:8" ht="36" customHeight="1" x14ac:dyDescent="0.2">
      <c r="D14" s="37">
        <v>11</v>
      </c>
      <c r="E14" s="27" t="s">
        <v>49</v>
      </c>
      <c r="F14" s="34" t="s">
        <v>40</v>
      </c>
      <c r="G14" s="35">
        <v>14000</v>
      </c>
      <c r="H14" s="30"/>
    </row>
    <row r="15" spans="4:8" ht="36" customHeight="1" x14ac:dyDescent="0.2">
      <c r="D15" s="37">
        <v>12</v>
      </c>
      <c r="E15" s="27" t="s">
        <v>50</v>
      </c>
      <c r="F15" s="34" t="s">
        <v>45</v>
      </c>
      <c r="G15" s="35">
        <v>6000</v>
      </c>
      <c r="H15" s="30"/>
    </row>
    <row r="16" spans="4:8" ht="36" customHeight="1" x14ac:dyDescent="0.2">
      <c r="D16" s="37">
        <v>13</v>
      </c>
      <c r="E16" s="27" t="s">
        <v>51</v>
      </c>
      <c r="F16" s="34" t="s">
        <v>37</v>
      </c>
      <c r="G16" s="35">
        <v>5000</v>
      </c>
      <c r="H16" s="30"/>
    </row>
    <row r="17" spans="4:8" ht="36" customHeight="1" x14ac:dyDescent="0.2">
      <c r="D17" s="37">
        <v>14</v>
      </c>
      <c r="E17" s="27" t="s">
        <v>52</v>
      </c>
      <c r="F17" s="34" t="s">
        <v>45</v>
      </c>
      <c r="G17" s="36">
        <v>70</v>
      </c>
      <c r="H17" s="30"/>
    </row>
    <row r="18" spans="4:8" ht="36" customHeight="1" x14ac:dyDescent="0.2">
      <c r="D18" s="37">
        <v>15</v>
      </c>
      <c r="E18" s="27" t="s">
        <v>53</v>
      </c>
      <c r="F18" s="34" t="s">
        <v>45</v>
      </c>
      <c r="G18" s="36">
        <v>100</v>
      </c>
      <c r="H18" s="30"/>
    </row>
    <row r="19" spans="4:8" ht="36" customHeight="1" x14ac:dyDescent="0.2">
      <c r="D19" s="37">
        <v>16</v>
      </c>
      <c r="E19" s="27" t="s">
        <v>54</v>
      </c>
      <c r="F19" s="34" t="s">
        <v>45</v>
      </c>
      <c r="G19" s="36">
        <v>100</v>
      </c>
      <c r="H19" s="30"/>
    </row>
    <row r="20" spans="4:8" ht="36" customHeight="1" x14ac:dyDescent="0.2">
      <c r="D20" s="37">
        <v>17</v>
      </c>
      <c r="E20" s="27" t="s">
        <v>55</v>
      </c>
      <c r="F20" s="34" t="s">
        <v>56</v>
      </c>
      <c r="G20" s="36">
        <v>50</v>
      </c>
      <c r="H20" s="30"/>
    </row>
    <row r="21" spans="4:8" ht="36" customHeight="1" x14ac:dyDescent="0.2">
      <c r="D21" s="37">
        <v>18</v>
      </c>
      <c r="E21" s="27" t="s">
        <v>58</v>
      </c>
      <c r="F21" s="34" t="s">
        <v>56</v>
      </c>
      <c r="G21" s="35">
        <v>50000</v>
      </c>
      <c r="H21" s="30"/>
    </row>
    <row r="22" spans="4:8" ht="23.3" customHeight="1" thickBot="1" x14ac:dyDescent="0.25">
      <c r="D22" s="31"/>
      <c r="E22" s="32"/>
      <c r="F22" s="32"/>
      <c r="G22" s="32"/>
      <c r="H22" s="33"/>
    </row>
  </sheetData>
  <mergeCells count="1">
    <mergeCell ref="D2:H2"/>
  </mergeCells>
  <pageMargins left="0.25" right="0.25" top="0.75" bottom="0.75" header="0.3" footer="0.3"/>
  <pageSetup paperSize="9" scale="7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6"/>
  <sheetViews>
    <sheetView showGridLines="0" tabSelected="1" view="pageBreakPreview" zoomScaleNormal="100" zoomScaleSheetLayoutView="100" workbookViewId="0">
      <selection activeCell="L6" sqref="L6"/>
    </sheetView>
  </sheetViews>
  <sheetFormatPr defaultColWidth="9.125" defaultRowHeight="12.9" x14ac:dyDescent="0.2"/>
  <cols>
    <col min="1" max="1" width="9.125" style="1" customWidth="1"/>
    <col min="2" max="2" width="9.625" style="5" customWidth="1"/>
    <col min="3" max="3" width="47.625" style="1" customWidth="1"/>
    <col min="4" max="4" width="7.125" style="5" customWidth="1"/>
    <col min="5" max="5" width="12" style="1" customWidth="1"/>
    <col min="6" max="6" width="9.75" style="1" customWidth="1"/>
    <col min="7" max="7" width="14.25" style="1" bestFit="1" customWidth="1"/>
    <col min="8" max="8" width="23.25" style="1" customWidth="1"/>
    <col min="9" max="9" width="12.125" style="5" customWidth="1"/>
    <col min="10" max="10" width="16.125" style="1" customWidth="1"/>
    <col min="11" max="11" width="12.375" style="1" bestFit="1" customWidth="1"/>
    <col min="12" max="16384" width="9.125" style="1"/>
  </cols>
  <sheetData>
    <row r="1" spans="2:12" ht="7.5" customHeight="1" thickBot="1" x14ac:dyDescent="0.25"/>
    <row r="2" spans="2:12" ht="23.95" customHeight="1" x14ac:dyDescent="0.2">
      <c r="B2" s="161"/>
      <c r="C2" s="163" t="s">
        <v>10</v>
      </c>
      <c r="D2" s="163"/>
      <c r="E2" s="163"/>
      <c r="F2" s="163"/>
      <c r="G2" s="163"/>
      <c r="H2" s="163"/>
      <c r="I2" s="184"/>
    </row>
    <row r="3" spans="2:12" ht="38.25" customHeight="1" x14ac:dyDescent="0.2">
      <c r="B3" s="162"/>
      <c r="C3" s="178" t="s">
        <v>11</v>
      </c>
      <c r="D3" s="178"/>
      <c r="E3" s="178"/>
      <c r="F3" s="178"/>
      <c r="G3" s="178"/>
      <c r="H3" s="178"/>
      <c r="I3" s="185"/>
      <c r="L3" s="20"/>
    </row>
    <row r="4" spans="2:12" s="4" customFormat="1" ht="41.3" customHeight="1" x14ac:dyDescent="0.25">
      <c r="B4" s="78" t="s">
        <v>1</v>
      </c>
      <c r="C4" s="152" t="s">
        <v>2</v>
      </c>
      <c r="D4" s="152" t="s">
        <v>3</v>
      </c>
      <c r="E4" s="9" t="s">
        <v>22</v>
      </c>
      <c r="F4" s="9" t="s">
        <v>23</v>
      </c>
      <c r="G4" s="9" t="s">
        <v>79</v>
      </c>
      <c r="H4" s="9" t="s">
        <v>5</v>
      </c>
      <c r="I4" s="79" t="s">
        <v>228</v>
      </c>
    </row>
    <row r="5" spans="2:12" s="4" customFormat="1" ht="24.8" customHeight="1" x14ac:dyDescent="0.25">
      <c r="B5" s="78">
        <v>1</v>
      </c>
      <c r="C5" s="18" t="s">
        <v>16</v>
      </c>
      <c r="D5" s="152"/>
      <c r="E5" s="9"/>
      <c r="F5" s="9"/>
      <c r="G5" s="9"/>
      <c r="H5" s="9"/>
      <c r="I5" s="198"/>
    </row>
    <row r="6" spans="2:12" ht="98.5" customHeight="1" x14ac:dyDescent="0.2">
      <c r="B6" s="80"/>
      <c r="C6" s="10" t="s">
        <v>135</v>
      </c>
      <c r="D6" s="11" t="s">
        <v>0</v>
      </c>
      <c r="E6" s="44">
        <v>3339</v>
      </c>
      <c r="F6" s="21">
        <v>2500</v>
      </c>
      <c r="G6" s="21">
        <f>F6*E6</f>
        <v>8347500</v>
      </c>
      <c r="H6" s="10" t="s">
        <v>134</v>
      </c>
      <c r="I6" s="207"/>
    </row>
    <row r="7" spans="2:12" ht="16.3" customHeight="1" x14ac:dyDescent="0.2">
      <c r="B7" s="80"/>
      <c r="C7" s="151" t="s">
        <v>215</v>
      </c>
      <c r="D7" s="11"/>
      <c r="E7" s="44"/>
      <c r="F7" s="21"/>
      <c r="G7" s="21"/>
      <c r="H7" s="10"/>
      <c r="I7" s="207">
        <v>2016</v>
      </c>
    </row>
    <row r="8" spans="2:12" ht="16.3" customHeight="1" x14ac:dyDescent="0.2">
      <c r="B8" s="80"/>
      <c r="C8" s="151" t="s">
        <v>216</v>
      </c>
      <c r="D8" s="11"/>
      <c r="E8" s="44"/>
      <c r="F8" s="21"/>
      <c r="G8" s="21"/>
      <c r="H8" s="10"/>
      <c r="I8" s="207">
        <v>550</v>
      </c>
    </row>
    <row r="9" spans="2:12" ht="16.3" customHeight="1" x14ac:dyDescent="0.2">
      <c r="B9" s="80"/>
      <c r="C9" s="151" t="s">
        <v>217</v>
      </c>
      <c r="D9" s="11"/>
      <c r="E9" s="44"/>
      <c r="F9" s="21"/>
      <c r="G9" s="21"/>
      <c r="H9" s="10"/>
      <c r="I9" s="207">
        <v>250</v>
      </c>
    </row>
    <row r="10" spans="2:12" ht="16.3" customHeight="1" x14ac:dyDescent="0.2">
      <c r="B10" s="80"/>
      <c r="C10" s="151" t="s">
        <v>218</v>
      </c>
      <c r="D10" s="11"/>
      <c r="E10" s="44"/>
      <c r="F10" s="21"/>
      <c r="G10" s="21"/>
      <c r="H10" s="10"/>
      <c r="I10" s="207">
        <v>1380</v>
      </c>
    </row>
    <row r="11" spans="2:12" ht="16.3" customHeight="1" x14ac:dyDescent="0.2">
      <c r="B11" s="80"/>
      <c r="C11" s="151" t="s">
        <v>230</v>
      </c>
      <c r="D11" s="11"/>
      <c r="E11" s="44"/>
      <c r="F11" s="21"/>
      <c r="G11" s="21"/>
      <c r="H11" s="10"/>
      <c r="I11" s="208">
        <f>ROUND(SUM(I7:I10),0)</f>
        <v>4196</v>
      </c>
    </row>
    <row r="12" spans="2:12" ht="16.3" customHeight="1" x14ac:dyDescent="0.2">
      <c r="B12" s="80"/>
      <c r="C12" s="151" t="s">
        <v>229</v>
      </c>
      <c r="D12" s="11"/>
      <c r="E12" s="44"/>
      <c r="F12" s="21"/>
      <c r="G12" s="21"/>
      <c r="H12" s="10"/>
      <c r="I12" s="207">
        <f>ROUND(I11*10%,0)</f>
        <v>420</v>
      </c>
    </row>
    <row r="13" spans="2:12" ht="16.3" customHeight="1" x14ac:dyDescent="0.2">
      <c r="B13" s="80"/>
      <c r="C13" s="151" t="s">
        <v>232</v>
      </c>
      <c r="D13" s="11"/>
      <c r="E13" s="44"/>
      <c r="F13" s="21"/>
      <c r="G13" s="21"/>
      <c r="H13" s="10"/>
      <c r="I13" s="207">
        <f>ROUND(I11*20%,0)</f>
        <v>839</v>
      </c>
    </row>
    <row r="14" spans="2:12" s="2" customFormat="1" ht="30.75" customHeight="1" x14ac:dyDescent="0.25">
      <c r="B14" s="81"/>
      <c r="C14" s="15" t="s">
        <v>13</v>
      </c>
      <c r="D14" s="14"/>
      <c r="E14" s="16"/>
      <c r="F14" s="16"/>
      <c r="G14" s="25">
        <f>E6</f>
        <v>3339</v>
      </c>
      <c r="H14" s="17"/>
      <c r="I14" s="209">
        <f>SUM(I11:I13)</f>
        <v>5455</v>
      </c>
    </row>
    <row r="15" spans="2:12" s="2" customFormat="1" ht="5.0999999999999996" customHeight="1" x14ac:dyDescent="0.25">
      <c r="B15" s="82"/>
      <c r="C15" s="83"/>
      <c r="D15" s="84"/>
      <c r="E15" s="83"/>
      <c r="F15" s="83"/>
      <c r="G15" s="83"/>
      <c r="H15" s="83"/>
      <c r="I15" s="85"/>
    </row>
    <row r="16" spans="2:12" s="2" customFormat="1" ht="21.75" customHeight="1" thickBot="1" x14ac:dyDescent="0.3">
      <c r="B16" s="86" t="s">
        <v>8</v>
      </c>
      <c r="C16" s="87" t="s">
        <v>9</v>
      </c>
      <c r="D16" s="88"/>
      <c r="E16" s="89"/>
      <c r="F16" s="89"/>
      <c r="G16" s="89"/>
      <c r="H16" s="179"/>
      <c r="I16" s="186"/>
    </row>
    <row r="17" spans="2:9" s="2" customFormat="1" ht="21.75" customHeight="1" x14ac:dyDescent="0.25">
      <c r="B17" s="3"/>
      <c r="D17" s="3"/>
      <c r="I17" s="3"/>
    </row>
    <row r="18" spans="2:9" s="2" customFormat="1" ht="21.75" customHeight="1" x14ac:dyDescent="0.25">
      <c r="B18" s="3"/>
      <c r="D18" s="3"/>
      <c r="I18" s="3"/>
    </row>
    <row r="19" spans="2:9" s="2" customFormat="1" ht="21.75" customHeight="1" x14ac:dyDescent="0.25">
      <c r="B19" s="3"/>
      <c r="D19" s="3"/>
      <c r="I19" s="3"/>
    </row>
    <row r="20" spans="2:9" s="2" customFormat="1" ht="21.75" customHeight="1" x14ac:dyDescent="0.25">
      <c r="B20" s="3"/>
      <c r="D20" s="3"/>
      <c r="I20" s="3"/>
    </row>
    <row r="21" spans="2:9" s="2" customFormat="1" ht="21.75" customHeight="1" x14ac:dyDescent="0.25">
      <c r="B21" s="3"/>
      <c r="D21" s="3"/>
      <c r="I21" s="3"/>
    </row>
    <row r="22" spans="2:9" s="2" customFormat="1" ht="21.75" customHeight="1" x14ac:dyDescent="0.25">
      <c r="B22" s="3"/>
      <c r="D22" s="3"/>
      <c r="I22" s="3"/>
    </row>
    <row r="23" spans="2:9" s="2" customFormat="1" ht="21.75" customHeight="1" x14ac:dyDescent="0.25">
      <c r="B23" s="3"/>
      <c r="D23" s="3"/>
      <c r="I23" s="3"/>
    </row>
    <row r="24" spans="2:9" s="2" customFormat="1" ht="21.75" customHeight="1" x14ac:dyDescent="0.25">
      <c r="B24" s="3"/>
      <c r="D24" s="3"/>
      <c r="I24" s="3"/>
    </row>
    <row r="25" spans="2:9" s="2" customFormat="1" ht="21.75" customHeight="1" x14ac:dyDescent="0.25">
      <c r="B25" s="3"/>
      <c r="D25" s="3"/>
      <c r="I25" s="3"/>
    </row>
    <row r="26" spans="2:9" s="2" customFormat="1" ht="21.75" customHeight="1" x14ac:dyDescent="0.25">
      <c r="B26" s="3"/>
      <c r="D26" s="3"/>
      <c r="I26" s="3"/>
    </row>
  </sheetData>
  <mergeCells count="4">
    <mergeCell ref="H16:I16"/>
    <mergeCell ref="B2:B3"/>
    <mergeCell ref="C2:I2"/>
    <mergeCell ref="C3:I3"/>
  </mergeCells>
  <printOptions horizontalCentered="1"/>
  <pageMargins left="0.11811023622047245" right="0.11811023622047245" top="0.70866141732283472" bottom="0.11811023622047245" header="0.11811023622047245" footer="0.11811023622047245"/>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3"/>
  <sheetViews>
    <sheetView showGridLines="0" zoomScaleNormal="100" workbookViewId="0">
      <selection activeCell="I6" sqref="I6:I14"/>
    </sheetView>
  </sheetViews>
  <sheetFormatPr defaultColWidth="9.125" defaultRowHeight="12.9" x14ac:dyDescent="0.2"/>
  <cols>
    <col min="1" max="1" width="9.125" style="1" customWidth="1"/>
    <col min="2" max="2" width="9.625" style="5" customWidth="1"/>
    <col min="3" max="3" width="59.875" style="1" customWidth="1"/>
    <col min="4" max="4" width="7.125" style="5" customWidth="1"/>
    <col min="5" max="5" width="11.25" style="1" customWidth="1"/>
    <col min="6" max="6" width="11.375" style="1" customWidth="1"/>
    <col min="7" max="7" width="12.625" style="1" customWidth="1"/>
    <col min="8" max="8" width="31.5" style="1" bestFit="1" customWidth="1"/>
    <col min="9" max="9" width="12.125" style="5" customWidth="1"/>
    <col min="10" max="10" width="12.875" style="1" customWidth="1"/>
    <col min="11" max="11" width="16.125" style="1" customWidth="1"/>
    <col min="12" max="12" width="12.375" style="1" bestFit="1" customWidth="1"/>
    <col min="13" max="16384" width="9.125" style="1"/>
  </cols>
  <sheetData>
    <row r="1" spans="2:13" ht="7.5" customHeight="1" thickBot="1" x14ac:dyDescent="0.25"/>
    <row r="2" spans="2:13" ht="23.95" customHeight="1" x14ac:dyDescent="0.2">
      <c r="B2" s="161"/>
      <c r="C2" s="163" t="s">
        <v>10</v>
      </c>
      <c r="D2" s="163"/>
      <c r="E2" s="163"/>
      <c r="F2" s="163"/>
      <c r="G2" s="163"/>
      <c r="H2" s="163"/>
      <c r="I2" s="164"/>
    </row>
    <row r="3" spans="2:13" ht="30.1" customHeight="1" x14ac:dyDescent="0.2">
      <c r="B3" s="162"/>
      <c r="C3" s="166" t="s">
        <v>11</v>
      </c>
      <c r="D3" s="167"/>
      <c r="E3" s="167"/>
      <c r="F3" s="167"/>
      <c r="G3" s="167"/>
      <c r="H3" s="168"/>
      <c r="I3" s="165"/>
      <c r="M3" s="20"/>
    </row>
    <row r="4" spans="2:13" s="4" customFormat="1" ht="41.3" customHeight="1" x14ac:dyDescent="0.25">
      <c r="B4" s="78" t="s">
        <v>1</v>
      </c>
      <c r="C4" s="152" t="s">
        <v>2</v>
      </c>
      <c r="D4" s="152" t="s">
        <v>3</v>
      </c>
      <c r="E4" s="9" t="s">
        <v>4</v>
      </c>
      <c r="F4" s="9" t="s">
        <v>14</v>
      </c>
      <c r="G4" s="9" t="s">
        <v>15</v>
      </c>
      <c r="H4" s="9" t="s">
        <v>5</v>
      </c>
      <c r="I4" s="79" t="s">
        <v>228</v>
      </c>
    </row>
    <row r="5" spans="2:13" s="4" customFormat="1" ht="24.8" customHeight="1" x14ac:dyDescent="0.25">
      <c r="B5" s="78"/>
      <c r="C5" s="18" t="s">
        <v>17</v>
      </c>
      <c r="D5" s="152"/>
      <c r="E5" s="9"/>
      <c r="F5" s="9"/>
      <c r="G5" s="9"/>
      <c r="H5" s="9"/>
      <c r="I5" s="79"/>
    </row>
    <row r="6" spans="2:13" ht="54" customHeight="1" x14ac:dyDescent="0.2">
      <c r="B6" s="80"/>
      <c r="C6" s="10" t="s">
        <v>136</v>
      </c>
      <c r="D6" s="11" t="s">
        <v>0</v>
      </c>
      <c r="E6" s="108">
        <f>1.5*(1076*105%)</f>
        <v>1694.6999999999998</v>
      </c>
      <c r="F6" s="11">
        <v>400</v>
      </c>
      <c r="G6" s="21">
        <f>F6*E6</f>
        <v>677879.99999999988</v>
      </c>
      <c r="H6" s="12" t="s">
        <v>137</v>
      </c>
      <c r="I6" s="200">
        <v>1980</v>
      </c>
    </row>
    <row r="7" spans="2:13" ht="36" customHeight="1" x14ac:dyDescent="0.2">
      <c r="B7" s="80"/>
      <c r="C7" s="10" t="s">
        <v>138</v>
      </c>
      <c r="D7" s="11" t="s">
        <v>0</v>
      </c>
      <c r="E7" s="12">
        <v>500</v>
      </c>
      <c r="F7" s="11">
        <v>400</v>
      </c>
      <c r="G7" s="21">
        <f>F7*E7</f>
        <v>200000</v>
      </c>
      <c r="H7" s="12"/>
      <c r="I7" s="200"/>
    </row>
    <row r="8" spans="2:13" ht="36" customHeight="1" x14ac:dyDescent="0.2">
      <c r="B8" s="80"/>
      <c r="C8" s="10" t="s">
        <v>146</v>
      </c>
      <c r="D8" s="11" t="s">
        <v>0</v>
      </c>
      <c r="E8" s="108">
        <f>+E6*20%</f>
        <v>338.94</v>
      </c>
      <c r="F8" s="11">
        <v>400</v>
      </c>
      <c r="G8" s="21">
        <f>F8*E8</f>
        <v>135576</v>
      </c>
      <c r="H8" s="12"/>
      <c r="I8" s="200"/>
    </row>
    <row r="9" spans="2:13" ht="36" customHeight="1" x14ac:dyDescent="0.2">
      <c r="B9" s="80"/>
      <c r="C9" s="151" t="s">
        <v>219</v>
      </c>
      <c r="D9" s="147"/>
      <c r="E9" s="148"/>
      <c r="F9" s="147"/>
      <c r="G9" s="149"/>
      <c r="H9" s="150"/>
      <c r="I9" s="204">
        <v>700</v>
      </c>
    </row>
    <row r="10" spans="2:13" ht="36" customHeight="1" x14ac:dyDescent="0.2">
      <c r="B10" s="80"/>
      <c r="C10" s="151" t="s">
        <v>231</v>
      </c>
      <c r="D10" s="147"/>
      <c r="E10" s="148"/>
      <c r="F10" s="147"/>
      <c r="G10" s="149"/>
      <c r="H10" s="150"/>
      <c r="I10" s="204">
        <v>825</v>
      </c>
    </row>
    <row r="11" spans="2:13" ht="36" customHeight="1" x14ac:dyDescent="0.2">
      <c r="B11" s="80"/>
      <c r="C11" s="75" t="s">
        <v>6</v>
      </c>
      <c r="D11" s="152"/>
      <c r="E11" s="76"/>
      <c r="F11" s="152"/>
      <c r="G11" s="22">
        <f>SUM(G6:G8)</f>
        <v>1013455.9999999999</v>
      </c>
      <c r="H11" s="8"/>
      <c r="I11" s="205">
        <f>SUM(I6:I10)</f>
        <v>3505</v>
      </c>
    </row>
    <row r="12" spans="2:13" ht="21.75" customHeight="1" x14ac:dyDescent="0.25">
      <c r="B12" s="80"/>
      <c r="C12" s="10" t="s">
        <v>144</v>
      </c>
      <c r="D12" s="11"/>
      <c r="E12" s="12"/>
      <c r="F12" s="11"/>
      <c r="G12" s="21">
        <f>G11*30%</f>
        <v>304036.79999999993</v>
      </c>
      <c r="H12" s="183" t="s">
        <v>233</v>
      </c>
      <c r="I12" s="200">
        <f>ROUND(I11*30%,0)</f>
        <v>1052</v>
      </c>
    </row>
    <row r="13" spans="2:13" ht="21.75" customHeight="1" x14ac:dyDescent="0.2">
      <c r="B13" s="80"/>
      <c r="C13" s="10" t="s">
        <v>139</v>
      </c>
      <c r="D13" s="11" t="s">
        <v>0</v>
      </c>
      <c r="E13" s="12"/>
      <c r="F13" s="11"/>
      <c r="G13" s="21">
        <f>G12+G11</f>
        <v>1317492.7999999998</v>
      </c>
      <c r="H13" s="8"/>
      <c r="I13" s="200"/>
    </row>
    <row r="14" spans="2:13" s="2" customFormat="1" ht="21.75" customHeight="1" thickBot="1" x14ac:dyDescent="0.3">
      <c r="B14" s="187"/>
      <c r="C14" s="96" t="s">
        <v>13</v>
      </c>
      <c r="D14" s="97"/>
      <c r="E14" s="98"/>
      <c r="F14" s="98"/>
      <c r="G14" s="99">
        <f>G13/F6</f>
        <v>3293.7319999999995</v>
      </c>
      <c r="H14" s="100"/>
      <c r="I14" s="206">
        <f>SUM(I11:I13)</f>
        <v>4557</v>
      </c>
    </row>
    <row r="15" spans="2:13" s="2" customFormat="1" ht="21.75" customHeight="1" x14ac:dyDescent="0.25">
      <c r="B15" s="4" t="s">
        <v>83</v>
      </c>
      <c r="C15" s="6" t="s">
        <v>9</v>
      </c>
      <c r="D15" s="4"/>
      <c r="I15" s="3"/>
    </row>
    <row r="16" spans="2:13" s="2" customFormat="1" ht="21.75" customHeight="1" x14ac:dyDescent="0.25">
      <c r="B16" s="3"/>
      <c r="D16" s="3"/>
      <c r="I16" s="3"/>
    </row>
    <row r="17" spans="2:9" s="2" customFormat="1" ht="21.75" customHeight="1" x14ac:dyDescent="0.25">
      <c r="B17" s="3"/>
      <c r="D17" s="3"/>
      <c r="I17" s="3"/>
    </row>
    <row r="18" spans="2:9" s="2" customFormat="1" ht="21.75" customHeight="1" x14ac:dyDescent="0.25">
      <c r="B18" s="3"/>
      <c r="D18" s="3"/>
      <c r="I18" s="3"/>
    </row>
    <row r="19" spans="2:9" s="2" customFormat="1" ht="21.75" customHeight="1" x14ac:dyDescent="0.25">
      <c r="B19" s="3"/>
      <c r="D19" s="3"/>
      <c r="I19" s="3"/>
    </row>
    <row r="20" spans="2:9" s="2" customFormat="1" ht="21.75" customHeight="1" x14ac:dyDescent="0.25">
      <c r="B20" s="3"/>
      <c r="D20" s="3"/>
      <c r="I20" s="3"/>
    </row>
    <row r="21" spans="2:9" s="2" customFormat="1" ht="21.75" customHeight="1" x14ac:dyDescent="0.25">
      <c r="B21" s="3"/>
      <c r="D21" s="3"/>
      <c r="I21" s="3"/>
    </row>
    <row r="22" spans="2:9" s="2" customFormat="1" ht="21.75" customHeight="1" x14ac:dyDescent="0.25">
      <c r="B22" s="3"/>
      <c r="D22" s="3"/>
      <c r="I22" s="3"/>
    </row>
    <row r="23" spans="2:9" s="2" customFormat="1" ht="21.75" customHeight="1" x14ac:dyDescent="0.25">
      <c r="B23" s="3"/>
      <c r="D23" s="3"/>
      <c r="I23" s="3"/>
    </row>
  </sheetData>
  <mergeCells count="4">
    <mergeCell ref="B2:B3"/>
    <mergeCell ref="C2:H2"/>
    <mergeCell ref="I2:I3"/>
    <mergeCell ref="C3:H3"/>
  </mergeCells>
  <printOptions horizontalCentered="1"/>
  <pageMargins left="0.11811023622047245" right="0.11811023622047245" top="0.70866141732283472" bottom="0.11811023622047245" header="0.11811023622047245" footer="0.11811023622047245"/>
  <pageSetup paperSize="9" scale="9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5"/>
  <sheetViews>
    <sheetView showGridLines="0" zoomScale="115" zoomScaleNormal="115" workbookViewId="0">
      <selection activeCell="C8" sqref="C8"/>
    </sheetView>
  </sheetViews>
  <sheetFormatPr defaultColWidth="9.125" defaultRowHeight="12.9" x14ac:dyDescent="0.2"/>
  <cols>
    <col min="1" max="1" width="9.125" style="1" customWidth="1"/>
    <col min="2" max="2" width="9.625" style="5" customWidth="1"/>
    <col min="3" max="3" width="59.875" style="1" customWidth="1"/>
    <col min="4" max="4" width="7.125" style="5" customWidth="1"/>
    <col min="5" max="5" width="11.25" style="1" customWidth="1"/>
    <col min="6" max="6" width="9.75" style="1" customWidth="1"/>
    <col min="7" max="7" width="14.25" style="1" customWidth="1"/>
    <col min="8" max="8" width="21.75" style="1" customWidth="1"/>
    <col min="9" max="9" width="12.125" style="5" customWidth="1"/>
    <col min="10" max="10" width="12.875" style="1" customWidth="1"/>
    <col min="11" max="11" width="16.125" style="1" customWidth="1"/>
    <col min="12" max="12" width="12.375" style="1" bestFit="1" customWidth="1"/>
    <col min="13" max="16384" width="9.125" style="1"/>
  </cols>
  <sheetData>
    <row r="1" spans="2:13" ht="7.5" customHeight="1" x14ac:dyDescent="0.2"/>
    <row r="2" spans="2:13" ht="23.95" customHeight="1" x14ac:dyDescent="0.2">
      <c r="B2" s="169"/>
      <c r="C2" s="171" t="s">
        <v>10</v>
      </c>
      <c r="D2" s="171"/>
      <c r="E2" s="171"/>
      <c r="F2" s="171"/>
      <c r="G2" s="171"/>
      <c r="H2" s="171"/>
      <c r="I2" s="169"/>
    </row>
    <row r="3" spans="2:13" ht="30.1" customHeight="1" x14ac:dyDescent="0.2">
      <c r="B3" s="170"/>
      <c r="C3" s="166" t="s">
        <v>11</v>
      </c>
      <c r="D3" s="167"/>
      <c r="E3" s="167"/>
      <c r="F3" s="167"/>
      <c r="G3" s="167"/>
      <c r="H3" s="168"/>
      <c r="I3" s="170"/>
      <c r="M3" s="20"/>
    </row>
    <row r="4" spans="2:13" s="4" customFormat="1" ht="41.3" customHeight="1" x14ac:dyDescent="0.25">
      <c r="B4" s="19" t="s">
        <v>1</v>
      </c>
      <c r="C4" s="19" t="s">
        <v>2</v>
      </c>
      <c r="D4" s="19" t="s">
        <v>3</v>
      </c>
      <c r="E4" s="9" t="s">
        <v>22</v>
      </c>
      <c r="F4" s="9" t="s">
        <v>23</v>
      </c>
      <c r="G4" s="9" t="s">
        <v>24</v>
      </c>
      <c r="H4" s="9" t="s">
        <v>5</v>
      </c>
      <c r="I4" s="19" t="s">
        <v>7</v>
      </c>
    </row>
    <row r="5" spans="2:13" s="4" customFormat="1" ht="24.8" customHeight="1" x14ac:dyDescent="0.25">
      <c r="B5" s="19">
        <v>3</v>
      </c>
      <c r="C5" s="18" t="s">
        <v>142</v>
      </c>
      <c r="D5" s="19"/>
      <c r="E5" s="9"/>
      <c r="F5" s="9"/>
      <c r="G5" s="9"/>
      <c r="H5" s="9"/>
      <c r="I5" s="19"/>
    </row>
    <row r="6" spans="2:13" ht="59.3" customHeight="1" x14ac:dyDescent="0.2">
      <c r="B6" s="11"/>
      <c r="C6" s="10" t="s">
        <v>141</v>
      </c>
      <c r="D6" s="11"/>
      <c r="E6" s="8"/>
      <c r="F6" s="11"/>
      <c r="G6" s="11"/>
      <c r="H6" s="8"/>
      <c r="I6" s="7"/>
    </row>
    <row r="7" spans="2:13" ht="29.25" customHeight="1" x14ac:dyDescent="0.2">
      <c r="B7" s="11"/>
      <c r="C7" s="10" t="s">
        <v>86</v>
      </c>
      <c r="D7" s="11" t="s">
        <v>12</v>
      </c>
      <c r="E7" s="12">
        <v>990</v>
      </c>
      <c r="F7" s="11">
        <v>400</v>
      </c>
      <c r="G7" s="21">
        <f>F7*E7</f>
        <v>396000</v>
      </c>
      <c r="H7" s="45" t="s">
        <v>89</v>
      </c>
      <c r="I7" s="7"/>
    </row>
    <row r="8" spans="2:13" ht="16.3" customHeight="1" x14ac:dyDescent="0.2">
      <c r="B8" s="11"/>
      <c r="C8" s="10" t="s">
        <v>84</v>
      </c>
      <c r="D8" s="11" t="s">
        <v>12</v>
      </c>
      <c r="E8" s="12">
        <v>495</v>
      </c>
      <c r="F8" s="11">
        <v>400</v>
      </c>
      <c r="G8" s="21">
        <f>F8*E8</f>
        <v>198000</v>
      </c>
      <c r="H8" s="8"/>
      <c r="I8" s="7"/>
    </row>
    <row r="9" spans="2:13" ht="16.3" customHeight="1" x14ac:dyDescent="0.2">
      <c r="B9" s="11"/>
      <c r="C9" s="10" t="s">
        <v>85</v>
      </c>
      <c r="D9" s="11" t="s">
        <v>12</v>
      </c>
      <c r="E9" s="12">
        <v>252</v>
      </c>
      <c r="F9" s="11">
        <v>400</v>
      </c>
      <c r="G9" s="21">
        <f>F9*E9</f>
        <v>100800</v>
      </c>
      <c r="H9" s="8"/>
      <c r="I9" s="7"/>
    </row>
    <row r="10" spans="2:13" ht="16.3" customHeight="1" x14ac:dyDescent="0.2">
      <c r="B10" s="11"/>
      <c r="C10" s="10" t="s">
        <v>88</v>
      </c>
      <c r="D10" s="11" t="s">
        <v>12</v>
      </c>
      <c r="E10" s="12">
        <f>3*55</f>
        <v>165</v>
      </c>
      <c r="F10" s="11">
        <v>400</v>
      </c>
      <c r="G10" s="21">
        <f>F10*E10</f>
        <v>66000</v>
      </c>
      <c r="H10" s="8"/>
      <c r="I10" s="7"/>
    </row>
    <row r="11" spans="2:13" ht="16.3" customHeight="1" x14ac:dyDescent="0.25">
      <c r="B11" s="11"/>
      <c r="C11" s="109" t="s">
        <v>6</v>
      </c>
      <c r="D11" s="77"/>
      <c r="E11" s="76"/>
      <c r="F11" s="77"/>
      <c r="G11" s="22">
        <f>SUM(G7:G10)</f>
        <v>760800</v>
      </c>
      <c r="H11" s="110"/>
      <c r="I11" s="7"/>
    </row>
    <row r="12" spans="2:13" ht="16.3" customHeight="1" x14ac:dyDescent="0.2">
      <c r="B12" s="11"/>
      <c r="C12" s="51" t="s">
        <v>145</v>
      </c>
      <c r="D12" s="11"/>
      <c r="E12" s="12"/>
      <c r="F12" s="11"/>
      <c r="G12" s="21">
        <f>G11*30%</f>
        <v>228240</v>
      </c>
      <c r="H12" s="8"/>
      <c r="I12" s="7"/>
    </row>
    <row r="13" spans="2:13" ht="16.3" customHeight="1" x14ac:dyDescent="0.2">
      <c r="B13" s="11"/>
      <c r="C13" s="51" t="s">
        <v>87</v>
      </c>
      <c r="D13" s="11"/>
      <c r="E13" s="12"/>
      <c r="F13" s="11"/>
      <c r="G13" s="22">
        <f>G12+G11</f>
        <v>989040</v>
      </c>
      <c r="H13" s="8"/>
      <c r="I13" s="7"/>
    </row>
    <row r="14" spans="2:13" s="2" customFormat="1" ht="21.75" customHeight="1" x14ac:dyDescent="0.25">
      <c r="B14" s="14"/>
      <c r="C14" s="15" t="s">
        <v>20</v>
      </c>
      <c r="D14" s="14"/>
      <c r="E14" s="16"/>
      <c r="F14" s="16"/>
      <c r="G14" s="16">
        <f>G13/400</f>
        <v>2472.6</v>
      </c>
      <c r="H14" s="17"/>
      <c r="I14" s="14"/>
    </row>
    <row r="15" spans="2:13" s="2" customFormat="1" ht="63.7" customHeight="1" x14ac:dyDescent="0.25">
      <c r="B15" s="46">
        <v>4</v>
      </c>
      <c r="C15" s="10" t="s">
        <v>140</v>
      </c>
      <c r="D15" s="46"/>
      <c r="E15" s="91"/>
      <c r="F15" s="91"/>
      <c r="G15" s="91"/>
      <c r="H15" s="92"/>
      <c r="I15" s="46"/>
    </row>
    <row r="16" spans="2:13" ht="17" customHeight="1" x14ac:dyDescent="0.2">
      <c r="B16" s="11"/>
      <c r="C16" s="10" t="s">
        <v>21</v>
      </c>
      <c r="D16" s="11" t="s">
        <v>12</v>
      </c>
      <c r="E16" s="12">
        <v>1300</v>
      </c>
      <c r="F16" s="11">
        <v>900</v>
      </c>
      <c r="G16" s="21">
        <f>F16*E16</f>
        <v>1170000</v>
      </c>
      <c r="H16" s="172" t="s">
        <v>89</v>
      </c>
      <c r="I16" s="7"/>
    </row>
    <row r="17" spans="2:9" ht="17" customHeight="1" x14ac:dyDescent="0.2">
      <c r="B17" s="11"/>
      <c r="C17" s="10" t="s">
        <v>84</v>
      </c>
      <c r="D17" s="11" t="s">
        <v>12</v>
      </c>
      <c r="E17" s="12">
        <v>640</v>
      </c>
      <c r="F17" s="11">
        <v>900</v>
      </c>
      <c r="G17" s="21">
        <f>F17*E17</f>
        <v>576000</v>
      </c>
      <c r="H17" s="173"/>
      <c r="I17" s="7"/>
    </row>
    <row r="18" spans="2:9" ht="17" customHeight="1" x14ac:dyDescent="0.2">
      <c r="B18" s="11"/>
      <c r="C18" s="10" t="s">
        <v>85</v>
      </c>
      <c r="D18" s="11" t="s">
        <v>12</v>
      </c>
      <c r="E18" s="12">
        <v>310</v>
      </c>
      <c r="F18" s="11">
        <v>900</v>
      </c>
      <c r="G18" s="21">
        <f>F18*E18</f>
        <v>279000</v>
      </c>
      <c r="H18" s="174"/>
      <c r="I18" s="7"/>
    </row>
    <row r="19" spans="2:9" ht="17" customHeight="1" x14ac:dyDescent="0.2">
      <c r="B19" s="11"/>
      <c r="C19" s="10" t="s">
        <v>88</v>
      </c>
      <c r="D19" s="11" t="s">
        <v>12</v>
      </c>
      <c r="E19" s="12">
        <f>3*55</f>
        <v>165</v>
      </c>
      <c r="F19" s="11">
        <v>900</v>
      </c>
      <c r="G19" s="21">
        <f>F19*E19</f>
        <v>148500</v>
      </c>
      <c r="H19" s="8"/>
      <c r="I19" s="7"/>
    </row>
    <row r="20" spans="2:9" ht="17" customHeight="1" x14ac:dyDescent="0.2">
      <c r="B20" s="11"/>
      <c r="C20" s="109" t="s">
        <v>147</v>
      </c>
      <c r="D20" s="11"/>
      <c r="E20" s="12"/>
      <c r="F20" s="11"/>
      <c r="G20" s="22">
        <f>SUM(G16:G19)</f>
        <v>2173500</v>
      </c>
      <c r="H20" s="8"/>
      <c r="I20" s="7"/>
    </row>
    <row r="21" spans="2:9" ht="17" customHeight="1" x14ac:dyDescent="0.2">
      <c r="B21" s="11"/>
      <c r="C21" s="51" t="s">
        <v>145</v>
      </c>
      <c r="D21" s="11"/>
      <c r="E21" s="12"/>
      <c r="F21" s="11"/>
      <c r="G21" s="21">
        <f>G20*30%</f>
        <v>652050</v>
      </c>
      <c r="H21" s="8"/>
      <c r="I21" s="7"/>
    </row>
    <row r="22" spans="2:9" ht="17" customHeight="1" x14ac:dyDescent="0.2">
      <c r="B22" s="11"/>
      <c r="C22" s="51" t="s">
        <v>148</v>
      </c>
      <c r="D22" s="11"/>
      <c r="E22" s="12"/>
      <c r="F22" s="11"/>
      <c r="G22" s="22">
        <f>G21+G20</f>
        <v>2825550</v>
      </c>
      <c r="H22" s="8"/>
      <c r="I22" s="7"/>
    </row>
    <row r="23" spans="2:9" s="2" customFormat="1" ht="17" customHeight="1" x14ac:dyDescent="0.25">
      <c r="B23" s="14"/>
      <c r="C23" s="15" t="s">
        <v>20</v>
      </c>
      <c r="D23" s="14"/>
      <c r="E23" s="16"/>
      <c r="F23" s="16"/>
      <c r="G23" s="16">
        <f>G22/900</f>
        <v>3139.5</v>
      </c>
      <c r="H23" s="17"/>
      <c r="I23" s="14"/>
    </row>
    <row r="24" spans="2:9" s="2" customFormat="1" ht="17" customHeight="1" x14ac:dyDescent="0.25">
      <c r="B24" s="3"/>
      <c r="D24" s="3"/>
      <c r="I24" s="3"/>
    </row>
    <row r="25" spans="2:9" s="2" customFormat="1" ht="17" customHeight="1" x14ac:dyDescent="0.25">
      <c r="B25" s="4" t="s">
        <v>8</v>
      </c>
      <c r="C25" s="6" t="s">
        <v>9</v>
      </c>
      <c r="D25" s="3"/>
      <c r="I25" s="3"/>
    </row>
    <row r="26" spans="2:9" s="2" customFormat="1" ht="21.75" customHeight="1" x14ac:dyDescent="0.25">
      <c r="B26" s="3"/>
      <c r="D26" s="3"/>
      <c r="I26" s="3"/>
    </row>
    <row r="27" spans="2:9" s="2" customFormat="1" ht="21.75" customHeight="1" x14ac:dyDescent="0.25">
      <c r="B27" s="3"/>
      <c r="D27" s="3"/>
      <c r="I27" s="3"/>
    </row>
    <row r="28" spans="2:9" s="2" customFormat="1" ht="21.75" customHeight="1" x14ac:dyDescent="0.25">
      <c r="B28" s="3"/>
      <c r="D28" s="3"/>
      <c r="I28" s="3"/>
    </row>
    <row r="29" spans="2:9" s="2" customFormat="1" ht="21.75" customHeight="1" x14ac:dyDescent="0.25">
      <c r="B29" s="3"/>
      <c r="D29" s="3"/>
      <c r="I29" s="3"/>
    </row>
    <row r="30" spans="2:9" s="2" customFormat="1" ht="21.75" customHeight="1" x14ac:dyDescent="0.25">
      <c r="B30" s="3"/>
      <c r="D30" s="3"/>
      <c r="I30" s="3"/>
    </row>
    <row r="31" spans="2:9" s="2" customFormat="1" ht="21.75" customHeight="1" x14ac:dyDescent="0.25">
      <c r="B31" s="3"/>
      <c r="D31" s="3"/>
      <c r="I31" s="3"/>
    </row>
    <row r="32" spans="2:9" s="2" customFormat="1" ht="21.75" customHeight="1" x14ac:dyDescent="0.25">
      <c r="B32" s="3"/>
      <c r="D32" s="3"/>
      <c r="I32" s="3"/>
    </row>
    <row r="33" spans="2:9" s="2" customFormat="1" ht="21.75" customHeight="1" x14ac:dyDescent="0.25">
      <c r="B33" s="3"/>
      <c r="D33" s="3"/>
      <c r="I33" s="3"/>
    </row>
    <row r="34" spans="2:9" s="2" customFormat="1" ht="21.75" customHeight="1" x14ac:dyDescent="0.25">
      <c r="B34" s="3"/>
      <c r="D34" s="3"/>
      <c r="I34" s="3"/>
    </row>
    <row r="35" spans="2:9" s="2" customFormat="1" ht="21.75" customHeight="1" x14ac:dyDescent="0.25">
      <c r="B35" s="3"/>
      <c r="D35" s="3"/>
      <c r="I35" s="3"/>
    </row>
  </sheetData>
  <mergeCells count="5">
    <mergeCell ref="B2:B3"/>
    <mergeCell ref="C2:H2"/>
    <mergeCell ref="I2:I3"/>
    <mergeCell ref="C3:H3"/>
    <mergeCell ref="H16:H18"/>
  </mergeCells>
  <printOptions horizontalCentered="1" verticalCentered="1"/>
  <pageMargins left="0.11811023622047245" right="0.11811023622047245" top="0.11811023622047245" bottom="0.11811023622047245" header="0.11811023622047245" footer="0.11811023622047245"/>
  <pageSetup paperSize="9" scale="8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5"/>
  <sheetViews>
    <sheetView showGridLines="0" zoomScaleNormal="100" workbookViewId="0">
      <selection activeCell="G11" sqref="G11"/>
    </sheetView>
  </sheetViews>
  <sheetFormatPr defaultColWidth="9.125" defaultRowHeight="12.9" x14ac:dyDescent="0.2"/>
  <cols>
    <col min="1" max="1" width="9.125" style="1" customWidth="1"/>
    <col min="2" max="2" width="9.625" style="5" customWidth="1"/>
    <col min="3" max="3" width="59.875" style="1" customWidth="1"/>
    <col min="4" max="4" width="7.125" style="5" customWidth="1"/>
    <col min="5" max="5" width="11.25" style="1" customWidth="1"/>
    <col min="6" max="6" width="9.75" style="1" customWidth="1"/>
    <col min="7" max="7" width="12.875" style="1" customWidth="1"/>
    <col min="8" max="8" width="25.75" style="1" customWidth="1"/>
    <col min="9" max="9" width="12.125" style="5" customWidth="1"/>
    <col min="10" max="10" width="12.875" style="1" customWidth="1"/>
    <col min="11" max="11" width="16.125" style="1" customWidth="1"/>
    <col min="12" max="12" width="12.375" style="1" bestFit="1" customWidth="1"/>
    <col min="13" max="16384" width="9.125" style="1"/>
  </cols>
  <sheetData>
    <row r="1" spans="2:13" ht="7.5" customHeight="1" thickBot="1" x14ac:dyDescent="0.25"/>
    <row r="2" spans="2:13" ht="23.95" customHeight="1" x14ac:dyDescent="0.2">
      <c r="B2" s="161"/>
      <c r="C2" s="163" t="s">
        <v>10</v>
      </c>
      <c r="D2" s="163"/>
      <c r="E2" s="163"/>
      <c r="F2" s="163"/>
      <c r="G2" s="163"/>
      <c r="H2" s="163"/>
      <c r="I2" s="164"/>
    </row>
    <row r="3" spans="2:13" ht="30.1" customHeight="1" x14ac:dyDescent="0.2">
      <c r="B3" s="162"/>
      <c r="C3" s="166" t="s">
        <v>11</v>
      </c>
      <c r="D3" s="167"/>
      <c r="E3" s="167"/>
      <c r="F3" s="167"/>
      <c r="G3" s="167"/>
      <c r="H3" s="168"/>
      <c r="I3" s="165"/>
      <c r="M3" s="20"/>
    </row>
    <row r="4" spans="2:13" s="4" customFormat="1" ht="41.3" customHeight="1" x14ac:dyDescent="0.25">
      <c r="B4" s="78" t="s">
        <v>1</v>
      </c>
      <c r="C4" s="74" t="s">
        <v>2</v>
      </c>
      <c r="D4" s="74" t="s">
        <v>3</v>
      </c>
      <c r="E4" s="9" t="s">
        <v>22</v>
      </c>
      <c r="F4" s="9" t="s">
        <v>23</v>
      </c>
      <c r="G4" s="9" t="s">
        <v>24</v>
      </c>
      <c r="H4" s="9" t="s">
        <v>5</v>
      </c>
      <c r="I4" s="79" t="s">
        <v>7</v>
      </c>
    </row>
    <row r="5" spans="2:13" s="4" customFormat="1" ht="24.8" customHeight="1" x14ac:dyDescent="0.25">
      <c r="B5" s="78"/>
      <c r="C5" s="18" t="s">
        <v>32</v>
      </c>
      <c r="D5" s="74"/>
      <c r="E5" s="9"/>
      <c r="F5" s="9"/>
      <c r="G5" s="9"/>
      <c r="H5" s="9"/>
      <c r="I5" s="79"/>
    </row>
    <row r="6" spans="2:13" ht="111.1" customHeight="1" x14ac:dyDescent="0.2">
      <c r="B6" s="80"/>
      <c r="C6" s="10" t="s">
        <v>97</v>
      </c>
      <c r="D6" s="11"/>
      <c r="E6" s="8"/>
      <c r="F6" s="11"/>
      <c r="G6" s="11"/>
      <c r="H6" s="8"/>
      <c r="I6" s="93"/>
    </row>
    <row r="7" spans="2:13" ht="32.950000000000003" customHeight="1" x14ac:dyDescent="0.2">
      <c r="B7" s="80"/>
      <c r="C7" s="10" t="s">
        <v>90</v>
      </c>
      <c r="D7" s="11" t="s">
        <v>12</v>
      </c>
      <c r="E7" s="44">
        <v>167</v>
      </c>
      <c r="F7" s="21">
        <v>1000</v>
      </c>
      <c r="G7" s="21">
        <f>+F7*E7</f>
        <v>167000</v>
      </c>
      <c r="H7" s="45" t="s">
        <v>96</v>
      </c>
      <c r="I7" s="93"/>
    </row>
    <row r="8" spans="2:13" ht="30.1" customHeight="1" x14ac:dyDescent="0.2">
      <c r="B8" s="80"/>
      <c r="C8" s="10" t="s">
        <v>91</v>
      </c>
      <c r="D8" s="11" t="s">
        <v>12</v>
      </c>
      <c r="E8" s="44">
        <v>2200</v>
      </c>
      <c r="F8" s="21">
        <v>1000</v>
      </c>
      <c r="G8" s="21">
        <f>+F8*E8</f>
        <v>2200000</v>
      </c>
      <c r="H8" s="45" t="s">
        <v>92</v>
      </c>
      <c r="I8" s="93"/>
    </row>
    <row r="9" spans="2:13" ht="30.1" customHeight="1" x14ac:dyDescent="0.2">
      <c r="B9" s="80"/>
      <c r="C9" s="10" t="s">
        <v>149</v>
      </c>
      <c r="D9" s="11" t="s">
        <v>12</v>
      </c>
      <c r="E9" s="44">
        <f>E7*10%</f>
        <v>16.7</v>
      </c>
      <c r="F9" s="21">
        <v>1000</v>
      </c>
      <c r="G9" s="21">
        <f>+F9*E9</f>
        <v>16700</v>
      </c>
      <c r="H9" s="45"/>
      <c r="I9" s="93"/>
    </row>
    <row r="10" spans="2:13" ht="30.1" customHeight="1" x14ac:dyDescent="0.2">
      <c r="B10" s="80"/>
      <c r="C10" s="109" t="s">
        <v>6</v>
      </c>
      <c r="D10" s="11"/>
      <c r="E10" s="44"/>
      <c r="F10" s="21"/>
      <c r="G10" s="22">
        <f>SUM(G7:G9)</f>
        <v>2383700</v>
      </c>
      <c r="H10" s="45"/>
      <c r="I10" s="93"/>
    </row>
    <row r="11" spans="2:13" ht="17.350000000000001" customHeight="1" x14ac:dyDescent="0.2">
      <c r="B11" s="80"/>
      <c r="C11" s="10" t="s">
        <v>145</v>
      </c>
      <c r="D11" s="11"/>
      <c r="E11" s="8"/>
      <c r="F11" s="11"/>
      <c r="G11" s="54">
        <f>G10*30%</f>
        <v>715110</v>
      </c>
      <c r="H11" s="8"/>
      <c r="I11" s="93"/>
    </row>
    <row r="12" spans="2:13" s="4" customFormat="1" ht="21.75" customHeight="1" x14ac:dyDescent="0.25">
      <c r="B12" s="78"/>
      <c r="C12" s="111" t="s">
        <v>150</v>
      </c>
      <c r="D12" s="74"/>
      <c r="E12" s="13"/>
      <c r="F12" s="13"/>
      <c r="G12" s="22">
        <f>G11+G10</f>
        <v>3098810</v>
      </c>
      <c r="H12" s="74"/>
      <c r="I12" s="94"/>
    </row>
    <row r="13" spans="2:13" s="2" customFormat="1" ht="21.75" customHeight="1" thickBot="1" x14ac:dyDescent="0.3">
      <c r="B13" s="95"/>
      <c r="C13" s="96" t="s">
        <v>20</v>
      </c>
      <c r="D13" s="97"/>
      <c r="E13" s="98"/>
      <c r="F13" s="98"/>
      <c r="G13" s="99">
        <f>G12/1000</f>
        <v>3098.81</v>
      </c>
      <c r="H13" s="100"/>
      <c r="I13" s="101"/>
    </row>
    <row r="14" spans="2:13" s="2" customFormat="1" ht="5.0999999999999996" customHeight="1" x14ac:dyDescent="0.25">
      <c r="B14" s="3"/>
      <c r="D14" s="3"/>
      <c r="I14" s="3"/>
    </row>
    <row r="15" spans="2:13" s="2" customFormat="1" ht="21.75" customHeight="1" x14ac:dyDescent="0.25">
      <c r="B15" s="4" t="s">
        <v>8</v>
      </c>
      <c r="C15" s="6" t="s">
        <v>9</v>
      </c>
      <c r="D15" s="3"/>
      <c r="I15" s="3"/>
    </row>
    <row r="16" spans="2:13" s="2" customFormat="1" ht="21.75" customHeight="1" x14ac:dyDescent="0.25">
      <c r="B16" s="3"/>
      <c r="D16" s="3"/>
      <c r="I16" s="3"/>
    </row>
    <row r="17" spans="2:9" s="2" customFormat="1" ht="21.75" customHeight="1" x14ac:dyDescent="0.25">
      <c r="B17" s="3"/>
      <c r="D17" s="3"/>
      <c r="I17" s="3"/>
    </row>
    <row r="18" spans="2:9" s="2" customFormat="1" ht="21.75" customHeight="1" x14ac:dyDescent="0.25">
      <c r="B18" s="3"/>
      <c r="D18" s="3"/>
      <c r="I18" s="3"/>
    </row>
    <row r="19" spans="2:9" s="2" customFormat="1" ht="21.75" customHeight="1" x14ac:dyDescent="0.25">
      <c r="B19" s="3"/>
      <c r="D19" s="3"/>
      <c r="I19" s="3"/>
    </row>
    <row r="20" spans="2:9" s="2" customFormat="1" ht="21.75" customHeight="1" x14ac:dyDescent="0.25">
      <c r="B20" s="3"/>
      <c r="D20" s="3"/>
      <c r="I20" s="3"/>
    </row>
    <row r="21" spans="2:9" s="2" customFormat="1" ht="21.75" customHeight="1" x14ac:dyDescent="0.25">
      <c r="B21" s="3"/>
      <c r="D21" s="3"/>
      <c r="I21" s="3"/>
    </row>
    <row r="22" spans="2:9" s="2" customFormat="1" ht="21.75" customHeight="1" x14ac:dyDescent="0.25">
      <c r="B22" s="3"/>
      <c r="D22" s="3"/>
      <c r="I22" s="3"/>
    </row>
    <row r="23" spans="2:9" s="2" customFormat="1" ht="21.75" customHeight="1" x14ac:dyDescent="0.25">
      <c r="B23" s="3"/>
      <c r="D23" s="3"/>
      <c r="I23" s="3"/>
    </row>
    <row r="24" spans="2:9" s="2" customFormat="1" ht="21.75" customHeight="1" x14ac:dyDescent="0.25">
      <c r="B24" s="3"/>
      <c r="D24" s="3"/>
      <c r="I24" s="3"/>
    </row>
    <row r="25" spans="2:9" s="2" customFormat="1" ht="21.75" customHeight="1" x14ac:dyDescent="0.25">
      <c r="B25" s="3"/>
      <c r="D25" s="3"/>
      <c r="I25" s="3"/>
    </row>
  </sheetData>
  <mergeCells count="4">
    <mergeCell ref="B2:B3"/>
    <mergeCell ref="C2:H2"/>
    <mergeCell ref="I2:I3"/>
    <mergeCell ref="C3:H3"/>
  </mergeCells>
  <printOptions horizontalCentered="1"/>
  <pageMargins left="0.11811023622047245" right="0.11811023622047245" top="0.70866141732283472" bottom="0.11811023622047245" header="0.11811023622047245" footer="0.11811023622047245"/>
  <pageSetup paperSize="9" scale="9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5"/>
  <sheetViews>
    <sheetView showGridLines="0" zoomScaleNormal="100" workbookViewId="0">
      <selection activeCell="C9" sqref="C9"/>
    </sheetView>
  </sheetViews>
  <sheetFormatPr defaultColWidth="9.125" defaultRowHeight="12.9" x14ac:dyDescent="0.2"/>
  <cols>
    <col min="1" max="1" width="9.125" style="1" customWidth="1"/>
    <col min="2" max="2" width="9.625" style="5" customWidth="1"/>
    <col min="3" max="3" width="59.875" style="1" customWidth="1"/>
    <col min="4" max="4" width="7.125" style="5" customWidth="1"/>
    <col min="5" max="5" width="11.25" style="1" customWidth="1"/>
    <col min="6" max="6" width="9.75" style="1" customWidth="1"/>
    <col min="7" max="7" width="14.25" style="1" customWidth="1"/>
    <col min="8" max="8" width="37" style="1" customWidth="1"/>
    <col min="9" max="9" width="12.125" style="5" customWidth="1"/>
    <col min="10" max="10" width="12.875" style="1" customWidth="1"/>
    <col min="11" max="11" width="16.125" style="1" customWidth="1"/>
    <col min="12" max="12" width="12.375" style="1" bestFit="1" customWidth="1"/>
    <col min="13" max="16384" width="9.125" style="1"/>
  </cols>
  <sheetData>
    <row r="1" spans="2:13" ht="7.5" customHeight="1" x14ac:dyDescent="0.2"/>
    <row r="2" spans="2:13" ht="23.95" customHeight="1" x14ac:dyDescent="0.2">
      <c r="B2" s="169"/>
      <c r="C2" s="171" t="s">
        <v>10</v>
      </c>
      <c r="D2" s="171"/>
      <c r="E2" s="171"/>
      <c r="F2" s="171"/>
      <c r="G2" s="171"/>
      <c r="H2" s="171"/>
      <c r="I2" s="169"/>
    </row>
    <row r="3" spans="2:13" ht="30.1" customHeight="1" x14ac:dyDescent="0.2">
      <c r="B3" s="170"/>
      <c r="C3" s="166" t="s">
        <v>11</v>
      </c>
      <c r="D3" s="167"/>
      <c r="E3" s="167"/>
      <c r="F3" s="167"/>
      <c r="G3" s="167"/>
      <c r="H3" s="168"/>
      <c r="I3" s="170"/>
      <c r="M3" s="20"/>
    </row>
    <row r="4" spans="2:13" s="4" customFormat="1" ht="41.3" customHeight="1" x14ac:dyDescent="0.25">
      <c r="B4" s="23" t="s">
        <v>1</v>
      </c>
      <c r="C4" s="23" t="s">
        <v>2</v>
      </c>
      <c r="D4" s="23" t="s">
        <v>3</v>
      </c>
      <c r="E4" s="9" t="s">
        <v>22</v>
      </c>
      <c r="F4" s="9" t="s">
        <v>23</v>
      </c>
      <c r="G4" s="9" t="s">
        <v>24</v>
      </c>
      <c r="H4" s="9" t="s">
        <v>5</v>
      </c>
      <c r="I4" s="23" t="s">
        <v>7</v>
      </c>
    </row>
    <row r="5" spans="2:13" s="4" customFormat="1" ht="24.8" customHeight="1" x14ac:dyDescent="0.25">
      <c r="B5" s="23"/>
      <c r="C5" s="18" t="s">
        <v>30</v>
      </c>
      <c r="D5" s="23"/>
      <c r="E5" s="9"/>
      <c r="F5" s="9"/>
      <c r="G5" s="9"/>
      <c r="H5" s="9"/>
      <c r="I5" s="23"/>
    </row>
    <row r="6" spans="2:13" ht="95.95" customHeight="1" x14ac:dyDescent="0.2">
      <c r="B6" s="11"/>
      <c r="C6" s="10" t="s">
        <v>31</v>
      </c>
      <c r="D6" s="11"/>
      <c r="E6" s="8"/>
      <c r="F6" s="11"/>
      <c r="G6" s="11"/>
      <c r="H6" s="8"/>
      <c r="I6" s="7"/>
    </row>
    <row r="7" spans="2:13" x14ac:dyDescent="0.2">
      <c r="B7" s="11"/>
      <c r="C7" s="10" t="s">
        <v>93</v>
      </c>
      <c r="D7" s="11" t="s">
        <v>12</v>
      </c>
      <c r="E7" s="44">
        <f>400/5</f>
        <v>80</v>
      </c>
      <c r="F7" s="21">
        <v>600</v>
      </c>
      <c r="G7" s="21">
        <f>F7*E7</f>
        <v>48000</v>
      </c>
      <c r="H7" s="45"/>
      <c r="I7" s="7"/>
    </row>
    <row r="8" spans="2:13" ht="18.7" customHeight="1" x14ac:dyDescent="0.2">
      <c r="B8" s="11"/>
      <c r="C8" s="10" t="s">
        <v>94</v>
      </c>
      <c r="D8" s="11" t="s">
        <v>12</v>
      </c>
      <c r="E8" s="44">
        <v>280</v>
      </c>
      <c r="F8" s="21">
        <v>600</v>
      </c>
      <c r="G8" s="21">
        <f>F8*E8</f>
        <v>168000</v>
      </c>
      <c r="H8" s="45"/>
      <c r="I8" s="7"/>
    </row>
    <row r="9" spans="2:13" ht="18.7" customHeight="1" x14ac:dyDescent="0.2">
      <c r="B9" s="11"/>
      <c r="C9" s="10" t="s">
        <v>151</v>
      </c>
      <c r="D9" s="11" t="s">
        <v>12</v>
      </c>
      <c r="E9" s="44">
        <f>4*55</f>
        <v>220</v>
      </c>
      <c r="F9" s="21">
        <v>600</v>
      </c>
      <c r="G9" s="21">
        <f>F9*E9</f>
        <v>132000</v>
      </c>
      <c r="H9" s="45"/>
      <c r="I9" s="7"/>
    </row>
    <row r="10" spans="2:13" ht="18.7" customHeight="1" x14ac:dyDescent="0.2">
      <c r="B10" s="11"/>
      <c r="C10" s="9" t="s">
        <v>6</v>
      </c>
      <c r="D10" s="11"/>
      <c r="E10" s="44"/>
      <c r="F10" s="21"/>
      <c r="G10" s="21">
        <f>SUM(G7:G9)</f>
        <v>348000</v>
      </c>
      <c r="H10" s="45"/>
      <c r="I10" s="7"/>
    </row>
    <row r="11" spans="2:13" x14ac:dyDescent="0.2">
      <c r="B11" s="11"/>
      <c r="C11" s="102" t="s">
        <v>145</v>
      </c>
      <c r="D11" s="11"/>
      <c r="E11" s="8"/>
      <c r="F11" s="11"/>
      <c r="G11" s="21">
        <f>+G10*30%</f>
        <v>104400</v>
      </c>
      <c r="H11" s="8"/>
      <c r="I11" s="7"/>
    </row>
    <row r="12" spans="2:13" x14ac:dyDescent="0.2">
      <c r="B12" s="11"/>
      <c r="C12" s="10" t="s">
        <v>95</v>
      </c>
      <c r="D12" s="11"/>
      <c r="E12" s="8"/>
      <c r="F12" s="11"/>
      <c r="G12" s="54">
        <f>+G11+G10</f>
        <v>452400</v>
      </c>
      <c r="H12" s="8"/>
      <c r="I12" s="7"/>
    </row>
    <row r="13" spans="2:13" s="2" customFormat="1" ht="21.75" customHeight="1" x14ac:dyDescent="0.25">
      <c r="B13" s="14"/>
      <c r="C13" s="15" t="s">
        <v>20</v>
      </c>
      <c r="D13" s="14"/>
      <c r="E13" s="16"/>
      <c r="F13" s="16"/>
      <c r="G13" s="25">
        <f>G12/600</f>
        <v>754</v>
      </c>
      <c r="H13" s="17"/>
      <c r="I13" s="14"/>
    </row>
    <row r="14" spans="2:13" s="2" customFormat="1" ht="5.0999999999999996" customHeight="1" x14ac:dyDescent="0.25">
      <c r="B14" s="3"/>
      <c r="D14" s="3"/>
      <c r="I14" s="3"/>
    </row>
    <row r="15" spans="2:13" s="2" customFormat="1" ht="21.75" customHeight="1" x14ac:dyDescent="0.25">
      <c r="B15" s="4" t="s">
        <v>8</v>
      </c>
      <c r="C15" s="6" t="s">
        <v>9</v>
      </c>
      <c r="D15" s="3"/>
      <c r="I15" s="3"/>
    </row>
    <row r="16" spans="2:13" s="2" customFormat="1" ht="21.75" customHeight="1" x14ac:dyDescent="0.25">
      <c r="B16" s="3"/>
      <c r="D16" s="3"/>
      <c r="I16" s="3"/>
    </row>
    <row r="17" spans="2:9" s="2" customFormat="1" ht="21.75" customHeight="1" x14ac:dyDescent="0.25">
      <c r="B17" s="3"/>
      <c r="D17" s="3"/>
      <c r="I17" s="3"/>
    </row>
    <row r="18" spans="2:9" s="2" customFormat="1" ht="21.75" customHeight="1" x14ac:dyDescent="0.25">
      <c r="B18" s="3"/>
      <c r="D18" s="3"/>
      <c r="I18" s="3"/>
    </row>
    <row r="19" spans="2:9" s="2" customFormat="1" ht="21.75" customHeight="1" x14ac:dyDescent="0.25">
      <c r="B19" s="3"/>
      <c r="D19" s="3"/>
      <c r="I19" s="3"/>
    </row>
    <row r="20" spans="2:9" s="2" customFormat="1" ht="21.75" customHeight="1" x14ac:dyDescent="0.25">
      <c r="B20" s="3"/>
      <c r="D20" s="3"/>
      <c r="I20" s="3"/>
    </row>
    <row r="21" spans="2:9" s="2" customFormat="1" ht="21.75" customHeight="1" x14ac:dyDescent="0.25">
      <c r="B21" s="3"/>
      <c r="D21" s="3"/>
      <c r="I21" s="3"/>
    </row>
    <row r="22" spans="2:9" s="2" customFormat="1" ht="21.75" customHeight="1" x14ac:dyDescent="0.25">
      <c r="B22" s="3"/>
      <c r="D22" s="3"/>
      <c r="I22" s="3"/>
    </row>
    <row r="23" spans="2:9" s="2" customFormat="1" ht="21.75" customHeight="1" x14ac:dyDescent="0.25">
      <c r="B23" s="3"/>
      <c r="D23" s="3"/>
      <c r="I23" s="3"/>
    </row>
    <row r="24" spans="2:9" s="2" customFormat="1" ht="21.75" customHeight="1" x14ac:dyDescent="0.25">
      <c r="B24" s="3"/>
      <c r="D24" s="3"/>
      <c r="I24" s="3"/>
    </row>
    <row r="25" spans="2:9" s="2" customFormat="1" ht="21.75" customHeight="1" x14ac:dyDescent="0.25">
      <c r="B25" s="3"/>
      <c r="D25" s="3"/>
      <c r="I25" s="3"/>
    </row>
  </sheetData>
  <mergeCells count="4">
    <mergeCell ref="B2:B3"/>
    <mergeCell ref="C2:H2"/>
    <mergeCell ref="I2:I3"/>
    <mergeCell ref="C3:H3"/>
  </mergeCells>
  <printOptions horizontalCentered="1"/>
  <pageMargins left="0.11811023622047245" right="0.11811023622047245" top="0.70866141732283472" bottom="0.11811023622047245" header="0.11811023622047245" footer="0.11811023622047245"/>
  <pageSetup paperSize="9" scale="8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1"/>
  <sheetViews>
    <sheetView showGridLines="0" view="pageBreakPreview" zoomScaleNormal="100" zoomScaleSheetLayoutView="100" workbookViewId="0">
      <selection activeCell="I5" sqref="I5:I20"/>
    </sheetView>
  </sheetViews>
  <sheetFormatPr defaultColWidth="9.125" defaultRowHeight="12.9" x14ac:dyDescent="0.2"/>
  <cols>
    <col min="1" max="1" width="9.125" style="1" customWidth="1"/>
    <col min="2" max="2" width="9.625" style="5" customWidth="1"/>
    <col min="3" max="3" width="59.875" style="1" customWidth="1"/>
    <col min="4" max="4" width="7.125" style="5" customWidth="1"/>
    <col min="5" max="5" width="12.375" style="1" bestFit="1" customWidth="1"/>
    <col min="6" max="6" width="9.75" style="1" customWidth="1"/>
    <col min="7" max="7" width="14.25" style="1" customWidth="1"/>
    <col min="8" max="8" width="19.625" style="1" customWidth="1"/>
    <col min="9" max="9" width="12.125" style="5" customWidth="1"/>
    <col min="10" max="10" width="12.875" style="1" customWidth="1"/>
    <col min="11" max="11" width="16.125" style="1" customWidth="1"/>
    <col min="12" max="12" width="12.375" style="1" bestFit="1" customWidth="1"/>
    <col min="13" max="16384" width="9.125" style="1"/>
  </cols>
  <sheetData>
    <row r="1" spans="2:13" ht="7.5" customHeight="1" thickBot="1" x14ac:dyDescent="0.25"/>
    <row r="2" spans="2:13" ht="23.95" customHeight="1" x14ac:dyDescent="0.2">
      <c r="B2" s="161"/>
      <c r="C2" s="163" t="s">
        <v>10</v>
      </c>
      <c r="D2" s="163"/>
      <c r="E2" s="163"/>
      <c r="F2" s="163"/>
      <c r="G2" s="163"/>
      <c r="H2" s="163"/>
      <c r="I2" s="164"/>
    </row>
    <row r="3" spans="2:13" ht="30.1" customHeight="1" x14ac:dyDescent="0.2">
      <c r="B3" s="162"/>
      <c r="C3" s="166" t="s">
        <v>11</v>
      </c>
      <c r="D3" s="167"/>
      <c r="E3" s="167"/>
      <c r="F3" s="167"/>
      <c r="G3" s="167"/>
      <c r="H3" s="168"/>
      <c r="I3" s="165"/>
      <c r="M3" s="20"/>
    </row>
    <row r="4" spans="2:13" s="4" customFormat="1" ht="41.3" customHeight="1" x14ac:dyDescent="0.25">
      <c r="B4" s="78" t="s">
        <v>1</v>
      </c>
      <c r="C4" s="152" t="s">
        <v>2</v>
      </c>
      <c r="D4" s="152" t="s">
        <v>3</v>
      </c>
      <c r="E4" s="9" t="s">
        <v>22</v>
      </c>
      <c r="F4" s="9" t="s">
        <v>23</v>
      </c>
      <c r="G4" s="9" t="s">
        <v>24</v>
      </c>
      <c r="H4" s="9" t="s">
        <v>5</v>
      </c>
      <c r="I4" s="79" t="s">
        <v>228</v>
      </c>
    </row>
    <row r="5" spans="2:13" s="4" customFormat="1" ht="24.8" customHeight="1" x14ac:dyDescent="0.25">
      <c r="B5" s="78"/>
      <c r="C5" s="18" t="s">
        <v>71</v>
      </c>
      <c r="D5" s="152"/>
      <c r="E5" s="9"/>
      <c r="F5" s="9"/>
      <c r="G5" s="9"/>
      <c r="H5" s="9"/>
      <c r="I5" s="198"/>
    </row>
    <row r="6" spans="2:13" ht="59.3" customHeight="1" x14ac:dyDescent="0.2">
      <c r="B6" s="80"/>
      <c r="C6" s="10" t="s">
        <v>70</v>
      </c>
      <c r="D6" s="11"/>
      <c r="E6" s="8"/>
      <c r="F6" s="11"/>
      <c r="G6" s="11"/>
      <c r="H6" s="8"/>
      <c r="I6" s="199"/>
    </row>
    <row r="7" spans="2:13" ht="38.75" x14ac:dyDescent="0.2">
      <c r="B7" s="80" t="s">
        <v>18</v>
      </c>
      <c r="C7" s="10" t="s">
        <v>26</v>
      </c>
      <c r="D7" s="11" t="s">
        <v>29</v>
      </c>
      <c r="E7" s="55">
        <v>2569</v>
      </c>
      <c r="F7" s="11">
        <f>40*2</f>
        <v>80</v>
      </c>
      <c r="G7" s="21">
        <f>F7*E7</f>
        <v>205520</v>
      </c>
      <c r="H7" s="42" t="s">
        <v>106</v>
      </c>
      <c r="I7" s="200">
        <v>2150</v>
      </c>
    </row>
    <row r="8" spans="2:13" ht="17" customHeight="1" x14ac:dyDescent="0.2">
      <c r="B8" s="80"/>
      <c r="C8" s="151" t="s">
        <v>224</v>
      </c>
      <c r="D8" s="11"/>
      <c r="E8" s="55"/>
      <c r="F8" s="11"/>
      <c r="G8" s="21"/>
      <c r="H8" s="42"/>
      <c r="I8" s="200">
        <v>350</v>
      </c>
    </row>
    <row r="9" spans="2:13" ht="17" customHeight="1" x14ac:dyDescent="0.2">
      <c r="B9" s="80"/>
      <c r="C9" s="151" t="s">
        <v>226</v>
      </c>
      <c r="D9" s="11"/>
      <c r="E9" s="55"/>
      <c r="F9" s="11"/>
      <c r="G9" s="21"/>
      <c r="H9" s="42"/>
      <c r="I9" s="200">
        <v>300</v>
      </c>
    </row>
    <row r="10" spans="2:13" ht="19.55" customHeight="1" x14ac:dyDescent="0.2">
      <c r="B10" s="80"/>
      <c r="C10" s="51" t="s">
        <v>6</v>
      </c>
      <c r="D10" s="11"/>
      <c r="E10" s="11"/>
      <c r="F10" s="11"/>
      <c r="G10" s="21">
        <f>SUM(G7:G7)</f>
        <v>205520</v>
      </c>
      <c r="H10" s="42"/>
      <c r="I10" s="200">
        <f>SUM(I7:I9)</f>
        <v>2800</v>
      </c>
    </row>
    <row r="11" spans="2:13" ht="27.2" customHeight="1" x14ac:dyDescent="0.25">
      <c r="B11" s="80"/>
      <c r="C11" s="51" t="s">
        <v>145</v>
      </c>
      <c r="D11" s="11"/>
      <c r="E11" s="11"/>
      <c r="F11" s="11"/>
      <c r="G11" s="21">
        <f>G10*30%</f>
        <v>61656</v>
      </c>
      <c r="H11" s="182" t="s">
        <v>233</v>
      </c>
      <c r="I11" s="200">
        <f>ROUND(I10*30%,0)</f>
        <v>840</v>
      </c>
    </row>
    <row r="12" spans="2:13" ht="19.55" customHeight="1" x14ac:dyDescent="0.2">
      <c r="B12" s="103"/>
      <c r="C12" s="60" t="s">
        <v>98</v>
      </c>
      <c r="D12" s="50"/>
      <c r="E12" s="50"/>
      <c r="F12" s="50"/>
      <c r="G12" s="61">
        <f>+G11+G10</f>
        <v>267176</v>
      </c>
      <c r="H12" s="58"/>
      <c r="I12" s="201"/>
    </row>
    <row r="13" spans="2:13" ht="19.55" customHeight="1" x14ac:dyDescent="0.2">
      <c r="B13" s="80"/>
      <c r="C13" s="56" t="s">
        <v>99</v>
      </c>
      <c r="D13" s="48"/>
      <c r="E13" s="48"/>
      <c r="F13" s="48"/>
      <c r="G13" s="57">
        <f>+G12/80</f>
        <v>3339.7</v>
      </c>
      <c r="H13" s="180"/>
      <c r="I13" s="202">
        <f>SUM(I10:I12)</f>
        <v>3640</v>
      </c>
    </row>
    <row r="14" spans="2:13" ht="38.75" x14ac:dyDescent="0.2">
      <c r="B14" s="80" t="s">
        <v>19</v>
      </c>
      <c r="C14" s="10" t="s">
        <v>72</v>
      </c>
      <c r="D14" s="11" t="s">
        <v>29</v>
      </c>
      <c r="E14" s="11">
        <v>4053</v>
      </c>
      <c r="F14" s="11">
        <v>60</v>
      </c>
      <c r="G14" s="21">
        <f>F14*E14</f>
        <v>243180</v>
      </c>
      <c r="H14" s="42" t="s">
        <v>107</v>
      </c>
      <c r="I14" s="200">
        <v>3350</v>
      </c>
    </row>
    <row r="15" spans="2:13" ht="19.05" customHeight="1" x14ac:dyDescent="0.2">
      <c r="B15" s="80"/>
      <c r="C15" s="151" t="s">
        <v>224</v>
      </c>
      <c r="D15" s="11"/>
      <c r="E15" s="11"/>
      <c r="F15" s="11"/>
      <c r="G15" s="21"/>
      <c r="H15" s="42"/>
      <c r="I15" s="200">
        <v>500</v>
      </c>
    </row>
    <row r="16" spans="2:13" ht="19.05" customHeight="1" x14ac:dyDescent="0.2">
      <c r="B16" s="80"/>
      <c r="C16" s="151" t="s">
        <v>226</v>
      </c>
      <c r="D16" s="11"/>
      <c r="E16" s="11"/>
      <c r="F16" s="11"/>
      <c r="G16" s="21"/>
      <c r="H16" s="42"/>
      <c r="I16" s="200">
        <v>300</v>
      </c>
    </row>
    <row r="17" spans="2:9" s="4" customFormat="1" ht="21.75" customHeight="1" x14ac:dyDescent="0.25">
      <c r="B17" s="78"/>
      <c r="C17" s="51" t="s">
        <v>6</v>
      </c>
      <c r="D17" s="11"/>
      <c r="E17" s="11"/>
      <c r="F17" s="11"/>
      <c r="G17" s="21">
        <f>SUM(G14:G14)</f>
        <v>243180</v>
      </c>
      <c r="H17" s="152"/>
      <c r="I17" s="200">
        <f>SUM(I14:I16)</f>
        <v>4150</v>
      </c>
    </row>
    <row r="18" spans="2:9" s="2" customFormat="1" ht="30.6" customHeight="1" x14ac:dyDescent="0.25">
      <c r="B18" s="80"/>
      <c r="C18" s="51" t="s">
        <v>145</v>
      </c>
      <c r="D18" s="11"/>
      <c r="E18" s="11"/>
      <c r="F18" s="11"/>
      <c r="G18" s="59">
        <f>G17*30%</f>
        <v>72954</v>
      </c>
      <c r="H18" s="182" t="s">
        <v>233</v>
      </c>
      <c r="I18" s="200">
        <f>ROUND(I17*30%,0)</f>
        <v>1245</v>
      </c>
    </row>
    <row r="19" spans="2:9" s="2" customFormat="1" ht="21.75" customHeight="1" x14ac:dyDescent="0.25">
      <c r="B19" s="81"/>
      <c r="C19" s="60" t="s">
        <v>100</v>
      </c>
      <c r="D19" s="50"/>
      <c r="E19" s="50"/>
      <c r="F19" s="50"/>
      <c r="G19" s="61">
        <f>+G18+G17</f>
        <v>316134</v>
      </c>
      <c r="H19" s="47"/>
      <c r="I19" s="203"/>
    </row>
    <row r="20" spans="2:9" s="2" customFormat="1" ht="21.75" customHeight="1" thickBot="1" x14ac:dyDescent="0.3">
      <c r="B20" s="104"/>
      <c r="C20" s="105" t="s">
        <v>99</v>
      </c>
      <c r="D20" s="106"/>
      <c r="E20" s="106"/>
      <c r="F20" s="106"/>
      <c r="G20" s="107">
        <f>+G19/60</f>
        <v>5268.9</v>
      </c>
      <c r="H20" s="63"/>
      <c r="I20" s="202">
        <f>SUM(I17:I19)</f>
        <v>5395</v>
      </c>
    </row>
    <row r="21" spans="2:9" s="2" customFormat="1" ht="21.75" customHeight="1" thickBot="1" x14ac:dyDescent="0.3">
      <c r="B21" s="86" t="s">
        <v>8</v>
      </c>
      <c r="C21" s="87" t="s">
        <v>9</v>
      </c>
      <c r="D21" s="88"/>
      <c r="E21" s="89"/>
      <c r="F21" s="89"/>
      <c r="G21" s="89"/>
      <c r="H21" s="89"/>
      <c r="I21" s="90"/>
    </row>
    <row r="22" spans="2:9" s="2" customFormat="1" ht="21.75" customHeight="1" x14ac:dyDescent="0.25">
      <c r="B22" s="3"/>
      <c r="D22" s="3"/>
      <c r="I22" s="3"/>
    </row>
    <row r="23" spans="2:9" s="2" customFormat="1" ht="21.75" customHeight="1" x14ac:dyDescent="0.25">
      <c r="B23" s="3"/>
      <c r="D23" s="3"/>
      <c r="I23" s="3"/>
    </row>
    <row r="24" spans="2:9" s="2" customFormat="1" ht="21.75" customHeight="1" x14ac:dyDescent="0.25">
      <c r="B24" s="3"/>
      <c r="D24" s="3"/>
      <c r="I24" s="3"/>
    </row>
    <row r="25" spans="2:9" s="2" customFormat="1" ht="21.75" customHeight="1" x14ac:dyDescent="0.25">
      <c r="B25" s="3"/>
      <c r="D25" s="3"/>
      <c r="I25" s="3"/>
    </row>
    <row r="26" spans="2:9" s="2" customFormat="1" ht="21.75" customHeight="1" x14ac:dyDescent="0.25">
      <c r="B26" s="3"/>
      <c r="D26" s="3"/>
      <c r="I26" s="3"/>
    </row>
    <row r="27" spans="2:9" s="2" customFormat="1" ht="21.75" customHeight="1" x14ac:dyDescent="0.25">
      <c r="B27" s="3"/>
      <c r="D27" s="3"/>
      <c r="I27" s="3"/>
    </row>
    <row r="28" spans="2:9" s="2" customFormat="1" ht="21.75" customHeight="1" x14ac:dyDescent="0.25">
      <c r="B28" s="3"/>
      <c r="D28" s="3"/>
      <c r="I28" s="3"/>
    </row>
    <row r="29" spans="2:9" s="2" customFormat="1" ht="21.75" customHeight="1" x14ac:dyDescent="0.25">
      <c r="B29" s="3"/>
      <c r="D29" s="3"/>
      <c r="I29" s="3"/>
    </row>
    <row r="30" spans="2:9" s="2" customFormat="1" ht="21.75" customHeight="1" x14ac:dyDescent="0.25">
      <c r="B30" s="3"/>
      <c r="D30" s="3"/>
      <c r="I30" s="3"/>
    </row>
    <row r="31" spans="2:9" s="2" customFormat="1" ht="21.75" customHeight="1" x14ac:dyDescent="0.25">
      <c r="B31" s="3"/>
      <c r="D31" s="3"/>
      <c r="I31" s="3"/>
    </row>
  </sheetData>
  <mergeCells count="4">
    <mergeCell ref="B2:B3"/>
    <mergeCell ref="C2:H2"/>
    <mergeCell ref="I2:I3"/>
    <mergeCell ref="C3:H3"/>
  </mergeCells>
  <printOptions horizontalCentered="1"/>
  <pageMargins left="0.11811023622047245" right="0.11811023622047245" top="0.70866141732283472" bottom="0.11811023622047245" header="0.11811023622047245" footer="0.11811023622047245"/>
  <pageSetup paperSize="9" scale="98" orientation="landscape" r:id="rId1"/>
  <ignoredErrors>
    <ignoredError sqref="G1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5"/>
  <sheetViews>
    <sheetView showGridLines="0" zoomScaleNormal="100" workbookViewId="0">
      <selection activeCell="G13" sqref="G13"/>
    </sheetView>
  </sheetViews>
  <sheetFormatPr defaultColWidth="9.125" defaultRowHeight="12.9" x14ac:dyDescent="0.2"/>
  <cols>
    <col min="1" max="1" width="9.125" style="1" customWidth="1"/>
    <col min="2" max="2" width="9.625" style="5" customWidth="1"/>
    <col min="3" max="3" width="59.875" style="1" customWidth="1"/>
    <col min="4" max="4" width="7.125" style="5" customWidth="1"/>
    <col min="5" max="5" width="11.25" style="1" customWidth="1"/>
    <col min="6" max="6" width="9.75" style="1" customWidth="1"/>
    <col min="7" max="7" width="14.25" style="1" customWidth="1"/>
    <col min="8" max="8" width="25.625" style="1" customWidth="1"/>
    <col min="9" max="9" width="12.125" style="5" customWidth="1"/>
    <col min="10" max="10" width="12.875" style="1" customWidth="1"/>
    <col min="11" max="11" width="16.125" style="1" customWidth="1"/>
    <col min="12" max="12" width="12.375" style="1" bestFit="1" customWidth="1"/>
    <col min="13" max="16384" width="9.125" style="1"/>
  </cols>
  <sheetData>
    <row r="1" spans="2:13" ht="7.5" customHeight="1" x14ac:dyDescent="0.2"/>
    <row r="2" spans="2:13" ht="23.95" customHeight="1" x14ac:dyDescent="0.2">
      <c r="B2" s="169"/>
      <c r="C2" s="171" t="s">
        <v>10</v>
      </c>
      <c r="D2" s="171"/>
      <c r="E2" s="171"/>
      <c r="F2" s="171"/>
      <c r="G2" s="171"/>
      <c r="H2" s="171"/>
      <c r="I2" s="169"/>
    </row>
    <row r="3" spans="2:13" ht="30.1" customHeight="1" x14ac:dyDescent="0.2">
      <c r="B3" s="170"/>
      <c r="C3" s="166" t="s">
        <v>11</v>
      </c>
      <c r="D3" s="167"/>
      <c r="E3" s="167"/>
      <c r="F3" s="167"/>
      <c r="G3" s="167"/>
      <c r="H3" s="168"/>
      <c r="I3" s="170"/>
      <c r="M3" s="20"/>
    </row>
    <row r="4" spans="2:13" s="4" customFormat="1" ht="41.3" customHeight="1" x14ac:dyDescent="0.25">
      <c r="B4" s="38" t="s">
        <v>1</v>
      </c>
      <c r="C4" s="38" t="s">
        <v>2</v>
      </c>
      <c r="D4" s="38" t="s">
        <v>3</v>
      </c>
      <c r="E4" s="9" t="s">
        <v>22</v>
      </c>
      <c r="F4" s="9" t="s">
        <v>23</v>
      </c>
      <c r="G4" s="9" t="s">
        <v>24</v>
      </c>
      <c r="H4" s="9" t="s">
        <v>5</v>
      </c>
      <c r="I4" s="38" t="s">
        <v>7</v>
      </c>
    </row>
    <row r="5" spans="2:13" s="4" customFormat="1" ht="24.8" customHeight="1" x14ac:dyDescent="0.25">
      <c r="B5" s="38"/>
      <c r="C5" s="18" t="s">
        <v>73</v>
      </c>
      <c r="D5" s="38"/>
      <c r="E5" s="9"/>
      <c r="F5" s="9"/>
      <c r="G5" s="9"/>
      <c r="H5" s="9"/>
      <c r="I5" s="38"/>
    </row>
    <row r="6" spans="2:13" ht="141.80000000000001" customHeight="1" x14ac:dyDescent="0.2">
      <c r="B6" s="11"/>
      <c r="C6" s="10" t="s">
        <v>103</v>
      </c>
      <c r="D6" s="11" t="s">
        <v>101</v>
      </c>
      <c r="E6" s="11">
        <v>2298</v>
      </c>
      <c r="F6" s="11">
        <v>11</v>
      </c>
      <c r="G6" s="21">
        <f>F6*E6</f>
        <v>25278</v>
      </c>
      <c r="H6" s="10" t="s">
        <v>108</v>
      </c>
      <c r="I6" s="7"/>
    </row>
    <row r="7" spans="2:13" ht="25.5" customHeight="1" x14ac:dyDescent="0.2">
      <c r="B7" s="11"/>
      <c r="C7" s="10" t="s">
        <v>145</v>
      </c>
      <c r="D7" s="11"/>
      <c r="E7" s="12"/>
      <c r="F7" s="11"/>
      <c r="G7" s="21">
        <f>+G6*30%</f>
        <v>7583.4</v>
      </c>
      <c r="H7" s="8"/>
      <c r="I7" s="7"/>
    </row>
    <row r="8" spans="2:13" ht="25.5" customHeight="1" x14ac:dyDescent="0.2">
      <c r="B8" s="11"/>
      <c r="C8" s="10" t="s">
        <v>6</v>
      </c>
      <c r="D8" s="11"/>
      <c r="E8" s="12"/>
      <c r="F8" s="11"/>
      <c r="G8" s="21">
        <f>+G7+G6</f>
        <v>32861.4</v>
      </c>
      <c r="H8" s="8"/>
      <c r="I8" s="7"/>
    </row>
    <row r="9" spans="2:13" ht="25.5" customHeight="1" x14ac:dyDescent="0.2">
      <c r="B9" s="11"/>
      <c r="C9" s="62" t="s">
        <v>102</v>
      </c>
      <c r="D9" s="48"/>
      <c r="E9" s="63"/>
      <c r="F9" s="48"/>
      <c r="G9" s="49">
        <f>G8/11</f>
        <v>2987.4</v>
      </c>
      <c r="H9" s="64"/>
      <c r="I9" s="7"/>
    </row>
    <row r="10" spans="2:13" ht="64.55" x14ac:dyDescent="0.2">
      <c r="B10" s="11"/>
      <c r="C10" s="10" t="s">
        <v>104</v>
      </c>
      <c r="D10" s="11" t="s">
        <v>101</v>
      </c>
      <c r="E10" s="11">
        <v>8361</v>
      </c>
      <c r="F10" s="11">
        <v>9</v>
      </c>
      <c r="G10" s="21">
        <f>F10*E10</f>
        <v>75249</v>
      </c>
      <c r="H10" s="45"/>
      <c r="I10" s="7"/>
    </row>
    <row r="11" spans="2:13" ht="25.5" customHeight="1" x14ac:dyDescent="0.2">
      <c r="B11" s="11"/>
      <c r="C11" s="10" t="s">
        <v>145</v>
      </c>
      <c r="D11" s="11"/>
      <c r="E11" s="12"/>
      <c r="F11" s="11"/>
      <c r="G11" s="21">
        <f>+G10*30%</f>
        <v>22574.7</v>
      </c>
      <c r="H11" s="8"/>
      <c r="I11" s="7"/>
    </row>
    <row r="12" spans="2:13" ht="25.5" customHeight="1" x14ac:dyDescent="0.2">
      <c r="B12" s="11"/>
      <c r="C12" s="10" t="s">
        <v>6</v>
      </c>
      <c r="D12" s="11"/>
      <c r="E12" s="12"/>
      <c r="F12" s="11"/>
      <c r="G12" s="21">
        <f>+G11+G10</f>
        <v>97823.7</v>
      </c>
      <c r="H12" s="8"/>
      <c r="I12" s="7"/>
    </row>
    <row r="13" spans="2:13" ht="25.5" customHeight="1" x14ac:dyDescent="0.2">
      <c r="B13" s="11"/>
      <c r="C13" s="62" t="s">
        <v>102</v>
      </c>
      <c r="D13" s="48"/>
      <c r="E13" s="63"/>
      <c r="F13" s="48"/>
      <c r="G13" s="49">
        <f>G12/11</f>
        <v>8893.0636363636368</v>
      </c>
      <c r="H13" s="64"/>
      <c r="I13" s="7"/>
    </row>
    <row r="14" spans="2:13" s="2" customFormat="1" ht="5.0999999999999996" customHeight="1" x14ac:dyDescent="0.25">
      <c r="B14" s="3"/>
      <c r="D14" s="3"/>
      <c r="I14" s="3"/>
    </row>
    <row r="15" spans="2:13" s="2" customFormat="1" ht="21.75" customHeight="1" x14ac:dyDescent="0.25">
      <c r="B15" s="4" t="s">
        <v>8</v>
      </c>
      <c r="C15" s="6" t="s">
        <v>9</v>
      </c>
      <c r="D15" s="3"/>
      <c r="I15" s="3"/>
    </row>
    <row r="16" spans="2:13" s="2" customFormat="1" ht="21.75" customHeight="1" x14ac:dyDescent="0.25">
      <c r="B16" s="3"/>
      <c r="D16" s="3"/>
      <c r="I16" s="3"/>
    </row>
    <row r="17" spans="2:9" s="2" customFormat="1" ht="21.75" customHeight="1" x14ac:dyDescent="0.25">
      <c r="B17" s="3"/>
      <c r="D17" s="3"/>
      <c r="I17" s="3"/>
    </row>
    <row r="18" spans="2:9" s="2" customFormat="1" ht="21.75" customHeight="1" x14ac:dyDescent="0.25">
      <c r="B18" s="3"/>
      <c r="D18" s="3"/>
      <c r="I18" s="3"/>
    </row>
    <row r="19" spans="2:9" s="2" customFormat="1" ht="21.75" customHeight="1" x14ac:dyDescent="0.25">
      <c r="B19" s="3"/>
      <c r="D19" s="3"/>
      <c r="I19" s="3"/>
    </row>
    <row r="20" spans="2:9" s="2" customFormat="1" ht="21.75" customHeight="1" x14ac:dyDescent="0.25">
      <c r="B20" s="3"/>
      <c r="D20" s="3"/>
      <c r="I20" s="3"/>
    </row>
    <row r="21" spans="2:9" s="2" customFormat="1" ht="21.75" customHeight="1" x14ac:dyDescent="0.25">
      <c r="B21" s="3"/>
      <c r="D21" s="3"/>
      <c r="I21" s="3"/>
    </row>
    <row r="22" spans="2:9" s="2" customFormat="1" ht="21.75" customHeight="1" x14ac:dyDescent="0.25">
      <c r="B22" s="3"/>
      <c r="D22" s="3"/>
      <c r="I22" s="3"/>
    </row>
    <row r="23" spans="2:9" s="2" customFormat="1" ht="21.75" customHeight="1" x14ac:dyDescent="0.25">
      <c r="B23" s="3"/>
      <c r="D23" s="3"/>
      <c r="I23" s="3"/>
    </row>
    <row r="24" spans="2:9" s="2" customFormat="1" ht="21.75" customHeight="1" x14ac:dyDescent="0.25">
      <c r="B24" s="3"/>
      <c r="D24" s="3"/>
      <c r="I24" s="3"/>
    </row>
    <row r="25" spans="2:9" s="2" customFormat="1" ht="21.75" customHeight="1" x14ac:dyDescent="0.25">
      <c r="B25" s="3"/>
      <c r="D25" s="3"/>
      <c r="I25" s="3"/>
    </row>
  </sheetData>
  <mergeCells count="4">
    <mergeCell ref="B2:B3"/>
    <mergeCell ref="C2:H2"/>
    <mergeCell ref="I2:I3"/>
    <mergeCell ref="C3:H3"/>
  </mergeCells>
  <printOptions horizontalCentered="1"/>
  <pageMargins left="0.11811023622047245" right="0.11811023622047245" top="0.70866141732283472" bottom="0.11811023622047245" header="0.11811023622047245" footer="0.11811023622047245"/>
  <pageSetup paperSize="9" scale="96"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1"/>
  <sheetViews>
    <sheetView showGridLines="0" zoomScaleNormal="100" workbookViewId="0">
      <selection activeCell="I4" sqref="I4"/>
    </sheetView>
  </sheetViews>
  <sheetFormatPr defaultColWidth="9.125" defaultRowHeight="12.9" x14ac:dyDescent="0.2"/>
  <cols>
    <col min="1" max="1" width="9.125" style="1" customWidth="1"/>
    <col min="2" max="2" width="9.625" style="5" customWidth="1"/>
    <col min="3" max="3" width="55.875" style="1" customWidth="1"/>
    <col min="4" max="4" width="7.125" style="5" customWidth="1"/>
    <col min="5" max="5" width="11.25" style="1" customWidth="1"/>
    <col min="6" max="6" width="9.75" style="1" customWidth="1"/>
    <col min="7" max="7" width="14.25" style="1" customWidth="1"/>
    <col min="8" max="8" width="20.375" style="1" customWidth="1"/>
    <col min="9" max="9" width="12.125" style="188" customWidth="1"/>
    <col min="10" max="10" width="12.875" style="1" customWidth="1"/>
    <col min="11" max="11" width="16.125" style="1" customWidth="1"/>
    <col min="12" max="12" width="12.375" style="1" bestFit="1" customWidth="1"/>
    <col min="13" max="16384" width="9.125" style="1"/>
  </cols>
  <sheetData>
    <row r="1" spans="2:13" ht="7.5" customHeight="1" x14ac:dyDescent="0.2"/>
    <row r="2" spans="2:13" ht="23.95" customHeight="1" x14ac:dyDescent="0.2">
      <c r="B2" s="169"/>
      <c r="C2" s="171" t="s">
        <v>10</v>
      </c>
      <c r="D2" s="171"/>
      <c r="E2" s="171"/>
      <c r="F2" s="171"/>
      <c r="G2" s="171"/>
      <c r="H2" s="171"/>
      <c r="I2" s="189"/>
    </row>
    <row r="3" spans="2:13" ht="30.1" customHeight="1" x14ac:dyDescent="0.2">
      <c r="B3" s="170"/>
      <c r="C3" s="166" t="s">
        <v>11</v>
      </c>
      <c r="D3" s="167"/>
      <c r="E3" s="167"/>
      <c r="F3" s="167"/>
      <c r="G3" s="167"/>
      <c r="H3" s="168"/>
      <c r="I3" s="190"/>
      <c r="M3" s="20"/>
    </row>
    <row r="4" spans="2:13" s="4" customFormat="1" ht="41.3" customHeight="1" x14ac:dyDescent="0.25">
      <c r="B4" s="38" t="s">
        <v>1</v>
      </c>
      <c r="C4" s="38" t="s">
        <v>2</v>
      </c>
      <c r="D4" s="38" t="s">
        <v>3</v>
      </c>
      <c r="E4" s="9" t="s">
        <v>22</v>
      </c>
      <c r="F4" s="9" t="s">
        <v>23</v>
      </c>
      <c r="G4" s="9" t="s">
        <v>24</v>
      </c>
      <c r="H4" s="9" t="s">
        <v>5</v>
      </c>
      <c r="I4" s="152" t="s">
        <v>228</v>
      </c>
    </row>
    <row r="5" spans="2:13" s="4" customFormat="1" ht="24.8" customHeight="1" x14ac:dyDescent="0.25">
      <c r="B5" s="38"/>
      <c r="C5" s="18" t="s">
        <v>74</v>
      </c>
      <c r="D5" s="38"/>
      <c r="E5" s="9"/>
      <c r="F5" s="9"/>
      <c r="G5" s="9"/>
      <c r="H5" s="9"/>
      <c r="I5" s="192"/>
    </row>
    <row r="6" spans="2:13" ht="59.3" customHeight="1" x14ac:dyDescent="0.2">
      <c r="B6" s="11" t="s">
        <v>18</v>
      </c>
      <c r="C6" s="10" t="s">
        <v>59</v>
      </c>
      <c r="D6" s="11" t="s">
        <v>12</v>
      </c>
      <c r="E6" s="44">
        <v>1098</v>
      </c>
      <c r="F6" s="21">
        <v>18000</v>
      </c>
      <c r="G6" s="21">
        <f>F6*E6</f>
        <v>19764000</v>
      </c>
      <c r="H6" s="45"/>
      <c r="I6" s="193">
        <v>986</v>
      </c>
    </row>
    <row r="7" spans="2:13" ht="20.55" customHeight="1" x14ac:dyDescent="0.2">
      <c r="B7" s="11"/>
      <c r="C7" s="10" t="s">
        <v>159</v>
      </c>
      <c r="D7" s="11" t="s">
        <v>12</v>
      </c>
      <c r="E7" s="44">
        <f>(0.1*(705*1.6)*105%)+200</f>
        <v>318.44</v>
      </c>
      <c r="F7" s="21">
        <v>18000</v>
      </c>
      <c r="G7" s="21">
        <f>F7*E7</f>
        <v>5731920</v>
      </c>
      <c r="H7" s="45"/>
      <c r="I7" s="193"/>
    </row>
    <row r="8" spans="2:13" ht="20.55" customHeight="1" x14ac:dyDescent="0.2">
      <c r="B8" s="11"/>
      <c r="C8" s="151" t="s">
        <v>219</v>
      </c>
      <c r="D8" s="11"/>
      <c r="E8" s="44"/>
      <c r="F8" s="21"/>
      <c r="G8" s="21"/>
      <c r="H8" s="45"/>
      <c r="I8" s="193">
        <v>96</v>
      </c>
    </row>
    <row r="9" spans="2:13" ht="20.55" customHeight="1" x14ac:dyDescent="0.2">
      <c r="B9" s="11"/>
      <c r="C9" s="151" t="s">
        <v>218</v>
      </c>
      <c r="D9" s="11"/>
      <c r="E9" s="44"/>
      <c r="F9" s="21"/>
      <c r="G9" s="21"/>
      <c r="H9" s="45"/>
      <c r="I9" s="193">
        <v>235</v>
      </c>
    </row>
    <row r="10" spans="2:13" ht="25.85" customHeight="1" x14ac:dyDescent="0.25">
      <c r="B10" s="11"/>
      <c r="C10" s="10" t="s">
        <v>145</v>
      </c>
      <c r="D10" s="11"/>
      <c r="E10" s="8"/>
      <c r="F10" s="11"/>
      <c r="G10" s="21">
        <f>+G6*30%</f>
        <v>5929200</v>
      </c>
      <c r="H10" s="182" t="s">
        <v>233</v>
      </c>
      <c r="I10" s="193">
        <f>ROUND((I6+I8+I9)*30%,0)</f>
        <v>395</v>
      </c>
    </row>
    <row r="11" spans="2:13" ht="22.6" customHeight="1" x14ac:dyDescent="0.2">
      <c r="B11" s="11"/>
      <c r="C11" s="39" t="s">
        <v>6</v>
      </c>
      <c r="D11" s="39"/>
      <c r="E11" s="13"/>
      <c r="F11" s="13"/>
      <c r="G11" s="22">
        <f>SUM(G6:G10)</f>
        <v>31425120</v>
      </c>
      <c r="H11" s="8"/>
      <c r="I11" s="193"/>
    </row>
    <row r="12" spans="2:13" ht="22.6" customHeight="1" x14ac:dyDescent="0.2">
      <c r="B12" s="11"/>
      <c r="C12" s="15" t="s">
        <v>20</v>
      </c>
      <c r="D12" s="14"/>
      <c r="E12" s="16"/>
      <c r="F12" s="16"/>
      <c r="G12" s="25">
        <f>G11/F6</f>
        <v>1745.84</v>
      </c>
      <c r="H12" s="181"/>
      <c r="I12" s="194">
        <f>SUM(I6:I11)</f>
        <v>1712</v>
      </c>
    </row>
    <row r="13" spans="2:13" ht="38.75" x14ac:dyDescent="0.2">
      <c r="B13" s="11" t="s">
        <v>19</v>
      </c>
      <c r="C13" s="10" t="s">
        <v>109</v>
      </c>
      <c r="D13" s="11" t="s">
        <v>12</v>
      </c>
      <c r="E13" s="21">
        <v>975</v>
      </c>
      <c r="F13" s="21">
        <v>14000</v>
      </c>
      <c r="G13" s="21">
        <f>F13*E13</f>
        <v>13650000</v>
      </c>
      <c r="H13" s="24"/>
      <c r="I13" s="193">
        <v>954</v>
      </c>
    </row>
    <row r="14" spans="2:13" ht="19.55" customHeight="1" x14ac:dyDescent="0.2">
      <c r="B14" s="11"/>
      <c r="C14" s="10" t="s">
        <v>159</v>
      </c>
      <c r="D14" s="11" t="s">
        <v>12</v>
      </c>
      <c r="E14" s="44">
        <f>(0.1*(705*1.6)*105%)+200</f>
        <v>318.44</v>
      </c>
      <c r="F14" s="21">
        <v>14000</v>
      </c>
      <c r="G14" s="21">
        <f>F14*E14</f>
        <v>4458160</v>
      </c>
      <c r="H14" s="24"/>
      <c r="I14" s="193"/>
    </row>
    <row r="15" spans="2:13" ht="19.55" customHeight="1" x14ac:dyDescent="0.2">
      <c r="B15" s="11"/>
      <c r="C15" s="151" t="s">
        <v>219</v>
      </c>
      <c r="D15" s="11"/>
      <c r="E15" s="44"/>
      <c r="F15" s="21"/>
      <c r="G15" s="21"/>
      <c r="H15" s="24"/>
      <c r="I15" s="193">
        <v>96</v>
      </c>
    </row>
    <row r="16" spans="2:13" ht="19.55" customHeight="1" x14ac:dyDescent="0.2">
      <c r="B16" s="11"/>
      <c r="C16" s="151" t="s">
        <v>218</v>
      </c>
      <c r="D16" s="11"/>
      <c r="E16" s="44"/>
      <c r="F16" s="21"/>
      <c r="G16" s="21"/>
      <c r="H16" s="24"/>
      <c r="I16" s="193">
        <v>235</v>
      </c>
    </row>
    <row r="17" spans="2:9" ht="31.95" customHeight="1" x14ac:dyDescent="0.25">
      <c r="B17" s="11"/>
      <c r="C17" s="10" t="s">
        <v>145</v>
      </c>
      <c r="D17" s="11"/>
      <c r="E17" s="11"/>
      <c r="F17" s="11"/>
      <c r="G17" s="21">
        <f>G13*30%</f>
        <v>4095000</v>
      </c>
      <c r="H17" s="182" t="s">
        <v>233</v>
      </c>
      <c r="I17" s="193">
        <f>ROUND((I13+I15+I16)*30%,0)</f>
        <v>386</v>
      </c>
    </row>
    <row r="18" spans="2:9" s="4" customFormat="1" ht="21.75" customHeight="1" x14ac:dyDescent="0.25">
      <c r="B18" s="38"/>
      <c r="C18" s="38" t="s">
        <v>6</v>
      </c>
      <c r="D18" s="39"/>
      <c r="E18" s="13"/>
      <c r="F18" s="13"/>
      <c r="G18" s="22">
        <f>SUM(G13:G17)</f>
        <v>22203160</v>
      </c>
      <c r="H18" s="39"/>
      <c r="I18" s="193"/>
    </row>
    <row r="19" spans="2:9" s="2" customFormat="1" ht="21.75" customHeight="1" x14ac:dyDescent="0.25">
      <c r="B19" s="14"/>
      <c r="C19" s="15" t="s">
        <v>20</v>
      </c>
      <c r="D19" s="14"/>
      <c r="E19" s="16"/>
      <c r="F19" s="16"/>
      <c r="G19" s="25">
        <f>G18/F13</f>
        <v>1585.94</v>
      </c>
      <c r="H19" s="17"/>
      <c r="I19" s="194">
        <f>SUM(I13:I18)</f>
        <v>1671</v>
      </c>
    </row>
    <row r="20" spans="2:9" s="2" customFormat="1" ht="5.0999999999999996" customHeight="1" x14ac:dyDescent="0.25">
      <c r="B20" s="3"/>
      <c r="D20" s="3"/>
      <c r="I20" s="195"/>
    </row>
    <row r="21" spans="2:9" s="2" customFormat="1" ht="21.75" customHeight="1" x14ac:dyDescent="0.25">
      <c r="B21" s="4" t="s">
        <v>8</v>
      </c>
      <c r="C21" s="6" t="s">
        <v>9</v>
      </c>
      <c r="D21" s="3"/>
      <c r="I21" s="195"/>
    </row>
    <row r="22" spans="2:9" s="2" customFormat="1" ht="21.75" customHeight="1" x14ac:dyDescent="0.25">
      <c r="B22" s="3"/>
      <c r="D22" s="3"/>
      <c r="I22" s="195"/>
    </row>
    <row r="23" spans="2:9" s="2" customFormat="1" ht="21.75" customHeight="1" x14ac:dyDescent="0.25">
      <c r="B23" s="3"/>
      <c r="D23" s="3"/>
      <c r="I23" s="195"/>
    </row>
    <row r="24" spans="2:9" s="2" customFormat="1" ht="21.75" customHeight="1" x14ac:dyDescent="0.25">
      <c r="B24" s="3"/>
      <c r="D24" s="3"/>
      <c r="I24" s="195"/>
    </row>
    <row r="25" spans="2:9" s="2" customFormat="1" ht="21.75" customHeight="1" x14ac:dyDescent="0.25">
      <c r="B25" s="3"/>
      <c r="D25" s="3"/>
      <c r="I25" s="195"/>
    </row>
    <row r="26" spans="2:9" s="2" customFormat="1" ht="21.75" customHeight="1" x14ac:dyDescent="0.25">
      <c r="B26" s="3"/>
      <c r="D26" s="3"/>
      <c r="I26" s="195"/>
    </row>
    <row r="27" spans="2:9" s="2" customFormat="1" ht="21.75" customHeight="1" x14ac:dyDescent="0.25">
      <c r="B27" s="3"/>
      <c r="D27" s="3"/>
      <c r="I27" s="195"/>
    </row>
    <row r="28" spans="2:9" s="2" customFormat="1" ht="21.75" customHeight="1" x14ac:dyDescent="0.25">
      <c r="B28" s="3"/>
      <c r="D28" s="3"/>
      <c r="I28" s="195"/>
    </row>
    <row r="29" spans="2:9" s="2" customFormat="1" ht="21.75" customHeight="1" x14ac:dyDescent="0.25">
      <c r="B29" s="3"/>
      <c r="D29" s="3"/>
      <c r="I29" s="195"/>
    </row>
    <row r="30" spans="2:9" s="2" customFormat="1" ht="21.75" customHeight="1" x14ac:dyDescent="0.25">
      <c r="B30" s="3"/>
      <c r="D30" s="3"/>
      <c r="I30" s="195"/>
    </row>
    <row r="31" spans="2:9" s="2" customFormat="1" ht="21.75" customHeight="1" x14ac:dyDescent="0.25">
      <c r="B31" s="3"/>
      <c r="D31" s="3"/>
      <c r="I31" s="195"/>
    </row>
  </sheetData>
  <mergeCells count="4">
    <mergeCell ref="B2:B3"/>
    <mergeCell ref="C2:H2"/>
    <mergeCell ref="I2:I3"/>
    <mergeCell ref="C3:H3"/>
  </mergeCells>
  <printOptions horizontalCentered="1"/>
  <pageMargins left="0.11811023622047245" right="0.11811023622047245" top="0.70866141732283472" bottom="0.11811023622047245" header="0.11811023622047245" footer="0.11811023622047245"/>
  <pageSetup paperSize="9" scale="8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Item details with description</vt:lpstr>
      <vt:lpstr>Soling</vt:lpstr>
      <vt:lpstr>40 mm gravel filling.</vt:lpstr>
      <vt:lpstr>Glass</vt:lpstr>
      <vt:lpstr>HDPE liner</vt:lpstr>
      <vt:lpstr>AR Paint</vt:lpstr>
      <vt:lpstr>CI pipe</vt:lpstr>
      <vt:lpstr>Toilet fixtures</vt:lpstr>
      <vt:lpstr>Concrete paver blocks</vt:lpstr>
      <vt:lpstr>Concertina Wire</vt:lpstr>
      <vt:lpstr>Sand filling</vt:lpstr>
      <vt:lpstr>Hume pipe</vt:lpstr>
      <vt:lpstr>injuction Grouting </vt:lpstr>
      <vt:lpstr>Item Abstract</vt:lpstr>
      <vt:lpstr>'40 mm gravel filling.'!Print_Area</vt:lpstr>
      <vt:lpstr>'AR Paint'!Print_Area</vt:lpstr>
      <vt:lpstr>'CI pipe'!Print_Area</vt:lpstr>
      <vt:lpstr>'Concertina Wire'!Print_Area</vt:lpstr>
      <vt:lpstr>'Concrete paver blocks'!Print_Area</vt:lpstr>
      <vt:lpstr>Glass!Print_Area</vt:lpstr>
      <vt:lpstr>'HDPE liner'!Print_Area</vt:lpstr>
      <vt:lpstr>'Hume pipe'!Print_Area</vt:lpstr>
      <vt:lpstr>'injuction Grouting '!Print_Area</vt:lpstr>
      <vt:lpstr>'Item details with description'!Print_Area</vt:lpstr>
      <vt:lpstr>'Sand filling'!Print_Area</vt:lpstr>
      <vt:lpstr>Soling!Print_Area</vt:lpstr>
      <vt:lpstr>'Toilet fixtures'!Print_Area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Manikanta</dc:creator>
  <cp:lastModifiedBy>ASTA INFRA</cp:lastModifiedBy>
  <cp:lastPrinted>2024-08-30T13:26:17Z</cp:lastPrinted>
  <dcterms:created xsi:type="dcterms:W3CDTF">2024-04-04T09:33:17Z</dcterms:created>
  <dcterms:modified xsi:type="dcterms:W3CDTF">2024-08-30T13:32:11Z</dcterms:modified>
</cp:coreProperties>
</file>