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54" windowWidth="20731" windowHeight="11710"/>
  </bookViews>
  <sheets>
    <sheet name="RE" sheetId="1" r:id="rId1"/>
    <sheet name="ABSTRACT" sheetId="3" r:id="rId2"/>
    <sheet name="SEIGNORAGE" sheetId="2" r:id="rId3"/>
    <sheet name="Civil Data" sheetId="5" r:id="rId4"/>
    <sheet name="Sheet1" sheetId="6" r:id="rId5"/>
    <sheet name="GA" sheetId="7" r:id="rId6"/>
  </sheets>
  <externalReferences>
    <externalReference r:id="rId7"/>
    <externalReference r:id="rId8"/>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0" hidden="1">RE!$N$1:$N$470</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ABSTRACT!$B$1:$I$41</definedName>
    <definedName name="_xlnm.Print_Area" localSheetId="3">'Civil Data'!$B$2:$I$115</definedName>
    <definedName name="_xlnm.Print_Area" localSheetId="0">RE!$A$1:$N$468</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H33" i="3" l="1"/>
  <c r="G33" i="3"/>
  <c r="E14" i="3"/>
  <c r="E15" i="3"/>
  <c r="E16" i="3"/>
  <c r="E17" i="3"/>
  <c r="E18" i="3"/>
  <c r="E13" i="3"/>
  <c r="G20" i="6" l="1"/>
  <c r="G24" i="6"/>
  <c r="G14" i="6"/>
  <c r="H54" i="6" l="1"/>
  <c r="F39" i="6" s="1"/>
  <c r="G32" i="6"/>
  <c r="H32" i="6"/>
  <c r="Q441" i="1" l="1"/>
  <c r="J427" i="1" l="1"/>
  <c r="I112" i="5" l="1"/>
  <c r="I113" i="5" s="1"/>
  <c r="I114" i="5" l="1"/>
  <c r="J388"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385" i="1" s="1"/>
  <c r="D21" i="5"/>
  <c r="D22" i="5" s="1"/>
  <c r="D23" i="5" s="1"/>
  <c r="H21" i="5"/>
  <c r="H22" i="5" s="1"/>
  <c r="H23" i="5" s="1"/>
  <c r="F44" i="5" l="1"/>
  <c r="I44" i="5" s="1"/>
  <c r="I45" i="5" s="1"/>
  <c r="I46" i="5" s="1"/>
  <c r="J387" i="1" s="1"/>
  <c r="G103" i="5"/>
  <c r="H100" i="5"/>
  <c r="F104" i="5"/>
  <c r="F105" i="5" s="1"/>
  <c r="F106" i="5" s="1"/>
  <c r="F107" i="5" s="1"/>
  <c r="H103" i="5" l="1"/>
  <c r="I100" i="5"/>
  <c r="I103" i="5" s="1"/>
  <c r="G104" i="5"/>
  <c r="G105" i="5" s="1"/>
  <c r="G106" i="5" s="1"/>
  <c r="G107" i="5" s="1"/>
  <c r="J390" i="1" s="1"/>
  <c r="I104" i="5" l="1"/>
  <c r="I105" i="5" s="1"/>
  <c r="I106" i="5" s="1"/>
  <c r="I107" i="5" s="1"/>
  <c r="H104" i="5"/>
  <c r="H105" i="5" s="1"/>
  <c r="H106" i="5" s="1"/>
  <c r="H107" i="5" s="1"/>
  <c r="L375" i="1" l="1"/>
  <c r="M375" i="1"/>
  <c r="A377" i="1"/>
  <c r="A378" i="1" s="1"/>
  <c r="A379" i="1" s="1"/>
  <c r="A380" i="1" s="1"/>
  <c r="A381" i="1" s="1"/>
  <c r="A383" i="1" s="1"/>
  <c r="A382" i="1" s="1"/>
  <c r="K438" i="1" l="1"/>
  <c r="L438" i="1" s="1"/>
  <c r="C470" i="1" l="1"/>
  <c r="A456" i="1" l="1"/>
  <c r="A457" i="1" s="1"/>
  <c r="A458" i="1" s="1"/>
  <c r="A459" i="1" s="1"/>
  <c r="A460" i="1" s="1"/>
  <c r="A461" i="1" s="1"/>
  <c r="A462" i="1" s="1"/>
  <c r="A463" i="1" s="1"/>
  <c r="K424" i="1" l="1"/>
  <c r="M424" i="1" s="1"/>
  <c r="L424" i="1" l="1"/>
  <c r="P82" i="1" l="1"/>
  <c r="K347" i="1"/>
  <c r="K348" i="1"/>
  <c r="K349" i="1"/>
  <c r="K350" i="1"/>
  <c r="K351" i="1"/>
  <c r="K422" i="1"/>
  <c r="L422" i="1" s="1"/>
  <c r="M422" i="1" l="1"/>
  <c r="K378" i="1" l="1"/>
  <c r="L378" i="1" s="1"/>
  <c r="K379" i="1"/>
  <c r="L379" i="1" s="1"/>
  <c r="K380" i="1"/>
  <c r="L380" i="1" s="1"/>
  <c r="K381" i="1"/>
  <c r="L381" i="1" s="1"/>
  <c r="K383" i="1"/>
  <c r="L383" i="1" s="1"/>
  <c r="K377" i="1"/>
  <c r="L377" i="1" s="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P22" i="1"/>
  <c r="H100" i="1"/>
  <c r="P68" i="1"/>
  <c r="K435" i="1" l="1"/>
  <c r="L435" i="1" s="1"/>
  <c r="K432" i="1"/>
  <c r="L432" i="1" l="1"/>
  <c r="M435" i="1"/>
  <c r="M432" i="1"/>
  <c r="K382" i="1" l="1"/>
  <c r="L382" i="1" s="1"/>
  <c r="Q344"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7" i="3" s="1"/>
  <c r="G27" i="3" l="1"/>
  <c r="H27"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443" i="1" l="1"/>
  <c r="M443" i="1"/>
  <c r="L446" i="1"/>
  <c r="M446" i="1"/>
  <c r="L449" i="1"/>
  <c r="M449" i="1"/>
  <c r="L400" i="1"/>
  <c r="M400" i="1"/>
  <c r="L403" i="1"/>
  <c r="M403" i="1"/>
  <c r="L406" i="1"/>
  <c r="M406" i="1"/>
  <c r="L409" i="1"/>
  <c r="M409" i="1"/>
  <c r="L412" i="1"/>
  <c r="M412" i="1"/>
  <c r="L415" i="1"/>
  <c r="M415" i="1"/>
  <c r="L418" i="1"/>
  <c r="M418" i="1"/>
  <c r="L425" i="1"/>
  <c r="M425" i="1"/>
  <c r="L356" i="1"/>
  <c r="M356" i="1"/>
  <c r="L359" i="1"/>
  <c r="M359" i="1"/>
  <c r="L392" i="1"/>
  <c r="M392" i="1"/>
  <c r="L361" i="1"/>
  <c r="M361" i="1"/>
  <c r="L362" i="1"/>
  <c r="M362" i="1"/>
  <c r="L364" i="1"/>
  <c r="M364" i="1"/>
  <c r="L365" i="1"/>
  <c r="M365" i="1"/>
  <c r="L367" i="1"/>
  <c r="M367" i="1"/>
  <c r="L368" i="1"/>
  <c r="M368" i="1"/>
  <c r="L329" i="1"/>
  <c r="M329" i="1"/>
  <c r="L332" i="1"/>
  <c r="M332" i="1"/>
  <c r="L342" i="1"/>
  <c r="M342" i="1"/>
  <c r="L259" i="1"/>
  <c r="M259" i="1"/>
  <c r="L261" i="1"/>
  <c r="M261" i="1"/>
  <c r="L263" i="1"/>
  <c r="M263" i="1"/>
  <c r="L266" i="1"/>
  <c r="M266" i="1"/>
  <c r="L269" i="1"/>
  <c r="M269" i="1"/>
  <c r="L271" i="1"/>
  <c r="M271" i="1"/>
  <c r="L274" i="1"/>
  <c r="M274" i="1"/>
  <c r="L277" i="1"/>
  <c r="M277" i="1"/>
  <c r="L280" i="1"/>
  <c r="M280" i="1"/>
  <c r="L282" i="1"/>
  <c r="M282" i="1"/>
  <c r="L284" i="1"/>
  <c r="M284" i="1"/>
  <c r="L286" i="1"/>
  <c r="M286" i="1"/>
  <c r="L288" i="1"/>
  <c r="M288" i="1"/>
  <c r="L291" i="1"/>
  <c r="M291" i="1"/>
  <c r="L296" i="1"/>
  <c r="M296" i="1"/>
  <c r="L299" i="1"/>
  <c r="M299" i="1"/>
  <c r="L309" i="1"/>
  <c r="M309" i="1"/>
  <c r="L319" i="1"/>
  <c r="M319" i="1"/>
  <c r="L150" i="1"/>
  <c r="M150" i="1"/>
  <c r="L156" i="1"/>
  <c r="M156" i="1"/>
  <c r="L178" i="1"/>
  <c r="M178" i="1"/>
  <c r="L184" i="1"/>
  <c r="M184" i="1"/>
  <c r="L186" i="1"/>
  <c r="M186" i="1"/>
  <c r="L196" i="1"/>
  <c r="M196" i="1"/>
  <c r="L198" i="1"/>
  <c r="M198" i="1"/>
  <c r="L200" i="1"/>
  <c r="M200" i="1"/>
  <c r="L229" i="1"/>
  <c r="M229" i="1"/>
  <c r="L249" i="1"/>
  <c r="M249" i="1"/>
  <c r="L251" i="1"/>
  <c r="M251" i="1"/>
  <c r="L116" i="1"/>
  <c r="M116" i="1"/>
  <c r="L122" i="1"/>
  <c r="M122" i="1"/>
  <c r="L124" i="1"/>
  <c r="M124" i="1"/>
  <c r="L126" i="1"/>
  <c r="M126" i="1"/>
  <c r="L129" i="1"/>
  <c r="M129" i="1"/>
  <c r="L132" i="1"/>
  <c r="M132" i="1"/>
  <c r="L11" i="1"/>
  <c r="M11" i="1"/>
  <c r="L21" i="1"/>
  <c r="M21" i="1"/>
  <c r="L33" i="1"/>
  <c r="M33" i="1"/>
  <c r="L36" i="1"/>
  <c r="M36" i="1"/>
  <c r="L42" i="1"/>
  <c r="M42" i="1"/>
  <c r="L45" i="1"/>
  <c r="M45" i="1"/>
  <c r="L52" i="1"/>
  <c r="M52" i="1"/>
  <c r="L54" i="1"/>
  <c r="M54" i="1"/>
  <c r="L56" i="1"/>
  <c r="M56" i="1"/>
  <c r="L59" i="1"/>
  <c r="M59" i="1"/>
  <c r="L77" i="1"/>
  <c r="M77" i="1"/>
  <c r="L83" i="1"/>
  <c r="M83" i="1"/>
  <c r="L86" i="1"/>
  <c r="M86" i="1"/>
  <c r="L109" i="1"/>
  <c r="M109" i="1"/>
  <c r="L6" i="1"/>
  <c r="M6" i="1"/>
  <c r="K455" i="1"/>
  <c r="L455" i="1" s="1"/>
  <c r="K456" i="1"/>
  <c r="L456" i="1" s="1"/>
  <c r="K457" i="1"/>
  <c r="L457" i="1" s="1"/>
  <c r="K458" i="1"/>
  <c r="L458" i="1" s="1"/>
  <c r="K459" i="1"/>
  <c r="M459" i="1" s="1"/>
  <c r="K460" i="1"/>
  <c r="L460" i="1" s="1"/>
  <c r="K461" i="1"/>
  <c r="L461" i="1" s="1"/>
  <c r="K462" i="1"/>
  <c r="L462" i="1" s="1"/>
  <c r="K463" i="1"/>
  <c r="L463" i="1" s="1"/>
  <c r="K454" i="1"/>
  <c r="K444" i="1"/>
  <c r="L444" i="1" s="1"/>
  <c r="K447" i="1"/>
  <c r="L447" i="1" s="1"/>
  <c r="K450" i="1"/>
  <c r="L450" i="1" s="1"/>
  <c r="K441" i="1"/>
  <c r="F17" i="3" s="1"/>
  <c r="K401" i="1"/>
  <c r="L401" i="1" s="1"/>
  <c r="K404" i="1"/>
  <c r="L404" i="1" s="1"/>
  <c r="K407" i="1"/>
  <c r="L407" i="1" s="1"/>
  <c r="K410" i="1"/>
  <c r="L410" i="1" s="1"/>
  <c r="K413" i="1"/>
  <c r="L413" i="1" s="1"/>
  <c r="K416" i="1"/>
  <c r="L416" i="1" s="1"/>
  <c r="K419" i="1"/>
  <c r="L419" i="1" s="1"/>
  <c r="K427" i="1"/>
  <c r="L427" i="1" s="1"/>
  <c r="K398" i="1"/>
  <c r="K395" i="1"/>
  <c r="F15" i="3" s="1"/>
  <c r="K357" i="1"/>
  <c r="L357" i="1" s="1"/>
  <c r="K385" i="1"/>
  <c r="L385" i="1" s="1"/>
  <c r="K388" i="1"/>
  <c r="L388" i="1" s="1"/>
  <c r="K390" i="1"/>
  <c r="L390" i="1" s="1"/>
  <c r="K360" i="1"/>
  <c r="L360" i="1" s="1"/>
  <c r="K363" i="1"/>
  <c r="L363" i="1" s="1"/>
  <c r="K366" i="1"/>
  <c r="K369" i="1"/>
  <c r="L369" i="1" s="1"/>
  <c r="K373" i="1"/>
  <c r="L373" i="1" s="1"/>
  <c r="K387" i="1"/>
  <c r="K376" i="1"/>
  <c r="M376" i="1" s="1"/>
  <c r="L347" i="1"/>
  <c r="L348" i="1"/>
  <c r="L349" i="1"/>
  <c r="M350" i="1"/>
  <c r="L351" i="1"/>
  <c r="K346" i="1"/>
  <c r="K210" i="1"/>
  <c r="L210" i="1" s="1"/>
  <c r="G326" i="1"/>
  <c r="G330" i="1"/>
  <c r="G333" i="1"/>
  <c r="G337" i="1"/>
  <c r="G341" i="1"/>
  <c r="L341" i="1" s="1"/>
  <c r="G258" i="1"/>
  <c r="L258" i="1" s="1"/>
  <c r="G260" i="1"/>
  <c r="L260" i="1" s="1"/>
  <c r="G262" i="1"/>
  <c r="L262" i="1" s="1"/>
  <c r="G264" i="1"/>
  <c r="G267" i="1"/>
  <c r="G270" i="1"/>
  <c r="L270" i="1" s="1"/>
  <c r="G272" i="1"/>
  <c r="G275" i="1"/>
  <c r="G278" i="1"/>
  <c r="G281" i="1"/>
  <c r="G283" i="1"/>
  <c r="G285" i="1"/>
  <c r="G287" i="1"/>
  <c r="G289" i="1"/>
  <c r="G292" i="1"/>
  <c r="G294" i="1"/>
  <c r="G297" i="1"/>
  <c r="G300" i="1"/>
  <c r="G304" i="1"/>
  <c r="G308" i="1"/>
  <c r="M308" i="1" s="1"/>
  <c r="G310" i="1"/>
  <c r="G314" i="1"/>
  <c r="G318" i="1"/>
  <c r="L318" i="1" s="1"/>
  <c r="G320" i="1"/>
  <c r="G254" i="1"/>
  <c r="E10" i="3" s="1"/>
  <c r="E9" i="3"/>
  <c r="G139" i="1"/>
  <c r="G143" i="1"/>
  <c r="G147" i="1"/>
  <c r="G151" i="1"/>
  <c r="G155" i="1"/>
  <c r="L155" i="1" s="1"/>
  <c r="G157" i="1"/>
  <c r="G161" i="1"/>
  <c r="G165" i="1"/>
  <c r="G169" i="1"/>
  <c r="G173" i="1"/>
  <c r="G177" i="1"/>
  <c r="L177" i="1" s="1"/>
  <c r="G179" i="1"/>
  <c r="G183" i="1"/>
  <c r="L183" i="1" s="1"/>
  <c r="G185" i="1"/>
  <c r="L185" i="1" s="1"/>
  <c r="G187" i="1"/>
  <c r="G191" i="1"/>
  <c r="G195" i="1"/>
  <c r="L195" i="1" s="1"/>
  <c r="G197" i="1"/>
  <c r="L197" i="1" s="1"/>
  <c r="G199" i="1"/>
  <c r="M199" i="1" s="1"/>
  <c r="G201" i="1"/>
  <c r="G205" i="1"/>
  <c r="G209" i="1"/>
  <c r="G213" i="1"/>
  <c r="G217" i="1"/>
  <c r="G220" i="1"/>
  <c r="G224" i="1"/>
  <c r="G228" i="1"/>
  <c r="L228" i="1" s="1"/>
  <c r="G230" i="1"/>
  <c r="G234" i="1"/>
  <c r="G238" i="1"/>
  <c r="G242" i="1"/>
  <c r="G246" i="1"/>
  <c r="G250" i="1"/>
  <c r="M250" i="1" s="1"/>
  <c r="G135" i="1"/>
  <c r="G117" i="1"/>
  <c r="G121" i="1"/>
  <c r="M121" i="1" s="1"/>
  <c r="G123" i="1"/>
  <c r="L123" i="1" s="1"/>
  <c r="G125" i="1"/>
  <c r="G128" i="1"/>
  <c r="M128" i="1" s="1"/>
  <c r="G130" i="1"/>
  <c r="G115" i="1"/>
  <c r="G12" i="1"/>
  <c r="G16" i="1"/>
  <c r="G20" i="1"/>
  <c r="M20" i="1" s="1"/>
  <c r="G22" i="1"/>
  <c r="G24" i="1"/>
  <c r="G28" i="1"/>
  <c r="G32" i="1"/>
  <c r="L32" i="1" s="1"/>
  <c r="G34" i="1"/>
  <c r="G37" i="1"/>
  <c r="G41" i="1"/>
  <c r="L41" i="1" s="1"/>
  <c r="G43" i="1"/>
  <c r="L43" i="1" s="1"/>
  <c r="G46" i="1"/>
  <c r="G50" i="1"/>
  <c r="G53" i="1"/>
  <c r="L53" i="1" s="1"/>
  <c r="G55" i="1"/>
  <c r="M55" i="1" s="1"/>
  <c r="G57" i="1"/>
  <c r="G60" i="1"/>
  <c r="G64" i="1"/>
  <c r="G68" i="1"/>
  <c r="G72" i="1"/>
  <c r="G76" i="1"/>
  <c r="M76" i="1" s="1"/>
  <c r="G78" i="1"/>
  <c r="G82" i="1"/>
  <c r="G84" i="1"/>
  <c r="G87" i="1"/>
  <c r="G91" i="1"/>
  <c r="G95" i="1"/>
  <c r="G99" i="1"/>
  <c r="G103" i="1"/>
  <c r="G110" i="1"/>
  <c r="G9" i="1"/>
  <c r="P450" i="1"/>
  <c r="P447" i="1"/>
  <c r="F28" i="3"/>
  <c r="F29" i="3"/>
  <c r="G465" i="1"/>
  <c r="H354" i="1"/>
  <c r="K354" i="1" s="1"/>
  <c r="F14" i="3" s="1"/>
  <c r="F16" i="3" l="1"/>
  <c r="M454" i="1"/>
  <c r="F18" i="3"/>
  <c r="E4" i="3"/>
  <c r="E5" i="3"/>
  <c r="L115" i="1"/>
  <c r="E6" i="3"/>
  <c r="E7" i="3"/>
  <c r="E8" i="3"/>
  <c r="E11" i="3"/>
  <c r="K352" i="1"/>
  <c r="M352" i="1" s="1"/>
  <c r="F13" i="3"/>
  <c r="H29" i="3"/>
  <c r="G29" i="3"/>
  <c r="H28" i="3"/>
  <c r="G28" i="3"/>
  <c r="M395" i="1"/>
  <c r="H15" i="3" s="1"/>
  <c r="K452" i="1"/>
  <c r="L352" i="1"/>
  <c r="L387" i="1"/>
  <c r="K393" i="1"/>
  <c r="M346" i="1"/>
  <c r="M398" i="1"/>
  <c r="K429" i="1"/>
  <c r="L366" i="1"/>
  <c r="M354" i="1"/>
  <c r="L441" i="1"/>
  <c r="L250" i="1"/>
  <c r="L128" i="1"/>
  <c r="L20" i="1"/>
  <c r="L76" i="1"/>
  <c r="L308" i="1"/>
  <c r="M115" i="1"/>
  <c r="M441" i="1"/>
  <c r="L121" i="1"/>
  <c r="L199" i="1"/>
  <c r="L55" i="1"/>
  <c r="L350" i="1"/>
  <c r="L459" i="1"/>
  <c r="L376" i="1"/>
  <c r="M341" i="1"/>
  <c r="M349" i="1"/>
  <c r="M390" i="1"/>
  <c r="M357" i="1"/>
  <c r="M419" i="1"/>
  <c r="M410" i="1"/>
  <c r="M404" i="1"/>
  <c r="M450" i="1"/>
  <c r="L454" i="1"/>
  <c r="G18" i="3" s="1"/>
  <c r="M458" i="1"/>
  <c r="M53" i="1"/>
  <c r="M43" i="1"/>
  <c r="M228" i="1"/>
  <c r="M197" i="1"/>
  <c r="M177" i="1"/>
  <c r="M155" i="1"/>
  <c r="M270" i="1"/>
  <c r="M260" i="1"/>
  <c r="M348" i="1"/>
  <c r="M387" i="1"/>
  <c r="M366" i="1"/>
  <c r="M463" i="1"/>
  <c r="L346" i="1"/>
  <c r="G13" i="3" s="1"/>
  <c r="M388" i="1"/>
  <c r="L395" i="1"/>
  <c r="G15" i="3" s="1"/>
  <c r="M416" i="1"/>
  <c r="M407" i="1"/>
  <c r="M401" i="1"/>
  <c r="M447" i="1"/>
  <c r="M462" i="1"/>
  <c r="M457" i="1"/>
  <c r="M41" i="1"/>
  <c r="M32" i="1"/>
  <c r="M123" i="1"/>
  <c r="M195" i="1"/>
  <c r="M185" i="1"/>
  <c r="M183" i="1"/>
  <c r="M318" i="1"/>
  <c r="M262" i="1"/>
  <c r="M258" i="1"/>
  <c r="M347" i="1"/>
  <c r="M373" i="1"/>
  <c r="L398" i="1"/>
  <c r="M461" i="1"/>
  <c r="M456" i="1"/>
  <c r="M210" i="1"/>
  <c r="M351" i="1"/>
  <c r="L354" i="1"/>
  <c r="G14" i="3" s="1"/>
  <c r="M369" i="1"/>
  <c r="M363" i="1"/>
  <c r="M360" i="1"/>
  <c r="M385" i="1"/>
  <c r="M427" i="1"/>
  <c r="M413" i="1"/>
  <c r="M444" i="1"/>
  <c r="M460" i="1"/>
  <c r="M455" i="1"/>
  <c r="G252" i="1"/>
  <c r="G324" i="1"/>
  <c r="G343" i="1"/>
  <c r="G113" i="1"/>
  <c r="G133" i="1"/>
  <c r="G7" i="1"/>
  <c r="E19" i="3"/>
  <c r="L429" i="1" l="1"/>
  <c r="G16" i="3"/>
  <c r="H17" i="3"/>
  <c r="H14" i="3"/>
  <c r="H13" i="3"/>
  <c r="L452" i="1"/>
  <c r="G17" i="3"/>
  <c r="H16" i="3"/>
  <c r="H18" i="3"/>
  <c r="M393" i="1"/>
  <c r="L393" i="1"/>
  <c r="M429" i="1"/>
  <c r="M452" i="1"/>
  <c r="G344" i="1"/>
  <c r="C344" i="1" s="1"/>
  <c r="K396" i="1"/>
  <c r="H188" i="1"/>
  <c r="H17" i="1"/>
  <c r="I459" i="1"/>
  <c r="I458" i="1"/>
  <c r="I457" i="1"/>
  <c r="I456" i="1"/>
  <c r="I455" i="1"/>
  <c r="I454" i="1"/>
  <c r="K464" i="1" l="1"/>
  <c r="K465" i="1" s="1"/>
  <c r="L396" i="1"/>
  <c r="L464" i="1" l="1"/>
  <c r="M464" i="1" s="1"/>
  <c r="H338" i="1"/>
  <c r="H334" i="1"/>
  <c r="H152" i="1"/>
  <c r="H148" i="1"/>
  <c r="H305" i="1"/>
  <c r="H104" i="1"/>
  <c r="H79" i="1"/>
  <c r="H65" i="1"/>
  <c r="H73" i="1"/>
  <c r="H118" i="1"/>
  <c r="H247" i="1"/>
  <c r="H243" i="1"/>
  <c r="H239" i="1"/>
  <c r="H235" i="1"/>
  <c r="H231" i="1"/>
  <c r="H144" i="1"/>
  <c r="H47" i="1"/>
  <c r="H38" i="1"/>
  <c r="H29" i="1"/>
  <c r="H25" i="1"/>
  <c r="H13" i="1"/>
  <c r="H9" i="1"/>
  <c r="J290" i="1" l="1"/>
  <c r="K290" i="1" l="1"/>
  <c r="L290" i="1" l="1"/>
  <c r="M290" i="1"/>
  <c r="J321" i="1"/>
  <c r="K321" i="1" s="1"/>
  <c r="J315" i="1"/>
  <c r="K315" i="1" s="1"/>
  <c r="J311" i="1"/>
  <c r="K311" i="1" s="1"/>
  <c r="J255" i="1"/>
  <c r="K255" i="1" s="1"/>
  <c r="J218" i="1"/>
  <c r="K218" i="1" s="1"/>
  <c r="J104" i="1"/>
  <c r="K104" i="1" s="1"/>
  <c r="J92" i="1"/>
  <c r="K92" i="1" s="1"/>
  <c r="J88" i="1"/>
  <c r="K88" i="1" s="1"/>
  <c r="J61" i="1"/>
  <c r="K61" i="1" s="1"/>
  <c r="J47" i="1"/>
  <c r="K47" i="1" s="1"/>
  <c r="L61" i="1" l="1"/>
  <c r="M61" i="1"/>
  <c r="L218" i="1"/>
  <c r="M218" i="1"/>
  <c r="L47" i="1"/>
  <c r="M47" i="1"/>
  <c r="L315" i="1"/>
  <c r="M315" i="1"/>
  <c r="L88" i="1"/>
  <c r="M88" i="1"/>
  <c r="L92" i="1"/>
  <c r="M92" i="1"/>
  <c r="L104" i="1"/>
  <c r="M104" i="1"/>
  <c r="L255" i="1"/>
  <c r="M255" i="1"/>
  <c r="L311" i="1"/>
  <c r="M311" i="1"/>
  <c r="L321" i="1"/>
  <c r="M321" i="1"/>
  <c r="J65" i="1"/>
  <c r="K65" i="1" s="1"/>
  <c r="L65" i="1" l="1"/>
  <c r="M65" i="1"/>
  <c r="H135" i="1"/>
  <c r="H139" i="1"/>
  <c r="H143" i="1"/>
  <c r="H157" i="1"/>
  <c r="H161" i="1"/>
  <c r="H165" i="1"/>
  <c r="H169" i="1"/>
  <c r="H173" i="1"/>
  <c r="H191" i="1"/>
  <c r="H201" i="1"/>
  <c r="H205" i="1"/>
  <c r="H217" i="1"/>
  <c r="H254" i="1"/>
  <c r="H289" i="1"/>
  <c r="H292" i="1"/>
  <c r="H300" i="1"/>
  <c r="H310" i="1"/>
  <c r="H314" i="1"/>
  <c r="H320" i="1"/>
  <c r="J9" i="1"/>
  <c r="K9" i="1" s="1"/>
  <c r="J12" i="1"/>
  <c r="J16" i="1"/>
  <c r="J20" i="1"/>
  <c r="J22" i="1"/>
  <c r="J24" i="1"/>
  <c r="J28" i="1"/>
  <c r="J32" i="1"/>
  <c r="J34" i="1"/>
  <c r="K34" i="1" s="1"/>
  <c r="J37" i="1"/>
  <c r="J41" i="1"/>
  <c r="J43" i="1"/>
  <c r="J46" i="1"/>
  <c r="K46" i="1" s="1"/>
  <c r="J50" i="1"/>
  <c r="K50" i="1" s="1"/>
  <c r="J53" i="1"/>
  <c r="J55" i="1"/>
  <c r="J57" i="1"/>
  <c r="K57" i="1" s="1"/>
  <c r="J60" i="1"/>
  <c r="K60" i="1" s="1"/>
  <c r="J64" i="1"/>
  <c r="K64" i="1" s="1"/>
  <c r="J68" i="1"/>
  <c r="J72" i="1"/>
  <c r="J76" i="1"/>
  <c r="J78" i="1"/>
  <c r="J82" i="1"/>
  <c r="K82" i="1" s="1"/>
  <c r="J115" i="1"/>
  <c r="J117" i="1"/>
  <c r="J121" i="1"/>
  <c r="J123" i="1"/>
  <c r="J125" i="1"/>
  <c r="K125" i="1" s="1"/>
  <c r="J128" i="1"/>
  <c r="J130" i="1"/>
  <c r="K130" i="1" s="1"/>
  <c r="J84" i="1"/>
  <c r="K84" i="1" s="1"/>
  <c r="J87" i="1"/>
  <c r="K87" i="1" s="1"/>
  <c r="J91" i="1"/>
  <c r="K91" i="1" s="1"/>
  <c r="J95" i="1"/>
  <c r="J99" i="1"/>
  <c r="J103" i="1"/>
  <c r="K103" i="1" s="1"/>
  <c r="J110" i="1"/>
  <c r="K110" i="1" s="1"/>
  <c r="J135" i="1"/>
  <c r="J136" i="1" s="1"/>
  <c r="J139" i="1"/>
  <c r="J140" i="1" s="1"/>
  <c r="K140" i="1" s="1"/>
  <c r="J143" i="1"/>
  <c r="J144" i="1" s="1"/>
  <c r="J147" i="1"/>
  <c r="J151" i="1"/>
  <c r="J155" i="1"/>
  <c r="J157" i="1"/>
  <c r="J158" i="1" s="1"/>
  <c r="J161" i="1"/>
  <c r="J162" i="1" s="1"/>
  <c r="J165" i="1"/>
  <c r="J166" i="1" s="1"/>
  <c r="J169" i="1"/>
  <c r="J170" i="1" s="1"/>
  <c r="J173" i="1"/>
  <c r="J174" i="1" s="1"/>
  <c r="J177" i="1"/>
  <c r="J179" i="1"/>
  <c r="J183" i="1"/>
  <c r="J185" i="1"/>
  <c r="J187" i="1"/>
  <c r="J191" i="1"/>
  <c r="J192" i="1" s="1"/>
  <c r="J195" i="1"/>
  <c r="J197" i="1"/>
  <c r="J199" i="1"/>
  <c r="J201" i="1"/>
  <c r="J202" i="1" s="1"/>
  <c r="J205" i="1"/>
  <c r="J206" i="1" s="1"/>
  <c r="J209" i="1"/>
  <c r="K209" i="1" s="1"/>
  <c r="J213" i="1"/>
  <c r="J217" i="1"/>
  <c r="J220" i="1"/>
  <c r="J224" i="1"/>
  <c r="J228" i="1"/>
  <c r="J230" i="1"/>
  <c r="J234" i="1"/>
  <c r="J238" i="1"/>
  <c r="J242" i="1"/>
  <c r="J246" i="1"/>
  <c r="J250" i="1"/>
  <c r="F9" i="3"/>
  <c r="J254" i="1"/>
  <c r="J258" i="1"/>
  <c r="J260" i="1"/>
  <c r="J262" i="1"/>
  <c r="J264" i="1"/>
  <c r="K264" i="1" s="1"/>
  <c r="J267" i="1"/>
  <c r="K267" i="1" s="1"/>
  <c r="J270" i="1"/>
  <c r="J272" i="1"/>
  <c r="K272" i="1" s="1"/>
  <c r="J275" i="1"/>
  <c r="K275" i="1" s="1"/>
  <c r="J278" i="1"/>
  <c r="K278" i="1" s="1"/>
  <c r="J281" i="1"/>
  <c r="K281" i="1" s="1"/>
  <c r="J283" i="1"/>
  <c r="K283" i="1" s="1"/>
  <c r="J285" i="1"/>
  <c r="J287" i="1"/>
  <c r="J289" i="1"/>
  <c r="J292" i="1"/>
  <c r="J293" i="1" s="1"/>
  <c r="K293" i="1" s="1"/>
  <c r="J294" i="1"/>
  <c r="K294" i="1" s="1"/>
  <c r="J297" i="1"/>
  <c r="K297" i="1" s="1"/>
  <c r="J300" i="1"/>
  <c r="J301" i="1" s="1"/>
  <c r="J304" i="1"/>
  <c r="J308" i="1"/>
  <c r="J310" i="1"/>
  <c r="J314" i="1"/>
  <c r="J318" i="1"/>
  <c r="J320" i="1"/>
  <c r="J326" i="1"/>
  <c r="J330" i="1"/>
  <c r="K330" i="1" s="1"/>
  <c r="J333" i="1"/>
  <c r="J337" i="1"/>
  <c r="J341" i="1"/>
  <c r="F4" i="3" l="1"/>
  <c r="M82" i="1"/>
  <c r="L82" i="1"/>
  <c r="L293" i="1"/>
  <c r="M293" i="1"/>
  <c r="K22" i="1"/>
  <c r="J23" i="1"/>
  <c r="K23" i="1" s="1"/>
  <c r="K326" i="1"/>
  <c r="L326" i="1" s="1"/>
  <c r="J327" i="1"/>
  <c r="K327" i="1" s="1"/>
  <c r="M9" i="1"/>
  <c r="L9" i="1"/>
  <c r="M46" i="1"/>
  <c r="L46" i="1"/>
  <c r="M272" i="1"/>
  <c r="L272" i="1"/>
  <c r="M64" i="1"/>
  <c r="L64" i="1"/>
  <c r="M209" i="1"/>
  <c r="L209" i="1"/>
  <c r="L103" i="1"/>
  <c r="M103" i="1"/>
  <c r="L60" i="1"/>
  <c r="M60" i="1"/>
  <c r="L140" i="1"/>
  <c r="M140" i="1"/>
  <c r="L110" i="1"/>
  <c r="M110" i="1"/>
  <c r="L34" i="1"/>
  <c r="M34" i="1"/>
  <c r="L130" i="1"/>
  <c r="M130" i="1"/>
  <c r="L91" i="1"/>
  <c r="M91" i="1"/>
  <c r="L125" i="1"/>
  <c r="M125" i="1"/>
  <c r="L57" i="1"/>
  <c r="M57" i="1"/>
  <c r="L294" i="1"/>
  <c r="M294" i="1"/>
  <c r="L330" i="1"/>
  <c r="M330" i="1"/>
  <c r="L283" i="1"/>
  <c r="M283" i="1"/>
  <c r="M281" i="1"/>
  <c r="L281" i="1"/>
  <c r="L87" i="1"/>
  <c r="M87" i="1"/>
  <c r="M297" i="1"/>
  <c r="L297" i="1"/>
  <c r="M264" i="1"/>
  <c r="L264" i="1"/>
  <c r="L278" i="1"/>
  <c r="M278" i="1"/>
  <c r="M84" i="1"/>
  <c r="L84" i="1"/>
  <c r="L267" i="1"/>
  <c r="M267" i="1"/>
  <c r="L275" i="1"/>
  <c r="M275" i="1"/>
  <c r="L50" i="1"/>
  <c r="M50" i="1"/>
  <c r="K289" i="1"/>
  <c r="K287" i="1"/>
  <c r="K169" i="1"/>
  <c r="K165" i="1"/>
  <c r="J247" i="1"/>
  <c r="K246" i="1"/>
  <c r="J214" i="1"/>
  <c r="K213" i="1"/>
  <c r="K144" i="1"/>
  <c r="H4" i="3"/>
  <c r="K7" i="1"/>
  <c r="H202" i="1"/>
  <c r="K202" i="1" s="1"/>
  <c r="K201" i="1"/>
  <c r="J243" i="1"/>
  <c r="K242" i="1"/>
  <c r="J180" i="1"/>
  <c r="K179" i="1"/>
  <c r="H192" i="1"/>
  <c r="K192" i="1" s="1"/>
  <c r="K191" i="1"/>
  <c r="J118" i="1"/>
  <c r="K117" i="1"/>
  <c r="J13" i="1"/>
  <c r="K13" i="1" s="1"/>
  <c r="K12" i="1"/>
  <c r="H206" i="1"/>
  <c r="K206" i="1" s="1"/>
  <c r="K205" i="1"/>
  <c r="J239" i="1"/>
  <c r="K238" i="1"/>
  <c r="K136" i="1"/>
  <c r="J79" i="1"/>
  <c r="K78" i="1"/>
  <c r="K285" i="1"/>
  <c r="K173" i="1"/>
  <c r="J235" i="1"/>
  <c r="K234" i="1"/>
  <c r="J334" i="1"/>
  <c r="K333" i="1"/>
  <c r="K314" i="1"/>
  <c r="K254" i="1"/>
  <c r="K161" i="1"/>
  <c r="J148" i="1"/>
  <c r="K147" i="1"/>
  <c r="J69" i="1"/>
  <c r="K68" i="1"/>
  <c r="J225" i="1"/>
  <c r="K224" i="1"/>
  <c r="K162" i="1"/>
  <c r="J100" i="1"/>
  <c r="K99" i="1"/>
  <c r="J29" i="1"/>
  <c r="K28" i="1"/>
  <c r="K310" i="1"/>
  <c r="K157" i="1"/>
  <c r="K170" i="1"/>
  <c r="J73" i="1"/>
  <c r="K72" i="1"/>
  <c r="J221" i="1"/>
  <c r="K221" i="1" s="1"/>
  <c r="K220" i="1"/>
  <c r="K158" i="1"/>
  <c r="J96" i="1"/>
  <c r="K96" i="1" s="1"/>
  <c r="K95" i="1"/>
  <c r="J25" i="1"/>
  <c r="K24" i="1"/>
  <c r="K143" i="1"/>
  <c r="K174" i="1"/>
  <c r="K320" i="1"/>
  <c r="J188" i="1"/>
  <c r="K187" i="1"/>
  <c r="H301" i="1"/>
  <c r="K301" i="1" s="1"/>
  <c r="K300" i="1"/>
  <c r="K139" i="1"/>
  <c r="K166" i="1"/>
  <c r="J152" i="1"/>
  <c r="K151" i="1"/>
  <c r="K292" i="1"/>
  <c r="K135" i="1"/>
  <c r="J338" i="1"/>
  <c r="K338" i="1" s="1"/>
  <c r="K337" i="1"/>
  <c r="J38" i="1"/>
  <c r="K37" i="1"/>
  <c r="J231" i="1"/>
  <c r="K230" i="1"/>
  <c r="J305" i="1"/>
  <c r="K304" i="1"/>
  <c r="J17" i="1"/>
  <c r="K17" i="1" s="1"/>
  <c r="K16" i="1"/>
  <c r="K217" i="1"/>
  <c r="F8" i="3" l="1"/>
  <c r="G9" i="3"/>
  <c r="H9" i="3"/>
  <c r="G4" i="3"/>
  <c r="M326" i="1"/>
  <c r="M23" i="1"/>
  <c r="L23" i="1"/>
  <c r="M22" i="1"/>
  <c r="L22" i="1"/>
  <c r="L327" i="1"/>
  <c r="M327" i="1"/>
  <c r="M135" i="1"/>
  <c r="L135" i="1"/>
  <c r="L224" i="1"/>
  <c r="M224" i="1"/>
  <c r="L234" i="1"/>
  <c r="M234" i="1"/>
  <c r="L206" i="1"/>
  <c r="M206" i="1"/>
  <c r="M169" i="1"/>
  <c r="L169" i="1"/>
  <c r="L201" i="1"/>
  <c r="M201" i="1"/>
  <c r="L174" i="1"/>
  <c r="M174" i="1"/>
  <c r="L170" i="1"/>
  <c r="M170" i="1"/>
  <c r="L287" i="1"/>
  <c r="M287" i="1"/>
  <c r="L12" i="1"/>
  <c r="M12" i="1"/>
  <c r="L143" i="1"/>
  <c r="M143" i="1"/>
  <c r="L68" i="1"/>
  <c r="M68" i="1"/>
  <c r="L151" i="1"/>
  <c r="M151" i="1"/>
  <c r="L289" i="1"/>
  <c r="M289" i="1"/>
  <c r="M320" i="1"/>
  <c r="L320" i="1"/>
  <c r="L292" i="1"/>
  <c r="M292" i="1"/>
  <c r="L173" i="1"/>
  <c r="M173" i="1"/>
  <c r="M157" i="1"/>
  <c r="L157" i="1"/>
  <c r="L24" i="1"/>
  <c r="M24" i="1"/>
  <c r="L310" i="1"/>
  <c r="M310" i="1"/>
  <c r="L147" i="1"/>
  <c r="M147" i="1"/>
  <c r="L78" i="1"/>
  <c r="M78" i="1"/>
  <c r="M191" i="1"/>
  <c r="L191" i="1"/>
  <c r="L144" i="1"/>
  <c r="M144" i="1"/>
  <c r="L202" i="1"/>
  <c r="M202" i="1"/>
  <c r="L192" i="1"/>
  <c r="M192" i="1"/>
  <c r="L213" i="1"/>
  <c r="M213" i="1"/>
  <c r="L72" i="1"/>
  <c r="M72" i="1"/>
  <c r="L17" i="1"/>
  <c r="M17" i="1"/>
  <c r="L117" i="1"/>
  <c r="M117" i="1"/>
  <c r="H8" i="3"/>
  <c r="G8" i="3"/>
  <c r="M95" i="1"/>
  <c r="L95" i="1"/>
  <c r="M28" i="1"/>
  <c r="L28" i="1"/>
  <c r="L161" i="1"/>
  <c r="M161" i="1"/>
  <c r="L136" i="1"/>
  <c r="M136" i="1"/>
  <c r="L16" i="1"/>
  <c r="M16" i="1"/>
  <c r="M37" i="1"/>
  <c r="L37" i="1"/>
  <c r="L300" i="1"/>
  <c r="M300" i="1"/>
  <c r="L96" i="1"/>
  <c r="M96" i="1"/>
  <c r="M254" i="1"/>
  <c r="L254" i="1"/>
  <c r="L238" i="1"/>
  <c r="M238" i="1"/>
  <c r="L246" i="1"/>
  <c r="M246" i="1"/>
  <c r="L13" i="1"/>
  <c r="M13" i="1"/>
  <c r="L285" i="1"/>
  <c r="M285" i="1"/>
  <c r="L304" i="1"/>
  <c r="M304" i="1"/>
  <c r="L166" i="1"/>
  <c r="M166" i="1"/>
  <c r="M230" i="1"/>
  <c r="L230" i="1"/>
  <c r="M139" i="1"/>
  <c r="L139" i="1"/>
  <c r="L301" i="1"/>
  <c r="M301" i="1"/>
  <c r="L158" i="1"/>
  <c r="M158" i="1"/>
  <c r="L99" i="1"/>
  <c r="M99" i="1"/>
  <c r="M314" i="1"/>
  <c r="L314" i="1"/>
  <c r="M179" i="1"/>
  <c r="L179" i="1"/>
  <c r="L165" i="1"/>
  <c r="M165" i="1"/>
  <c r="L337" i="1"/>
  <c r="M337" i="1"/>
  <c r="L187" i="1"/>
  <c r="M187" i="1"/>
  <c r="M220" i="1"/>
  <c r="L220" i="1"/>
  <c r="L333" i="1"/>
  <c r="M333" i="1"/>
  <c r="M217" i="1"/>
  <c r="L217" i="1"/>
  <c r="L338" i="1"/>
  <c r="M338" i="1"/>
  <c r="L221" i="1"/>
  <c r="M221" i="1"/>
  <c r="L162" i="1"/>
  <c r="M162" i="1"/>
  <c r="L205" i="1"/>
  <c r="M205" i="1"/>
  <c r="M242" i="1"/>
  <c r="L242" i="1"/>
  <c r="K152" i="1"/>
  <c r="K305" i="1"/>
  <c r="F10" i="3" s="1"/>
  <c r="K25" i="1"/>
  <c r="K225" i="1"/>
  <c r="K148" i="1"/>
  <c r="K239" i="1"/>
  <c r="K180" i="1"/>
  <c r="K334" i="1"/>
  <c r="F11" i="3" s="1"/>
  <c r="K69" i="1"/>
  <c r="K243" i="1"/>
  <c r="K79" i="1"/>
  <c r="K118" i="1"/>
  <c r="F6" i="3" s="1"/>
  <c r="K231" i="1"/>
  <c r="K214" i="1"/>
  <c r="K38" i="1"/>
  <c r="K29" i="1"/>
  <c r="K235" i="1"/>
  <c r="K73" i="1"/>
  <c r="K188" i="1"/>
  <c r="K247" i="1"/>
  <c r="K100" i="1"/>
  <c r="E12" i="3"/>
  <c r="E20" i="3" s="1"/>
  <c r="E21" i="3" s="1"/>
  <c r="G466" i="1"/>
  <c r="F7" i="3" l="1"/>
  <c r="F5" i="3"/>
  <c r="L38" i="1"/>
  <c r="M38" i="1"/>
  <c r="L148" i="1"/>
  <c r="G7" i="3" s="1"/>
  <c r="M148" i="1"/>
  <c r="L214" i="1"/>
  <c r="M214" i="1"/>
  <c r="L25" i="1"/>
  <c r="M25" i="1"/>
  <c r="L231" i="1"/>
  <c r="M231" i="1"/>
  <c r="L225" i="1"/>
  <c r="M225" i="1"/>
  <c r="L100" i="1"/>
  <c r="M100" i="1"/>
  <c r="L152" i="1"/>
  <c r="M152" i="1"/>
  <c r="L69" i="1"/>
  <c r="M69" i="1"/>
  <c r="L118" i="1"/>
  <c r="L133" i="1" s="1"/>
  <c r="M118" i="1"/>
  <c r="M133" i="1" s="1"/>
  <c r="L305" i="1"/>
  <c r="L324" i="1" s="1"/>
  <c r="M305" i="1"/>
  <c r="M324" i="1" s="1"/>
  <c r="L243" i="1"/>
  <c r="M243" i="1"/>
  <c r="L247" i="1"/>
  <c r="M247" i="1"/>
  <c r="L334" i="1"/>
  <c r="L343" i="1" s="1"/>
  <c r="M334" i="1"/>
  <c r="M343" i="1" s="1"/>
  <c r="L79" i="1"/>
  <c r="M79" i="1"/>
  <c r="L188" i="1"/>
  <c r="M188" i="1"/>
  <c r="L73" i="1"/>
  <c r="M73" i="1"/>
  <c r="L180" i="1"/>
  <c r="M180" i="1"/>
  <c r="L235" i="1"/>
  <c r="M235" i="1"/>
  <c r="L239" i="1"/>
  <c r="M239" i="1"/>
  <c r="L29" i="1"/>
  <c r="M29" i="1"/>
  <c r="K324" i="1"/>
  <c r="K252" i="1"/>
  <c r="K133" i="1"/>
  <c r="K343" i="1"/>
  <c r="K113" i="1"/>
  <c r="E22" i="3"/>
  <c r="M7" i="1"/>
  <c r="L7" i="1"/>
  <c r="H5" i="3" l="1"/>
  <c r="H7" i="3"/>
  <c r="G5" i="3"/>
  <c r="G10" i="3"/>
  <c r="G6" i="3"/>
  <c r="G11" i="3"/>
  <c r="H11" i="3"/>
  <c r="H6" i="3"/>
  <c r="H10" i="3"/>
  <c r="E23" i="3"/>
  <c r="E35" i="3" s="1"/>
  <c r="M113" i="1"/>
  <c r="M252" i="1"/>
  <c r="L252" i="1"/>
  <c r="L113" i="1"/>
  <c r="K344" i="1"/>
  <c r="M344" i="1" l="1"/>
  <c r="L344" i="1"/>
  <c r="H12" i="3"/>
  <c r="G12" i="3"/>
  <c r="F12" i="3"/>
  <c r="H19" i="3" l="1"/>
  <c r="H20" i="3" s="1"/>
  <c r="F19" i="3" l="1"/>
  <c r="F20" i="3" s="1"/>
  <c r="F21" i="3" s="1"/>
  <c r="G19" i="3"/>
  <c r="G20" i="3" s="1"/>
  <c r="I20" i="3" s="1"/>
  <c r="L465" i="1"/>
  <c r="L466" i="1" s="1"/>
  <c r="M466" i="1"/>
  <c r="K466" i="1"/>
  <c r="F26" i="3" l="1"/>
  <c r="F30" i="3"/>
  <c r="F22" i="3"/>
  <c r="G22" i="3" s="1"/>
  <c r="F25" i="3"/>
  <c r="K467" i="1"/>
  <c r="K470" i="1"/>
  <c r="G25" i="3" l="1"/>
  <c r="H25" i="3"/>
  <c r="F31" i="3"/>
  <c r="H26" i="3"/>
  <c r="G26" i="3"/>
  <c r="H30" i="3"/>
  <c r="G30" i="3"/>
  <c r="H21" i="3"/>
  <c r="G21" i="3"/>
  <c r="G23" i="3" s="1"/>
  <c r="F23" i="3"/>
  <c r="H22" i="3"/>
  <c r="H23" i="3" l="1"/>
  <c r="G31" i="3"/>
  <c r="H31" i="3"/>
  <c r="F32" i="3"/>
  <c r="H32" i="3" s="1"/>
  <c r="H34" i="3" l="1"/>
  <c r="H35" i="3" s="1"/>
  <c r="H38" i="3" s="1"/>
  <c r="F34" i="3"/>
  <c r="F35" i="3" s="1"/>
  <c r="F38" i="3" s="1"/>
  <c r="F39" i="3" s="1"/>
  <c r="G32" i="3"/>
  <c r="G34" i="3" l="1"/>
  <c r="G35" i="3" s="1"/>
  <c r="H37" i="3" l="1"/>
  <c r="H39" i="3" s="1"/>
  <c r="I35" i="3"/>
</calcChain>
</file>

<file path=xl/sharedStrings.xml><?xml version="1.0" encoding="utf-8"?>
<sst xmlns="http://schemas.openxmlformats.org/spreadsheetml/2006/main" count="1634" uniqueCount="534">
  <si>
    <t>QTY</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</si>
  <si>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</si>
  <si>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</si>
  <si>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</si>
  <si>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</si>
  <si>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</si>
  <si>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</si>
  <si>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</si>
  <si>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</si>
  <si>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Cum</t>
  </si>
  <si>
    <t>Sqm</t>
  </si>
  <si>
    <t>MT</t>
  </si>
  <si>
    <t>Rmt</t>
  </si>
  <si>
    <t>sqm</t>
  </si>
  <si>
    <t>Pts</t>
  </si>
  <si>
    <t>Job</t>
  </si>
  <si>
    <t>Set</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</si>
  <si>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</si>
  <si>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</si>
  <si>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</si>
  <si>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</si>
  <si>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</si>
  <si>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</si>
  <si>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</si>
  <si>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</si>
  <si>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</si>
  <si>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</si>
  <si>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</si>
  <si>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</si>
  <si>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</si>
  <si>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</si>
  <si>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</si>
  <si>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AIR CONDITIONING</t>
  </si>
  <si>
    <t>MGPS</t>
  </si>
  <si>
    <t xml:space="preserve"> </t>
  </si>
  <si>
    <t>EQUIPMENT</t>
  </si>
  <si>
    <t>MGMH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</si>
  <si>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</si>
  <si>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</si>
  <si>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</si>
  <si>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</si>
  <si>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</si>
  <si>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</si>
  <si>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</si>
  <si>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</si>
  <si>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</si>
  <si>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</si>
  <si>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</si>
  <si>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</si>
  <si>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</si>
  <si>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</si>
  <si>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</si>
  <si>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</si>
  <si>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</si>
  <si>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</si>
  <si>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</si>
  <si>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</si>
  <si>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</si>
  <si>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</si>
  <si>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</si>
  <si>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</si>
  <si>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</si>
  <si>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</si>
  <si>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</si>
  <si>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</si>
  <si>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</si>
  <si>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</si>
  <si>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</si>
  <si>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Supply and installation of AHUs stater on/off push button station for Remote control for inside IVF center with control wiring  from AC panel to on /off push button station with necessary items.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</si>
  <si>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</si>
  <si>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</si>
  <si>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</si>
  <si>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</si>
  <si>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</si>
  <si>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</si>
  <si>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SITC of Collar Dampers made of Al. extrusions with black powder coating for Grilles / Diffusers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</si>
  <si>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</si>
  <si>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</si>
  <si>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</si>
  <si>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</si>
  <si>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</si>
  <si>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</si>
  <si>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SITC of C02 Manifold for 2 Cylinders, with high pressure  Regulator, NRV, tailpipes etc. as per technical specifications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</si>
  <si>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</si>
  <si>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</si>
  <si>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</si>
  <si>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</si>
  <si>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</si>
  <si>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</si>
  <si>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</si>
  <si>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</si>
  <si>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</si>
  <si>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</si>
  <si>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</si>
  <si>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</si>
  <si>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</si>
  <si>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</si>
  <si>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</si>
  <si>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</si>
  <si>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</si>
  <si>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</si>
  <si>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</si>
  <si>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</si>
  <si>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</si>
  <si>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</si>
  <si>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</si>
  <si>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</si>
  <si>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</si>
  <si>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</si>
  <si>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</si>
  <si>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</si>
  <si>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</si>
  <si>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</si>
  <si>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</si>
  <si>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</si>
  <si>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</si>
  <si>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</si>
  <si>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</si>
  <si>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</si>
  <si>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</si>
  <si>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</si>
  <si>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</si>
  <si>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</si>
  <si>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</si>
  <si>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</si>
  <si>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</si>
  <si>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</si>
  <si>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</si>
  <si>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</si>
  <si>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</si>
  <si>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</si>
  <si>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</si>
  <si>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</si>
  <si>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</si>
  <si>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</si>
  <si>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</si>
  <si>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</si>
  <si>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</si>
  <si>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</si>
  <si>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</si>
  <si>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</si>
  <si>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</si>
  <si>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</si>
  <si>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</si>
  <si>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</si>
  <si>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</si>
  <si>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</si>
  <si>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</si>
  <si>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</si>
  <si>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</si>
  <si>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</si>
  <si>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</si>
  <si>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</si>
  <si>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</si>
  <si>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</si>
  <si>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</si>
  <si>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</si>
  <si>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</si>
  <si>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</si>
  <si>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</si>
  <si>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</si>
  <si>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</si>
  <si>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</si>
  <si>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</si>
  <si>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</si>
  <si>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</si>
  <si>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</si>
  <si>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</si>
  <si>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AC</t>
  </si>
  <si>
    <t>G</t>
  </si>
  <si>
    <t>EQP</t>
  </si>
  <si>
    <t>EQPS</t>
  </si>
  <si>
    <t>CS</t>
  </si>
  <si>
    <t>PS</t>
  </si>
  <si>
    <t>ES</t>
  </si>
  <si>
    <t>ACS</t>
  </si>
  <si>
    <t>GS</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</si>
  <si>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</si>
  <si>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</si>
  <si>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</si>
  <si>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</si>
  <si>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</si>
  <si>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</si>
  <si>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</si>
  <si>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</si>
  <si>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</si>
  <si>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</si>
  <si>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</si>
  <si>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</si>
  <si>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</si>
  <si>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</si>
  <si>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</si>
  <si>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</si>
  <si>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</si>
  <si>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</si>
  <si>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</si>
  <si>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</si>
  <si>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</si>
  <si>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</si>
  <si>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</si>
  <si>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</si>
  <si>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</si>
  <si>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</si>
  <si>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</si>
  <si>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</si>
  <si>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</si>
  <si>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</si>
  <si>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</si>
  <si>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</si>
  <si>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</si>
  <si>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</si>
  <si>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</si>
  <si>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</si>
  <si>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</si>
  <si>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</si>
  <si>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</si>
  <si>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</si>
  <si>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</si>
  <si>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</si>
  <si>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</si>
  <si>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</si>
  <si>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</si>
  <si>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</si>
  <si>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</si>
  <si>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</si>
  <si>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</si>
  <si>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</si>
  <si>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</si>
  <si>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</si>
  <si>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</si>
  <si>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</si>
  <si>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</si>
  <si>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</si>
  <si>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</si>
  <si>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</si>
  <si>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</si>
  <si>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</si>
  <si>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</si>
  <si>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</si>
  <si>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</si>
  <si>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</si>
  <si>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</si>
  <si>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</si>
  <si>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</si>
  <si>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</si>
  <si>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</si>
  <si>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</si>
  <si>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</si>
  <si>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</si>
  <si>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</si>
  <si>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</si>
  <si>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</si>
  <si>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</si>
  <si>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</si>
  <si>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</si>
  <si>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</si>
  <si>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No-04 of MB-11</t>
  </si>
  <si>
    <t>Qty V.Pg No-06 of MB-11</t>
  </si>
  <si>
    <t>Qty V.Pg No-13 of MB-11</t>
  </si>
  <si>
    <t>Qty V.Pg No-16 of MB-11</t>
  </si>
  <si>
    <t>Qty V.Pg No-23 of MB-11</t>
  </si>
  <si>
    <t>Qty V.Pg No-26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</si>
  <si>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</si>
  <si>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</si>
  <si>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</si>
  <si>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</si>
  <si>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</si>
  <si>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</si>
  <si>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</si>
  <si>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</si>
  <si>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</si>
  <si>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</si>
  <si>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</si>
  <si>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</si>
  <si>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No-33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</si>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</sst>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FF0000"/>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s>
  <fills count="2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4" fillId="0" borderId="0"/>
    <xf numFmtId="0" fontId="14" fillId="0" borderId="0"/>
    <xf numFmtId="0" fontId="14"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8"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4" fillId="0" borderId="0"/>
    <xf numFmtId="0" fontId="29" fillId="0" borderId="0"/>
    <xf numFmtId="0" fontId="14" fillId="0" borderId="0"/>
    <xf numFmtId="0" fontId="28" fillId="0" borderId="0"/>
    <xf numFmtId="0" fontId="14" fillId="0" borderId="0"/>
    <xf numFmtId="0" fontId="28" fillId="0" borderId="0"/>
    <xf numFmtId="0" fontId="14" fillId="0" borderId="0"/>
    <xf numFmtId="0" fontId="4" fillId="0" borderId="0"/>
    <xf numFmtId="0" fontId="2" fillId="0" borderId="0"/>
    <xf numFmtId="0" fontId="2" fillId="0" borderId="0"/>
    <xf numFmtId="0" fontId="28" fillId="0" borderId="0"/>
    <xf numFmtId="0" fontId="28" fillId="0" borderId="0"/>
    <xf numFmtId="0" fontId="14" fillId="0" borderId="0"/>
    <xf numFmtId="0" fontId="28" fillId="0" borderId="0"/>
    <xf numFmtId="0" fontId="30" fillId="0" borderId="0"/>
    <xf numFmtId="0" fontId="28" fillId="0" borderId="0"/>
    <xf numFmtId="0" fontId="28" fillId="0" borderId="0"/>
    <xf numFmtId="0" fontId="14" fillId="0" borderId="0"/>
    <xf numFmtId="0" fontId="14" fillId="0" borderId="0"/>
    <xf numFmtId="0" fontId="2" fillId="0" borderId="0"/>
    <xf numFmtId="0" fontId="2" fillId="0" borderId="0"/>
    <xf numFmtId="0" fontId="2" fillId="0" borderId="0"/>
    <xf numFmtId="0" fontId="2" fillId="0" borderId="0"/>
    <xf numFmtId="0" fontId="14" fillId="0" borderId="0"/>
    <xf numFmtId="0" fontId="29" fillId="0" borderId="0"/>
    <xf numFmtId="0" fontId="28" fillId="0" borderId="0"/>
    <xf numFmtId="0" fontId="14" fillId="0" borderId="0"/>
    <xf numFmtId="0" fontId="14" fillId="0" borderId="0"/>
    <xf numFmtId="0" fontId="14" fillId="0" borderId="0"/>
    <xf numFmtId="0" fontId="14" fillId="0" borderId="0"/>
    <xf numFmtId="0" fontId="28" fillId="0" borderId="0"/>
    <xf numFmtId="0" fontId="2" fillId="0" borderId="0"/>
    <xf numFmtId="0" fontId="2" fillId="0" borderId="0"/>
    <xf numFmtId="0" fontId="28" fillId="0" borderId="0">
      <alignment vertical="center"/>
    </xf>
    <xf numFmtId="0" fontId="28" fillId="0" borderId="0"/>
    <xf numFmtId="0" fontId="28" fillId="0" borderId="0"/>
    <xf numFmtId="0" fontId="14" fillId="0" borderId="0"/>
    <xf numFmtId="0" fontId="31" fillId="0" borderId="0"/>
    <xf numFmtId="9" fontId="14"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0" fontId="32" fillId="0" borderId="0"/>
    <xf numFmtId="9" fontId="3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1" fillId="0" borderId="0">
      <alignment horizontal="center"/>
    </xf>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171" fontId="43" fillId="0" borderId="0"/>
    <xf numFmtId="10" fontId="45" fillId="0" borderId="0"/>
    <xf numFmtId="0" fontId="30" fillId="0" borderId="0"/>
    <xf numFmtId="0" fontId="4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72" fontId="42" fillId="0" borderId="0"/>
    <xf numFmtId="172" fontId="47" fillId="0" borderId="0"/>
    <xf numFmtId="172" fontId="47" fillId="0" borderId="0"/>
    <xf numFmtId="172" fontId="47" fillId="0" borderId="0"/>
    <xf numFmtId="172" fontId="47" fillId="0" borderId="0"/>
    <xf numFmtId="172" fontId="47" fillId="0" borderId="0"/>
    <xf numFmtId="172" fontId="47" fillId="0" borderId="0"/>
    <xf numFmtId="172" fontId="47" fillId="0" borderId="0"/>
    <xf numFmtId="173" fontId="47" fillId="0" borderId="0"/>
    <xf numFmtId="174" fontId="30" fillId="0" borderId="0"/>
    <xf numFmtId="0" fontId="46" fillId="0" borderId="0"/>
    <xf numFmtId="0" fontId="43" fillId="0" borderId="0"/>
    <xf numFmtId="0" fontId="43" fillId="0" borderId="0"/>
    <xf numFmtId="175" fontId="30" fillId="0" borderId="0"/>
    <xf numFmtId="10" fontId="30" fillId="0" borderId="0"/>
    <xf numFmtId="176" fontId="43" fillId="0" borderId="0"/>
    <xf numFmtId="177" fontId="30" fillId="0" borderId="0"/>
    <xf numFmtId="0" fontId="43" fillId="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2" borderId="0"/>
    <xf numFmtId="0" fontId="42" fillId="12" borderId="0"/>
    <xf numFmtId="0" fontId="42" fillId="12" borderId="0"/>
    <xf numFmtId="0" fontId="42" fillId="12" borderId="0"/>
    <xf numFmtId="0" fontId="42" fillId="12"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0"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4" borderId="0"/>
    <xf numFmtId="0" fontId="42" fillId="14" borderId="0"/>
    <xf numFmtId="0" fontId="42" fillId="14" borderId="0"/>
    <xf numFmtId="0" fontId="42" fillId="14" borderId="0"/>
    <xf numFmtId="0" fontId="42" fillId="14"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3"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6" borderId="0"/>
    <xf numFmtId="0" fontId="42" fillId="16" borderId="0"/>
    <xf numFmtId="0" fontId="42" fillId="16" borderId="0"/>
    <xf numFmtId="0" fontId="42" fillId="16" borderId="0"/>
    <xf numFmtId="0" fontId="42" fillId="16"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5"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1"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8" borderId="0"/>
    <xf numFmtId="0" fontId="42" fillId="18" borderId="0"/>
    <xf numFmtId="0" fontId="42" fillId="18" borderId="0"/>
    <xf numFmtId="0" fontId="42" fillId="18" borderId="0"/>
    <xf numFmtId="0" fontId="42" fillId="18"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7" borderId="0"/>
    <xf numFmtId="0" fontId="42" fillId="11" borderId="0"/>
    <xf numFmtId="0" fontId="42" fillId="19" borderId="0"/>
    <xf numFmtId="0" fontId="42" fillId="19" borderId="0"/>
    <xf numFmtId="0" fontId="42" fillId="11" borderId="0"/>
    <xf numFmtId="0" fontId="42" fillId="19"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1" borderId="0"/>
    <xf numFmtId="0" fontId="42" fillId="21" borderId="0"/>
    <xf numFmtId="0" fontId="42" fillId="21" borderId="0"/>
    <xf numFmtId="0" fontId="42" fillId="21" borderId="0"/>
    <xf numFmtId="0" fontId="42" fillId="21"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20" borderId="0"/>
    <xf numFmtId="0" fontId="42" fillId="19" borderId="0"/>
    <xf numFmtId="0" fontId="42" fillId="20" borderId="0"/>
    <xf numFmtId="0" fontId="42" fillId="20" borderId="0"/>
    <xf numFmtId="0" fontId="42" fillId="19" borderId="0"/>
    <xf numFmtId="0" fontId="42" fillId="20"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42" fillId="19" borderId="0"/>
    <xf numFmtId="0" fontId="14" fillId="0"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42" fillId="22" borderId="0"/>
    <xf numFmtId="0" fontId="42" fillId="19" borderId="0"/>
    <xf numFmtId="0" fontId="42" fillId="22" borderId="0"/>
    <xf numFmtId="0" fontId="42" fillId="22" borderId="0"/>
    <xf numFmtId="0" fontId="42" fillId="22" borderId="0"/>
    <xf numFmtId="0" fontId="42" fillId="22"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2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3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427">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18" fillId="0" borderId="0" xfId="5" applyFont="1" applyAlignment="1">
      <alignment horizontal="left" vertical="top" wrapText="1"/>
    </xf>
    <xf numFmtId="0" fontId="18" fillId="0" borderId="0" xfId="5" applyFont="1" applyAlignment="1">
      <alignment horizontal="center" vertical="center" wrapText="1"/>
    </xf>
    <xf numFmtId="43" fontId="18" fillId="0" borderId="0" xfId="5" applyNumberFormat="1" applyFont="1" applyAlignment="1">
      <alignment horizontal="left" vertical="top" wrapText="1"/>
    </xf>
    <xf numFmtId="0" fontId="18" fillId="0" borderId="1" xfId="5" applyFont="1" applyBorder="1" applyAlignment="1">
      <alignment horizontal="center" vertical="center" wrapText="1"/>
    </xf>
    <xf numFmtId="0" fontId="20" fillId="0" borderId="1" xfId="6" applyFont="1" applyBorder="1" applyAlignment="1">
      <alignment horizontal="right" vertical="center" wrapText="1"/>
    </xf>
    <xf numFmtId="0" fontId="18" fillId="0" borderId="0" xfId="5" applyFont="1" applyAlignment="1">
      <alignment horizontal="left" vertical="center" wrapText="1"/>
    </xf>
    <xf numFmtId="0" fontId="18" fillId="0" borderId="1" xfId="5" applyFont="1" applyBorder="1" applyAlignment="1">
      <alignment horizontal="left" vertical="center" wrapText="1"/>
    </xf>
    <xf numFmtId="166" fontId="18" fillId="0" borderId="1" xfId="5" applyNumberFormat="1" applyFont="1" applyBorder="1" applyAlignment="1">
      <alignment horizontal="left" vertical="center" wrapText="1"/>
    </xf>
    <xf numFmtId="0" fontId="20" fillId="0" borderId="1" xfId="6" applyFont="1" applyBorder="1" applyAlignment="1">
      <alignment horizontal="left" vertical="center" wrapText="1"/>
    </xf>
    <xf numFmtId="9" fontId="20" fillId="0" borderId="1" xfId="6" applyNumberFormat="1" applyFont="1" applyBorder="1" applyAlignment="1">
      <alignment horizontal="center" vertical="center" wrapText="1"/>
    </xf>
    <xf numFmtId="0" fontId="20" fillId="0" borderId="1" xfId="6" applyFont="1" applyBorder="1" applyAlignment="1">
      <alignment horizontal="center" vertical="center" wrapText="1"/>
    </xf>
    <xf numFmtId="10" fontId="20" fillId="0" borderId="1" xfId="6" applyNumberFormat="1" applyFont="1" applyBorder="1" applyAlignment="1">
      <alignment horizontal="center" vertical="center" wrapText="1"/>
    </xf>
    <xf numFmtId="166" fontId="19" fillId="0" borderId="1" xfId="5" applyNumberFormat="1" applyFont="1" applyBorder="1" applyAlignment="1">
      <alignment horizontal="left" vertical="center" wrapText="1"/>
    </xf>
    <xf numFmtId="0" fontId="19" fillId="0" borderId="1" xfId="5" applyFont="1" applyBorder="1" applyAlignment="1">
      <alignment horizontal="right" vertical="center" wrapText="1"/>
    </xf>
    <xf numFmtId="0" fontId="18" fillId="0" borderId="1" xfId="5" applyFont="1" applyBorder="1" applyAlignment="1">
      <alignment horizontal="right" vertical="center" wrapText="1"/>
    </xf>
    <xf numFmtId="0" fontId="19" fillId="0" borderId="1" xfId="5" applyFont="1" applyBorder="1" applyAlignment="1">
      <alignment horizontal="center" vertical="center" wrapText="1"/>
    </xf>
    <xf numFmtId="0" fontId="19"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6" fillId="0" borderId="1" xfId="0" applyNumberFormat="1" applyFont="1" applyBorder="1" applyAlignment="1">
      <alignment horizontal="center" vertical="center" wrapText="1"/>
    </xf>
    <xf numFmtId="43" fontId="27"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0" fontId="8" fillId="0" borderId="1" xfId="0" applyFont="1" applyBorder="1" applyAlignment="1">
      <alignment horizontal="left" vertical="top"/>
    </xf>
    <xf numFmtId="43" fontId="6" fillId="0" borderId="1" xfId="1" applyFont="1" applyFill="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center" vertical="center" wrapText="1"/>
    </xf>
    <xf numFmtId="43" fontId="8" fillId="0" borderId="1" xfId="1" applyFont="1" applyFill="1" applyBorder="1" applyAlignment="1">
      <alignment horizontal="right" vertical="center"/>
    </xf>
    <xf numFmtId="0" fontId="8" fillId="0" borderId="1" xfId="0" applyFont="1" applyBorder="1" applyAlignment="1">
      <alignment horizontal="right" vertical="center"/>
    </xf>
    <xf numFmtId="43" fontId="8" fillId="0" borderId="1" xfId="0" applyNumberFormat="1" applyFont="1" applyBorder="1" applyAlignment="1">
      <alignment horizontal="right" vertical="center"/>
    </xf>
    <xf numFmtId="0" fontId="9" fillId="0" borderId="1" xfId="0" applyFont="1" applyBorder="1" applyAlignment="1">
      <alignment horizontal="center" vertical="center" wrapText="1"/>
    </xf>
    <xf numFmtId="0" fontId="12" fillId="0" borderId="1" xfId="0" applyFont="1" applyBorder="1" applyAlignment="1">
      <alignment horizontal="left" vertical="center"/>
    </xf>
    <xf numFmtId="0" fontId="8" fillId="0" borderId="1" xfId="0" applyFont="1" applyBorder="1" applyAlignment="1">
      <alignment horizontal="left" vertical="center"/>
    </xf>
    <xf numFmtId="43" fontId="12" fillId="0" borderId="1" xfId="0" applyNumberFormat="1" applyFont="1" applyBorder="1" applyAlignment="1">
      <alignment horizontal="right" vertical="center"/>
    </xf>
    <xf numFmtId="166" fontId="12" fillId="0" borderId="1" xfId="0" applyNumberFormat="1" applyFont="1" applyBorder="1" applyAlignment="1">
      <alignment horizontal="right" vertical="center"/>
    </xf>
    <xf numFmtId="165" fontId="8" fillId="0" borderId="1" xfId="0" applyNumberFormat="1" applyFont="1" applyBorder="1" applyAlignment="1">
      <alignment horizontal="center" vertical="center" shrinkToFit="1"/>
    </xf>
    <xf numFmtId="43" fontId="12" fillId="0" borderId="1" xfId="1" applyFont="1" applyFill="1" applyBorder="1" applyAlignment="1">
      <alignment horizontal="right" vertical="center"/>
    </xf>
    <xf numFmtId="0" fontId="12" fillId="0" borderId="1" xfId="0" applyFont="1" applyBorder="1" applyAlignment="1">
      <alignment horizontal="center" vertical="center"/>
    </xf>
    <xf numFmtId="1" fontId="8" fillId="0" borderId="1" xfId="0" applyNumberFormat="1" applyFont="1" applyBorder="1" applyAlignment="1">
      <alignment horizontal="center" vertical="center" wrapText="1" shrinkToFit="1"/>
    </xf>
    <xf numFmtId="4" fontId="8" fillId="0" borderId="1" xfId="0" applyNumberFormat="1" applyFont="1" applyBorder="1" applyAlignment="1">
      <alignment horizontal="right" vertical="center" wrapText="1"/>
    </xf>
    <xf numFmtId="4" fontId="8" fillId="0" borderId="1" xfId="0" applyNumberFormat="1" applyFont="1" applyBorder="1" applyAlignment="1">
      <alignment horizontal="right" vertical="center" wrapText="1" shrinkToFit="1"/>
    </xf>
    <xf numFmtId="2" fontId="8" fillId="0" borderId="1" xfId="0" applyNumberFormat="1" applyFont="1" applyBorder="1" applyAlignment="1">
      <alignment horizontal="center" vertical="center" wrapText="1" shrinkToFit="1"/>
    </xf>
    <xf numFmtId="166" fontId="8" fillId="0" borderId="1" xfId="1" applyNumberFormat="1" applyFont="1" applyFill="1" applyBorder="1" applyAlignment="1">
      <alignment horizontal="right" vertical="center" wrapText="1" shrinkToFit="1"/>
    </xf>
    <xf numFmtId="166" fontId="12" fillId="0" borderId="1" xfId="1" applyNumberFormat="1" applyFont="1" applyFill="1" applyBorder="1" applyAlignment="1">
      <alignment horizontal="center" vertical="center" wrapText="1" shrinkToFit="1"/>
    </xf>
    <xf numFmtId="0" fontId="6" fillId="0" borderId="1" xfId="2" applyFont="1" applyBorder="1" applyAlignment="1">
      <alignment vertical="center" wrapText="1"/>
    </xf>
    <xf numFmtId="0" fontId="9" fillId="0" borderId="1" xfId="2" applyFont="1" applyBorder="1" applyAlignment="1">
      <alignment vertical="center" wrapText="1"/>
    </xf>
    <xf numFmtId="2" fontId="8" fillId="0" borderId="1" xfId="0" applyNumberFormat="1" applyFont="1" applyBorder="1" applyAlignment="1">
      <alignment vertical="center" wrapText="1"/>
    </xf>
    <xf numFmtId="0" fontId="8" fillId="0" borderId="1" xfId="0" applyFont="1" applyBorder="1" applyAlignment="1">
      <alignment vertical="center" wrapText="1"/>
    </xf>
    <xf numFmtId="2" fontId="8" fillId="0" borderId="1" xfId="0" applyNumberFormat="1" applyFont="1" applyBorder="1" applyAlignment="1">
      <alignment horizontal="center" vertical="center" wrapTex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0" fontId="8" fillId="0" borderId="1" xfId="0" applyFont="1" applyBorder="1" applyAlignment="1">
      <alignment horizontal="right" vertical="center" wrapText="1"/>
    </xf>
    <xf numFmtId="2" fontId="11"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9" fillId="0" borderId="1" xfId="3" applyFont="1" applyBorder="1" applyAlignment="1">
      <alignment horizontal="center" vertical="center" wrapText="1"/>
    </xf>
    <xf numFmtId="0" fontId="8" fillId="0" borderId="1" xfId="4" applyFont="1" applyBorder="1" applyAlignment="1">
      <alignment horizontal="center" vertical="center" wrapText="1"/>
    </xf>
    <xf numFmtId="43" fontId="12" fillId="0" borderId="1" xfId="1" applyFont="1" applyFill="1" applyBorder="1" applyAlignment="1">
      <alignment horizontal="center" vertical="center" wrapText="1" shrinkToFit="1"/>
    </xf>
    <xf numFmtId="1" fontId="8"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2" fontId="12" fillId="0" borderId="1" xfId="0" applyNumberFormat="1" applyFont="1" applyBorder="1" applyAlignment="1">
      <alignment horizontal="right" vertical="center"/>
    </xf>
    <xf numFmtId="164" fontId="12" fillId="0" borderId="1" xfId="0" applyNumberFormat="1" applyFont="1" applyBorder="1" applyAlignment="1">
      <alignment horizontal="right" vertical="center"/>
    </xf>
    <xf numFmtId="167" fontId="12" fillId="0" borderId="1" xfId="0" applyNumberFormat="1" applyFont="1" applyBorder="1" applyAlignment="1">
      <alignment horizontal="right" vertical="center"/>
    </xf>
    <xf numFmtId="167" fontId="8" fillId="0" borderId="1" xfId="0" applyNumberFormat="1" applyFont="1" applyBorder="1" applyAlignment="1">
      <alignment horizontal="right" vertical="center"/>
    </xf>
    <xf numFmtId="2" fontId="8" fillId="0" borderId="1" xfId="0" applyNumberFormat="1" applyFont="1" applyBorder="1" applyAlignment="1">
      <alignment horizontal="left" vertical="center"/>
    </xf>
    <xf numFmtId="166" fontId="8" fillId="0" borderId="1" xfId="9" applyNumberFormat="1" applyFont="1" applyFill="1" applyBorder="1" applyAlignment="1">
      <alignment horizontal="right" vertical="center" wrapText="1" shrinkToFit="1"/>
    </xf>
    <xf numFmtId="0" fontId="22" fillId="0" borderId="1" xfId="0" applyFont="1" applyBorder="1" applyAlignment="1">
      <alignment vertical="center" wrapText="1"/>
    </xf>
    <xf numFmtId="0" fontId="9" fillId="0" borderId="1" xfId="0" applyFont="1" applyBorder="1" applyAlignment="1">
      <alignment vertical="center" wrapText="1"/>
    </xf>
    <xf numFmtId="0" fontId="9" fillId="0" borderId="1" xfId="3" applyFont="1" applyBorder="1" applyAlignment="1">
      <alignment vertical="center" wrapText="1"/>
    </xf>
    <xf numFmtId="0" fontId="8" fillId="0" borderId="1" xfId="4" applyFont="1" applyBorder="1" applyAlignment="1">
      <alignment vertical="center" wrapText="1"/>
    </xf>
    <xf numFmtId="43" fontId="8" fillId="0" borderId="1" xfId="0" applyNumberFormat="1" applyFont="1" applyBorder="1" applyAlignment="1">
      <alignment horizontal="center" vertical="center"/>
    </xf>
    <xf numFmtId="43" fontId="9" fillId="0" borderId="1" xfId="0" applyNumberFormat="1" applyFont="1" applyBorder="1" applyAlignment="1">
      <alignment horizontal="right"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43" fontId="8" fillId="8" borderId="1" xfId="0" applyNumberFormat="1" applyFont="1" applyFill="1" applyBorder="1" applyAlignment="1">
      <alignment horizontal="right" vertical="center"/>
    </xf>
    <xf numFmtId="0" fontId="8" fillId="8" borderId="1" xfId="0" applyFont="1" applyFill="1" applyBorder="1" applyAlignment="1">
      <alignment horizontal="left" vertical="center"/>
    </xf>
    <xf numFmtId="0" fontId="8" fillId="8" borderId="1" xfId="69" applyFont="1" applyFill="1" applyBorder="1" applyAlignment="1">
      <alignment horizontal="center" vertical="center"/>
    </xf>
    <xf numFmtId="1" fontId="8" fillId="8" borderId="1" xfId="0" applyNumberFormat="1" applyFont="1" applyFill="1" applyBorder="1" applyAlignment="1">
      <alignment horizontal="center" vertical="center" wrapText="1"/>
    </xf>
    <xf numFmtId="166" fontId="8" fillId="8" borderId="1" xfId="9" applyNumberFormat="1" applyFont="1" applyFill="1" applyBorder="1" applyAlignment="1">
      <alignment horizontal="right" vertical="center" wrapText="1" shrinkToFit="1"/>
    </xf>
    <xf numFmtId="0" fontId="8" fillId="8" borderId="1" xfId="69" applyFont="1" applyFill="1" applyBorder="1" applyAlignment="1">
      <alignment horizontal="left" vertical="center"/>
    </xf>
    <xf numFmtId="43" fontId="8" fillId="8" borderId="1" xfId="69" applyNumberFormat="1" applyFont="1" applyFill="1" applyBorder="1" applyAlignment="1">
      <alignment horizontal="center" vertical="center"/>
    </xf>
    <xf numFmtId="0" fontId="8" fillId="8" borderId="1" xfId="0" applyFont="1" applyFill="1" applyBorder="1" applyAlignment="1">
      <alignment horizontal="right" vertical="center" wrapText="1"/>
    </xf>
    <xf numFmtId="2" fontId="8" fillId="8"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xf>
    <xf numFmtId="43" fontId="8" fillId="9" borderId="1" xfId="0" applyNumberFormat="1" applyFont="1" applyFill="1" applyBorder="1" applyAlignment="1">
      <alignment horizontal="center" vertical="center"/>
    </xf>
    <xf numFmtId="166" fontId="12" fillId="0" borderId="1" xfId="1" applyNumberFormat="1" applyFont="1" applyFill="1" applyBorder="1" applyAlignment="1">
      <alignment horizontal="right" vertical="center" wrapText="1" shrinkToFit="1"/>
    </xf>
    <xf numFmtId="2" fontId="9" fillId="8" borderId="1" xfId="0" applyNumberFormat="1" applyFont="1" applyFill="1" applyBorder="1" applyAlignment="1">
      <alignment horizontal="center" vertical="center" wrapText="1"/>
    </xf>
    <xf numFmtId="2" fontId="6" fillId="8" borderId="1" xfId="2" applyNumberFormat="1" applyFont="1" applyFill="1" applyBorder="1" applyAlignment="1">
      <alignment vertical="center" wrapText="1"/>
    </xf>
    <xf numFmtId="0" fontId="6" fillId="8" borderId="1" xfId="2" applyFont="1" applyFill="1" applyBorder="1" applyAlignment="1">
      <alignment vertical="center" wrapText="1"/>
    </xf>
    <xf numFmtId="43" fontId="6" fillId="0" borderId="1" xfId="1" applyFont="1" applyFill="1" applyBorder="1" applyAlignment="1">
      <alignment horizontal="right" vertical="center" wrapText="1"/>
    </xf>
    <xf numFmtId="43" fontId="8" fillId="0" borderId="1" xfId="1" applyFont="1" applyBorder="1" applyAlignment="1">
      <alignment horizontal="right" vertical="center"/>
    </xf>
    <xf numFmtId="43" fontId="12" fillId="0" borderId="1" xfId="1" applyFont="1" applyBorder="1" applyAlignment="1">
      <alignment horizontal="right" vertical="center"/>
    </xf>
    <xf numFmtId="43" fontId="8" fillId="0" borderId="1" xfId="1" applyFont="1" applyFill="1" applyBorder="1" applyAlignment="1">
      <alignment horizontal="right" vertical="center" wrapText="1" shrinkToFit="1"/>
    </xf>
    <xf numFmtId="43" fontId="12" fillId="0" borderId="1" xfId="1" applyFont="1" applyFill="1" applyBorder="1" applyAlignment="1">
      <alignment horizontal="right" vertical="center" wrapText="1" shrinkToFit="1"/>
    </xf>
    <xf numFmtId="43" fontId="9" fillId="0" borderId="1" xfId="1" applyFont="1" applyBorder="1" applyAlignment="1">
      <alignment horizontal="right" vertical="center"/>
    </xf>
    <xf numFmtId="43" fontId="11" fillId="0" borderId="1" xfId="1" applyFont="1" applyBorder="1" applyAlignment="1">
      <alignment horizontal="right" vertical="center"/>
    </xf>
    <xf numFmtId="43" fontId="9" fillId="0" borderId="1" xfId="1" applyFont="1" applyFill="1" applyBorder="1" applyAlignment="1">
      <alignment horizontal="right" vertical="center" wrapText="1"/>
    </xf>
    <xf numFmtId="43" fontId="8" fillId="8" borderId="1" xfId="1" applyFont="1" applyFill="1" applyBorder="1" applyAlignment="1">
      <alignment horizontal="right" vertical="center" wrapText="1"/>
    </xf>
    <xf numFmtId="43" fontId="8" fillId="8" borderId="1" xfId="1" applyFont="1" applyFill="1" applyBorder="1" applyAlignment="1">
      <alignment horizontal="righ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0" fillId="0" borderId="0" xfId="71" applyFont="1"/>
    <xf numFmtId="0" fontId="36" fillId="8" borderId="1" xfId="2" applyFont="1" applyFill="1" applyBorder="1"/>
    <xf numFmtId="2" fontId="37" fillId="8" borderId="1" xfId="2" applyNumberFormat="1" applyFont="1" applyFill="1" applyBorder="1" applyAlignment="1">
      <alignment horizontal="center" vertical="center" shrinkToFit="1"/>
    </xf>
    <xf numFmtId="1" fontId="37" fillId="8" borderId="1" xfId="2" applyNumberFormat="1" applyFont="1" applyFill="1" applyBorder="1" applyAlignment="1">
      <alignment horizontal="center" vertical="center" shrinkToFit="1"/>
    </xf>
    <xf numFmtId="0" fontId="36" fillId="8" borderId="1" xfId="2" applyFont="1" applyFill="1" applyBorder="1" applyAlignment="1">
      <alignment horizontal="center" vertical="center" shrinkToFit="1"/>
    </xf>
    <xf numFmtId="2" fontId="36" fillId="8" borderId="1" xfId="2" applyNumberFormat="1" applyFont="1" applyFill="1" applyBorder="1" applyAlignment="1">
      <alignment horizontal="center" vertical="center" shrinkToFit="1"/>
    </xf>
    <xf numFmtId="0" fontId="36" fillId="8" borderId="1" xfId="2" applyFont="1" applyFill="1" applyBorder="1" applyAlignment="1">
      <alignment horizontal="justify" vertical="top" wrapText="1"/>
    </xf>
    <xf numFmtId="0" fontId="37" fillId="8" borderId="1" xfId="2" applyFont="1" applyFill="1" applyBorder="1" applyAlignment="1">
      <alignment horizontal="justify" vertical="top" wrapText="1"/>
    </xf>
    <xf numFmtId="0" fontId="37" fillId="8" borderId="1" xfId="2" applyFont="1" applyFill="1" applyBorder="1" applyAlignment="1">
      <alignment horizontal="center" vertical="center" shrinkToFit="1"/>
    </xf>
    <xf numFmtId="0" fontId="37" fillId="8" borderId="1" xfId="2" applyFont="1" applyFill="1" applyBorder="1"/>
    <xf numFmtId="2" fontId="37" fillId="8" borderId="1" xfId="72" applyNumberFormat="1" applyFont="1" applyFill="1" applyBorder="1" applyAlignment="1">
      <alignment horizontal="center" vertical="center" shrinkToFit="1"/>
    </xf>
    <xf numFmtId="1" fontId="37" fillId="8" borderId="1" xfId="2" applyNumberFormat="1" applyFont="1" applyFill="1" applyBorder="1" applyAlignment="1">
      <alignment horizontal="center" vertical="center"/>
    </xf>
    <xf numFmtId="0" fontId="37" fillId="8" borderId="1" xfId="2" applyFont="1" applyFill="1" applyBorder="1" applyAlignment="1">
      <alignment horizontal="center" vertical="center"/>
    </xf>
    <xf numFmtId="0" fontId="37" fillId="8" borderId="1" xfId="2" applyFont="1" applyFill="1" applyBorder="1" applyAlignment="1">
      <alignment horizontal="justify" wrapText="1"/>
    </xf>
    <xf numFmtId="0" fontId="36" fillId="8" borderId="1" xfId="2" applyFont="1" applyFill="1" applyBorder="1" applyAlignment="1">
      <alignment horizontal="justify" wrapText="1"/>
    </xf>
    <xf numFmtId="2" fontId="36" fillId="8" borderId="1" xfId="2" applyNumberFormat="1" applyFont="1" applyFill="1" applyBorder="1" applyAlignment="1">
      <alignment horizontal="center" vertical="center"/>
    </xf>
    <xf numFmtId="2" fontId="37" fillId="8" borderId="1" xfId="2" applyNumberFormat="1" applyFont="1" applyFill="1" applyBorder="1" applyAlignment="1">
      <alignment horizontal="center" vertical="center"/>
    </xf>
    <xf numFmtId="0" fontId="36" fillId="8" borderId="1" xfId="2" applyFont="1" applyFill="1" applyBorder="1" applyAlignment="1">
      <alignment horizontal="justify" vertical="center" wrapText="1"/>
    </xf>
    <xf numFmtId="1" fontId="36" fillId="8" borderId="1" xfId="2" applyNumberFormat="1" applyFont="1" applyFill="1" applyBorder="1" applyAlignment="1">
      <alignment horizontal="center" vertical="center" shrinkToFit="1"/>
    </xf>
    <xf numFmtId="2" fontId="36" fillId="8" borderId="1" xfId="2" applyNumberFormat="1" applyFont="1" applyFill="1" applyBorder="1" applyAlignment="1">
      <alignment horizontal="right" vertical="center" wrapText="1"/>
    </xf>
    <xf numFmtId="166" fontId="36" fillId="8" borderId="1" xfId="73" applyNumberFormat="1" applyFont="1" applyFill="1" applyBorder="1" applyAlignment="1">
      <alignment horizontal="center" vertical="center" shrinkToFit="1"/>
    </xf>
    <xf numFmtId="166" fontId="36" fillId="2" borderId="1" xfId="73" applyNumberFormat="1" applyFont="1" applyFill="1" applyBorder="1" applyAlignment="1">
      <alignment horizontal="center" vertical="center" shrinkToFit="1"/>
    </xf>
    <xf numFmtId="0" fontId="20" fillId="0" borderId="0" xfId="71" applyFont="1" applyAlignment="1">
      <alignment vertical="center"/>
    </xf>
    <xf numFmtId="0" fontId="39" fillId="0" borderId="9" xfId="2" applyFont="1" applyBorder="1" applyAlignment="1">
      <alignment horizontal="justify" vertical="center" wrapText="1"/>
    </xf>
    <xf numFmtId="0" fontId="39" fillId="0" borderId="10" xfId="2" applyFont="1" applyBorder="1" applyAlignment="1">
      <alignment vertical="center" wrapText="1" shrinkToFit="1"/>
    </xf>
    <xf numFmtId="0" fontId="40" fillId="0" borderId="0" xfId="2" applyFont="1" applyAlignment="1">
      <alignment vertical="center"/>
    </xf>
    <xf numFmtId="0" fontId="40" fillId="0" borderId="9" xfId="2" applyFont="1" applyBorder="1" applyAlignment="1">
      <alignment horizontal="justify" vertical="center" wrapText="1"/>
    </xf>
    <xf numFmtId="0" fontId="40" fillId="0" borderId="10" xfId="2" applyFont="1" applyBorder="1" applyAlignment="1">
      <alignment vertical="center" wrapText="1"/>
    </xf>
    <xf numFmtId="2" fontId="40" fillId="0" borderId="10" xfId="2" applyNumberFormat="1" applyFont="1" applyBorder="1" applyAlignment="1">
      <alignment vertical="center" wrapText="1"/>
    </xf>
    <xf numFmtId="0" fontId="40" fillId="0" borderId="0" xfId="2" applyFont="1" applyAlignment="1">
      <alignment horizontal="justify" vertical="center" wrapText="1"/>
    </xf>
    <xf numFmtId="0" fontId="40" fillId="0" borderId="0" xfId="2" applyFont="1" applyAlignment="1">
      <alignment vertical="center" wrapText="1"/>
    </xf>
    <xf numFmtId="2" fontId="40" fillId="0" borderId="0" xfId="2" applyNumberFormat="1" applyFont="1" applyAlignment="1">
      <alignment vertical="center" wrapText="1"/>
    </xf>
    <xf numFmtId="2" fontId="39" fillId="0" borderId="10" xfId="2" applyNumberFormat="1" applyFont="1" applyBorder="1" applyAlignment="1">
      <alignment vertical="center" wrapText="1"/>
    </xf>
    <xf numFmtId="2" fontId="39" fillId="0" borderId="0" xfId="2" applyNumberFormat="1" applyFont="1" applyAlignment="1">
      <alignment vertical="center" wrapText="1"/>
    </xf>
    <xf numFmtId="0" fontId="39" fillId="0" borderId="0" xfId="2" applyFont="1" applyAlignment="1">
      <alignment horizontal="left" vertical="center" wrapText="1"/>
    </xf>
    <xf numFmtId="0" fontId="40" fillId="0" borderId="0" xfId="2" applyFont="1" applyAlignment="1">
      <alignment horizontal="left" vertical="center" wrapText="1"/>
    </xf>
    <xf numFmtId="0" fontId="40" fillId="0" borderId="0" xfId="2" applyFont="1" applyAlignment="1">
      <alignment horizontal="center" vertical="center" wrapText="1"/>
    </xf>
    <xf numFmtId="0" fontId="37" fillId="0" borderId="9" xfId="2" applyFont="1" applyBorder="1" applyAlignment="1">
      <alignment vertical="center"/>
    </xf>
    <xf numFmtId="0" fontId="37" fillId="0" borderId="0" xfId="2" applyFont="1" applyAlignment="1">
      <alignment vertical="center"/>
    </xf>
    <xf numFmtId="0" fontId="39" fillId="0" borderId="10" xfId="2" applyFont="1" applyBorder="1" applyAlignment="1">
      <alignment vertical="center" wrapText="1"/>
    </xf>
    <xf numFmtId="0" fontId="39" fillId="0" borderId="0" xfId="2" applyFont="1" applyAlignment="1">
      <alignment vertical="center" wrapText="1"/>
    </xf>
    <xf numFmtId="0" fontId="39" fillId="0" borderId="10" xfId="2" applyFont="1" applyBorder="1" applyAlignment="1">
      <alignment vertical="center"/>
    </xf>
    <xf numFmtId="0" fontId="39" fillId="0" borderId="0" xfId="2" applyFont="1" applyAlignment="1">
      <alignment vertical="center"/>
    </xf>
    <xf numFmtId="0" fontId="39" fillId="0" borderId="0" xfId="2" applyFont="1" applyAlignment="1">
      <alignment horizontal="justify" vertical="center" wrapText="1"/>
    </xf>
    <xf numFmtId="0" fontId="40" fillId="0" borderId="10" xfId="2" applyFont="1" applyBorder="1" applyAlignment="1">
      <alignment horizontal="left" vertical="center" wrapText="1" shrinkToFit="1"/>
    </xf>
    <xf numFmtId="1" fontId="40" fillId="0" borderId="10" xfId="2" applyNumberFormat="1" applyFont="1" applyBorder="1" applyAlignment="1">
      <alignment vertical="center" wrapText="1" shrinkToFit="1"/>
    </xf>
    <xf numFmtId="0" fontId="40" fillId="0" borderId="0" xfId="2" applyFont="1" applyAlignment="1">
      <alignment horizontal="left" vertical="center" wrapText="1" shrinkToFit="1"/>
    </xf>
    <xf numFmtId="1" fontId="40" fillId="0" borderId="0" xfId="2" applyNumberFormat="1" applyFont="1" applyAlignment="1">
      <alignment vertical="center" wrapText="1" shrinkToFit="1"/>
    </xf>
    <xf numFmtId="2" fontId="40" fillId="0" borderId="0" xfId="2" applyNumberFormat="1" applyFont="1" applyAlignment="1">
      <alignment horizontal="center" vertical="center" wrapText="1" shrinkToFit="1"/>
    </xf>
    <xf numFmtId="2" fontId="40" fillId="0" borderId="10" xfId="2" applyNumberFormat="1" applyFont="1" applyBorder="1" applyAlignment="1">
      <alignment horizontal="right" vertical="center" wrapText="1" shrinkToFit="1"/>
    </xf>
    <xf numFmtId="2" fontId="40" fillId="0" borderId="0" xfId="2" applyNumberFormat="1" applyFont="1" applyAlignment="1">
      <alignment horizontal="right" vertical="center" wrapText="1" shrinkToFit="1"/>
    </xf>
    <xf numFmtId="0" fontId="40" fillId="0" borderId="9" xfId="2" applyFont="1" applyBorder="1" applyAlignment="1">
      <alignment vertical="center"/>
    </xf>
    <xf numFmtId="0" fontId="40" fillId="0" borderId="0" xfId="2" applyFont="1" applyAlignment="1">
      <alignment horizontal="center" vertical="center"/>
    </xf>
    <xf numFmtId="2" fontId="40" fillId="0" borderId="10" xfId="72" applyNumberFormat="1" applyFont="1" applyBorder="1" applyAlignment="1">
      <alignment horizontal="right" vertical="center" wrapText="1" shrinkToFit="1"/>
    </xf>
    <xf numFmtId="0" fontId="39" fillId="0" borderId="10" xfId="2" applyFont="1" applyBorder="1" applyAlignment="1">
      <alignment horizontal="left" vertical="center" wrapText="1" shrinkToFit="1"/>
    </xf>
    <xf numFmtId="2" fontId="40" fillId="0" borderId="0" xfId="72" applyNumberFormat="1" applyFont="1" applyBorder="1" applyAlignment="1">
      <alignment horizontal="right" vertical="center" wrapText="1" shrinkToFit="1"/>
    </xf>
    <xf numFmtId="0" fontId="39" fillId="0" borderId="0" xfId="2" applyFont="1" applyAlignment="1">
      <alignment horizontal="left" vertical="center" wrapText="1" shrinkToFit="1"/>
    </xf>
    <xf numFmtId="0" fontId="40" fillId="0" borderId="10" xfId="2" applyFont="1" applyBorder="1" applyAlignment="1">
      <alignment vertical="center" wrapText="1" shrinkToFit="1"/>
    </xf>
    <xf numFmtId="1" fontId="40" fillId="0" borderId="10" xfId="2" applyNumberFormat="1" applyFont="1" applyBorder="1" applyAlignment="1">
      <alignment vertical="center" wrapText="1"/>
    </xf>
    <xf numFmtId="0" fontId="40" fillId="0" borderId="10" xfId="2" applyFont="1" applyBorder="1" applyAlignment="1">
      <alignment horizontal="left" vertical="center" wrapText="1"/>
    </xf>
    <xf numFmtId="0" fontId="40" fillId="0" borderId="0" xfId="2" applyFont="1" applyAlignment="1">
      <alignment vertical="center" wrapText="1" shrinkToFit="1"/>
    </xf>
    <xf numFmtId="1" fontId="40" fillId="0" borderId="0" xfId="2" applyNumberFormat="1" applyFont="1" applyAlignment="1">
      <alignment vertical="center" wrapText="1"/>
    </xf>
    <xf numFmtId="0" fontId="39" fillId="0" borderId="9" xfId="2" applyFont="1" applyBorder="1" applyAlignment="1">
      <alignment horizontal="left" vertical="center" wrapText="1"/>
    </xf>
    <xf numFmtId="2" fontId="40" fillId="0" borderId="10" xfId="2" applyNumberFormat="1" applyFont="1" applyBorder="1" applyAlignment="1">
      <alignment vertical="center" wrapText="1" shrinkToFit="1"/>
    </xf>
    <xf numFmtId="2" fontId="40" fillId="0" borderId="0" xfId="2" applyNumberFormat="1" applyFont="1" applyAlignment="1">
      <alignment vertical="center" wrapText="1" shrinkToFit="1"/>
    </xf>
    <xf numFmtId="2" fontId="39" fillId="0" borderId="0" xfId="2" applyNumberFormat="1" applyFont="1" applyAlignment="1">
      <alignment horizontal="center" vertical="center" wrapText="1" shrinkToFit="1"/>
    </xf>
    <xf numFmtId="0" fontId="40" fillId="0" borderId="9" xfId="2" applyFont="1" applyBorder="1" applyAlignment="1">
      <alignment vertical="center" wrapText="1"/>
    </xf>
    <xf numFmtId="170" fontId="40" fillId="0" borderId="10" xfId="72" applyNumberFormat="1" applyFont="1" applyBorder="1" applyAlignment="1">
      <alignment horizontal="right" vertical="center" wrapText="1" shrinkToFit="1"/>
    </xf>
    <xf numFmtId="170" fontId="40" fillId="0" borderId="0" xfId="72" applyNumberFormat="1" applyFont="1" applyBorder="1" applyAlignment="1">
      <alignment horizontal="right" vertical="center" wrapText="1" shrinkToFit="1"/>
    </xf>
    <xf numFmtId="0" fontId="39" fillId="0" borderId="9" xfId="2" applyFont="1" applyBorder="1" applyAlignment="1">
      <alignment vertical="center"/>
    </xf>
    <xf numFmtId="166" fontId="39" fillId="0" borderId="0" xfId="73" applyNumberFormat="1" applyFont="1" applyBorder="1" applyAlignment="1">
      <alignment horizontal="center" vertical="center" wrapText="1" shrinkToFit="1"/>
    </xf>
    <xf numFmtId="0" fontId="39" fillId="0" borderId="0" xfId="2" applyFont="1" applyAlignment="1">
      <alignment horizontal="right" vertical="center" wrapText="1"/>
    </xf>
    <xf numFmtId="0" fontId="7" fillId="0" borderId="1" xfId="0" applyFont="1" applyBorder="1" applyAlignment="1">
      <alignment horizontal="left" vertical="center" wrapText="1"/>
    </xf>
    <xf numFmtId="0" fontId="34" fillId="0" borderId="1" xfId="0" applyFont="1" applyBorder="1" applyAlignment="1">
      <alignment horizontal="left" vertical="center" wrapText="1"/>
    </xf>
    <xf numFmtId="0" fontId="10" fillId="0" borderId="1" xfId="0" applyFont="1" applyBorder="1" applyAlignment="1">
      <alignment horizontal="left" vertical="center"/>
    </xf>
    <xf numFmtId="0" fontId="15" fillId="0" borderId="1" xfId="0" applyFont="1" applyBorder="1" applyAlignment="1">
      <alignment vertical="center"/>
    </xf>
    <xf numFmtId="0" fontId="23" fillId="0" borderId="1" xfId="0" applyFont="1" applyBorder="1" applyAlignment="1">
      <alignment vertical="center"/>
    </xf>
    <xf numFmtId="0" fontId="40" fillId="0" borderId="9" xfId="2" applyFont="1" applyBorder="1" applyAlignment="1">
      <alignment horizontal="left" vertical="center" wrapText="1"/>
    </xf>
    <xf numFmtId="0" fontId="40" fillId="0" borderId="10" xfId="2" applyFont="1" applyBorder="1" applyAlignment="1">
      <alignment vertical="center"/>
    </xf>
    <xf numFmtId="0" fontId="37" fillId="0" borderId="10" xfId="2" applyFont="1" applyBorder="1" applyAlignment="1">
      <alignment vertical="center"/>
    </xf>
    <xf numFmtId="0" fontId="15" fillId="8" borderId="1" xfId="0" applyFont="1" applyFill="1" applyBorder="1" applyAlignment="1">
      <alignment vertical="center"/>
    </xf>
    <xf numFmtId="1" fontId="8" fillId="8" borderId="1" xfId="0" applyNumberFormat="1" applyFont="1" applyFill="1" applyBorder="1" applyAlignment="1">
      <alignment horizontal="left" vertical="center" wrapText="1"/>
    </xf>
    <xf numFmtId="0" fontId="9"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12" fillId="0" borderId="1" xfId="0" applyFont="1" applyBorder="1" applyAlignment="1">
      <alignment horizontal="right" vertical="center"/>
    </xf>
    <xf numFmtId="0" fontId="12" fillId="0" borderId="1" xfId="0" applyFont="1" applyBorder="1" applyAlignment="1">
      <alignment horizontal="left" vertical="center" wrapText="1"/>
    </xf>
    <xf numFmtId="0" fontId="6" fillId="0" borderId="1" xfId="2" applyFont="1" applyBorder="1" applyAlignment="1">
      <alignment horizontal="left" vertical="center" wrapText="1"/>
    </xf>
    <xf numFmtId="0" fontId="9" fillId="8" borderId="1" xfId="0" applyFont="1" applyFill="1" applyBorder="1" applyAlignment="1">
      <alignment horizontal="left" vertical="center" wrapText="1"/>
    </xf>
    <xf numFmtId="0" fontId="6" fillId="8" borderId="1" xfId="2" applyFont="1" applyFill="1" applyBorder="1" applyAlignment="1">
      <alignment horizontal="left" vertical="center" wrapText="1"/>
    </xf>
    <xf numFmtId="0" fontId="22" fillId="0" borderId="1" xfId="0" applyFont="1" applyBorder="1" applyAlignment="1">
      <alignment horizontal="left" vertical="center" wrapText="1"/>
    </xf>
    <xf numFmtId="0" fontId="33" fillId="0" borderId="1" xfId="0" applyFont="1" applyBorder="1" applyAlignment="1">
      <alignment horizontal="left" vertical="center" wrapText="1"/>
    </xf>
    <xf numFmtId="0" fontId="9" fillId="0" borderId="1" xfId="3" applyFont="1" applyBorder="1" applyAlignment="1">
      <alignment horizontal="left" vertical="center" wrapText="1"/>
    </xf>
    <xf numFmtId="0" fontId="6" fillId="0" borderId="1" xfId="3" applyFont="1" applyBorder="1" applyAlignment="1">
      <alignment horizontal="left" vertical="center" wrapText="1"/>
    </xf>
    <xf numFmtId="0" fontId="8" fillId="0" borderId="1" xfId="4" applyFont="1" applyBorder="1" applyAlignment="1">
      <alignment horizontal="left" vertical="center" wrapText="1"/>
    </xf>
    <xf numFmtId="0" fontId="12" fillId="0" borderId="1" xfId="4" applyFont="1" applyBorder="1" applyAlignment="1">
      <alignment horizontal="left" vertical="center" wrapText="1"/>
    </xf>
    <xf numFmtId="164" fontId="8" fillId="0" borderId="1" xfId="0" applyNumberFormat="1" applyFont="1" applyBorder="1" applyAlignment="1">
      <alignment horizontal="left" vertical="center"/>
    </xf>
    <xf numFmtId="164" fontId="8" fillId="0" borderId="1" xfId="0" applyNumberFormat="1" applyFont="1" applyBorder="1" applyAlignment="1">
      <alignment horizontal="left" vertical="center" wrapText="1"/>
    </xf>
    <xf numFmtId="164" fontId="12" fillId="0" borderId="1" xfId="0" applyNumberFormat="1" applyFont="1" applyBorder="1" applyAlignment="1">
      <alignment horizontal="left" vertical="center" wrapText="1"/>
    </xf>
    <xf numFmtId="43" fontId="8" fillId="0" borderId="1" xfId="0" applyNumberFormat="1" applyFont="1" applyBorder="1" applyAlignment="1">
      <alignment horizontal="left" vertical="center" wrapText="1"/>
    </xf>
    <xf numFmtId="1" fontId="8" fillId="0" borderId="1" xfId="0" applyNumberFormat="1" applyFont="1" applyFill="1" applyBorder="1" applyAlignment="1">
      <alignment horizontal="left" vertical="center" wrapText="1"/>
    </xf>
    <xf numFmtId="1" fontId="8" fillId="8" borderId="1" xfId="69"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0" fontId="9" fillId="8" borderId="1" xfId="2" applyFont="1" applyFill="1" applyBorder="1" applyAlignment="1">
      <alignment horizontal="left" vertical="center" wrapText="1"/>
    </xf>
    <xf numFmtId="0" fontId="8" fillId="8" borderId="1" xfId="0" applyFont="1" applyFill="1" applyBorder="1" applyAlignment="1">
      <alignment vertical="center" wrapText="1"/>
    </xf>
    <xf numFmtId="0" fontId="8" fillId="8" borderId="1" xfId="0" applyFont="1" applyFill="1" applyBorder="1" applyAlignment="1">
      <alignment horizontal="right" vertical="center"/>
    </xf>
    <xf numFmtId="2" fontId="9" fillId="8" borderId="1" xfId="2" applyNumberFormat="1" applyFont="1" applyFill="1" applyBorder="1" applyAlignment="1">
      <alignment vertical="center" wrapText="1"/>
    </xf>
    <xf numFmtId="0" fontId="9" fillId="8" borderId="1" xfId="2" applyFont="1" applyFill="1" applyBorder="1" applyAlignment="1">
      <alignment vertical="center" wrapText="1"/>
    </xf>
    <xf numFmtId="0" fontId="12" fillId="8" borderId="1" xfId="0" applyFont="1" applyFill="1" applyBorder="1" applyAlignment="1">
      <alignment horizontal="left" vertical="center" wrapText="1"/>
    </xf>
    <xf numFmtId="0" fontId="48" fillId="8" borderId="0" xfId="71" applyFont="1" applyFill="1" applyAlignment="1">
      <alignment vertical="center"/>
    </xf>
    <xf numFmtId="0" fontId="20" fillId="0" borderId="1" xfId="71" applyFont="1" applyBorder="1"/>
    <xf numFmtId="166" fontId="48" fillId="2" borderId="1" xfId="1" applyNumberFormat="1" applyFont="1" applyFill="1" applyBorder="1"/>
    <xf numFmtId="0" fontId="39" fillId="0" borderId="11" xfId="2" applyFont="1" applyBorder="1" applyAlignment="1">
      <alignment vertical="center"/>
    </xf>
    <xf numFmtId="0" fontId="40" fillId="0" borderId="8" xfId="2" applyFont="1" applyBorder="1" applyAlignment="1">
      <alignment vertical="center"/>
    </xf>
    <xf numFmtId="0" fontId="40" fillId="0" borderId="8" xfId="2" applyFont="1" applyBorder="1" applyAlignment="1">
      <alignment vertical="center" wrapText="1" shrinkToFit="1"/>
    </xf>
    <xf numFmtId="0" fontId="48" fillId="0" borderId="1" xfId="2" applyFont="1" applyBorder="1"/>
    <xf numFmtId="0" fontId="48" fillId="0" borderId="1" xfId="2" applyFont="1" applyBorder="1" applyAlignment="1">
      <alignment horizontal="justify" vertical="top" wrapText="1"/>
    </xf>
    <xf numFmtId="0" fontId="48" fillId="0" borderId="1" xfId="2" applyFont="1" applyBorder="1" applyAlignment="1">
      <alignment horizontal="center" vertical="top" wrapText="1"/>
    </xf>
    <xf numFmtId="2" fontId="48" fillId="0" borderId="1" xfId="2" applyNumberFormat="1" applyFont="1" applyBorder="1" applyAlignment="1">
      <alignment horizontal="center" vertical="top" wrapText="1"/>
    </xf>
    <xf numFmtId="0" fontId="20" fillId="0" borderId="1" xfId="2" applyFont="1" applyBorder="1" applyAlignment="1">
      <alignment horizontal="justify" vertical="top" wrapText="1"/>
    </xf>
    <xf numFmtId="2" fontId="20" fillId="0" borderId="1" xfId="2" applyNumberFormat="1" applyFont="1" applyBorder="1" applyAlignment="1">
      <alignment horizontal="right" vertical="top" wrapText="1" shrinkToFit="1"/>
    </xf>
    <xf numFmtId="0" fontId="20" fillId="0" borderId="1" xfId="2" applyFont="1" applyBorder="1" applyAlignment="1">
      <alignment horizontal="left" vertical="top" wrapText="1" shrinkToFit="1"/>
    </xf>
    <xf numFmtId="2" fontId="20" fillId="0" borderId="1" xfId="2" applyNumberFormat="1" applyFont="1" applyBorder="1" applyAlignment="1">
      <alignment horizontal="center" vertical="top" wrapText="1" shrinkToFit="1"/>
    </xf>
    <xf numFmtId="1" fontId="20" fillId="0" borderId="1" xfId="2" applyNumberFormat="1" applyFont="1" applyBorder="1" applyAlignment="1">
      <alignment horizontal="right" vertical="top" wrapText="1" shrinkToFit="1"/>
    </xf>
    <xf numFmtId="2" fontId="20" fillId="0" borderId="1" xfId="2" applyNumberFormat="1" applyFont="1" applyBorder="1" applyAlignment="1">
      <alignment vertical="top" wrapText="1"/>
    </xf>
    <xf numFmtId="0" fontId="20" fillId="0" borderId="1" xfId="2" applyFont="1" applyBorder="1" applyAlignment="1">
      <alignment vertical="top" wrapText="1"/>
    </xf>
    <xf numFmtId="2" fontId="20" fillId="0" borderId="1" xfId="2" applyNumberFormat="1" applyFont="1" applyBorder="1" applyAlignment="1">
      <alignment horizontal="center" vertical="top" wrapText="1"/>
    </xf>
    <xf numFmtId="1" fontId="20" fillId="0" borderId="1" xfId="2" applyNumberFormat="1" applyFont="1" applyBorder="1" applyAlignment="1">
      <alignment vertical="top" wrapText="1"/>
    </xf>
    <xf numFmtId="2" fontId="20" fillId="0" borderId="1" xfId="2" applyNumberFormat="1" applyFont="1" applyBorder="1" applyAlignment="1">
      <alignment vertical="top" wrapText="1" shrinkToFit="1"/>
    </xf>
    <xf numFmtId="2" fontId="20" fillId="0" borderId="1" xfId="2" applyNumberFormat="1" applyFont="1" applyBorder="1" applyAlignment="1">
      <alignment horizontal="left" vertical="top" wrapText="1" shrinkToFit="1"/>
    </xf>
    <xf numFmtId="1" fontId="20" fillId="0" borderId="1" xfId="2" applyNumberFormat="1" applyFont="1" applyBorder="1" applyAlignment="1">
      <alignment vertical="top" wrapText="1" shrinkToFit="1"/>
    </xf>
    <xf numFmtId="169" fontId="20" fillId="0" borderId="1" xfId="2" applyNumberFormat="1" applyFont="1" applyBorder="1" applyAlignment="1">
      <alignment horizontal="left" vertical="top" wrapText="1" shrinkToFit="1"/>
    </xf>
    <xf numFmtId="0" fontId="48" fillId="0" borderId="1" xfId="2" applyFont="1" applyBorder="1" applyAlignment="1">
      <alignment horizontal="justify" vertical="center" wrapText="1"/>
    </xf>
    <xf numFmtId="0" fontId="48" fillId="0" borderId="1" xfId="2" applyFont="1" applyBorder="1" applyAlignment="1">
      <alignment horizontal="center" vertical="center" wrapText="1"/>
    </xf>
    <xf numFmtId="2" fontId="48" fillId="0" borderId="1" xfId="2" applyNumberFormat="1" applyFont="1" applyBorder="1" applyAlignment="1">
      <alignment horizontal="center" vertical="center" shrinkToFit="1"/>
    </xf>
    <xf numFmtId="2" fontId="48" fillId="0" borderId="1" xfId="2" applyNumberFormat="1" applyFont="1" applyBorder="1" applyAlignment="1">
      <alignment horizontal="center" vertical="top" shrinkToFit="1"/>
    </xf>
    <xf numFmtId="1" fontId="48" fillId="0" borderId="1" xfId="2" applyNumberFormat="1" applyFont="1" applyBorder="1" applyAlignment="1">
      <alignment horizontal="center" vertical="top" shrinkToFit="1"/>
    </xf>
    <xf numFmtId="0" fontId="48" fillId="0" borderId="1" xfId="2" applyFont="1" applyBorder="1" applyAlignment="1">
      <alignment horizontal="center" vertical="top" shrinkToFit="1"/>
    </xf>
    <xf numFmtId="2" fontId="20" fillId="0" borderId="1" xfId="2" applyNumberFormat="1" applyFont="1" applyBorder="1" applyAlignment="1">
      <alignment horizontal="center" vertical="top" shrinkToFit="1"/>
    </xf>
    <xf numFmtId="2" fontId="20" fillId="0" borderId="1" xfId="2" applyNumberFormat="1" applyFont="1" applyBorder="1" applyAlignment="1">
      <alignment horizontal="center" shrinkToFit="1"/>
    </xf>
    <xf numFmtId="2" fontId="20" fillId="0" borderId="1" xfId="2" applyNumberFormat="1" applyFont="1" applyBorder="1" applyAlignment="1">
      <alignment horizontal="center" vertical="center" shrinkToFit="1"/>
    </xf>
    <xf numFmtId="2" fontId="48" fillId="0" borderId="1" xfId="2" applyNumberFormat="1" applyFont="1" applyBorder="1" applyAlignment="1">
      <alignment horizontal="right" vertical="center" wrapText="1"/>
    </xf>
    <xf numFmtId="1" fontId="48" fillId="0" borderId="1" xfId="2" applyNumberFormat="1" applyFont="1" applyBorder="1" applyAlignment="1">
      <alignment horizontal="center" vertical="center" shrinkToFit="1"/>
    </xf>
    <xf numFmtId="1" fontId="48" fillId="2" borderId="1" xfId="2" applyNumberFormat="1" applyFont="1" applyFill="1" applyBorder="1" applyAlignment="1">
      <alignment horizontal="center" vertical="center" shrinkToFit="1"/>
    </xf>
    <xf numFmtId="0" fontId="48" fillId="0" borderId="10" xfId="2" applyFont="1" applyBorder="1" applyAlignment="1">
      <alignment vertical="top" wrapText="1"/>
    </xf>
    <xf numFmtId="0" fontId="20" fillId="0" borderId="10" xfId="2" applyFont="1" applyBorder="1"/>
    <xf numFmtId="0" fontId="20" fillId="0" borderId="10" xfId="2" applyFont="1" applyBorder="1" applyAlignment="1">
      <alignment horizontal="center"/>
    </xf>
    <xf numFmtId="0" fontId="20" fillId="0" borderId="10" xfId="2" applyFont="1" applyBorder="1" applyAlignment="1">
      <alignment horizontal="justify" vertical="top" wrapText="1"/>
    </xf>
    <xf numFmtId="0" fontId="48" fillId="0" borderId="10" xfId="2" applyFont="1" applyBorder="1" applyAlignment="1">
      <alignment horizontal="left" vertical="top" wrapText="1"/>
    </xf>
    <xf numFmtId="0" fontId="20" fillId="0" borderId="10" xfId="2" applyFont="1" applyBorder="1" applyAlignment="1">
      <alignment horizontal="left" vertical="top" wrapText="1"/>
    </xf>
    <xf numFmtId="0" fontId="20" fillId="0" borderId="10" xfId="2" applyFont="1" applyBorder="1" applyAlignment="1">
      <alignment horizontal="center" vertical="top" wrapText="1"/>
    </xf>
    <xf numFmtId="2" fontId="20" fillId="0" borderId="10" xfId="2" applyNumberFormat="1" applyFont="1" applyBorder="1" applyAlignment="1">
      <alignment vertical="top"/>
    </xf>
    <xf numFmtId="0" fontId="20" fillId="0" borderId="10" xfId="2" applyFont="1" applyBorder="1" applyAlignment="1">
      <alignment vertical="top"/>
    </xf>
    <xf numFmtId="2" fontId="20" fillId="0" borderId="10" xfId="2" applyNumberFormat="1" applyFont="1" applyBorder="1" applyAlignment="1">
      <alignment horizontal="center" vertical="top"/>
    </xf>
    <xf numFmtId="1" fontId="20" fillId="0" borderId="10" xfId="2" applyNumberFormat="1" applyFont="1" applyBorder="1" applyAlignment="1">
      <alignment vertical="top"/>
    </xf>
    <xf numFmtId="2" fontId="20" fillId="0" borderId="10" xfId="2" applyNumberFormat="1" applyFont="1" applyBorder="1" applyAlignment="1">
      <alignment horizontal="center" vertical="top" shrinkToFit="1"/>
    </xf>
    <xf numFmtId="0" fontId="48" fillId="0" borderId="10" xfId="2" applyFont="1" applyBorder="1" applyAlignment="1">
      <alignment horizontal="justify" vertical="top" wrapText="1"/>
    </xf>
    <xf numFmtId="0" fontId="20" fillId="0" borderId="10" xfId="2" applyFont="1" applyBorder="1" applyAlignment="1">
      <alignment horizontal="center" vertical="top"/>
    </xf>
    <xf numFmtId="168" fontId="20" fillId="0" borderId="10" xfId="2" applyNumberFormat="1" applyFont="1" applyBorder="1" applyAlignment="1">
      <alignment vertical="top"/>
    </xf>
    <xf numFmtId="2" fontId="48" fillId="0" borderId="10" xfId="2" applyNumberFormat="1" applyFont="1" applyBorder="1" applyAlignment="1">
      <alignment horizontal="center" vertical="top"/>
    </xf>
    <xf numFmtId="2" fontId="20" fillId="0" borderId="10" xfId="2" applyNumberFormat="1" applyFont="1" applyBorder="1" applyAlignment="1">
      <alignment vertical="top" shrinkToFit="1"/>
    </xf>
    <xf numFmtId="2" fontId="20" fillId="0" borderId="10" xfId="2" applyNumberFormat="1" applyFont="1" applyBorder="1" applyAlignment="1">
      <alignment horizontal="left" vertical="top" shrinkToFit="1"/>
    </xf>
    <xf numFmtId="1" fontId="20" fillId="0" borderId="10" xfId="2" applyNumberFormat="1" applyFont="1" applyBorder="1" applyAlignment="1">
      <alignment vertical="top" shrinkToFit="1"/>
    </xf>
    <xf numFmtId="169" fontId="20" fillId="0" borderId="10" xfId="2" applyNumberFormat="1" applyFont="1" applyBorder="1" applyAlignment="1">
      <alignment horizontal="left" vertical="top" shrinkToFit="1"/>
    </xf>
    <xf numFmtId="0" fontId="20" fillId="0" borderId="10" xfId="2" applyFont="1" applyBorder="1" applyAlignment="1">
      <alignment vertical="center"/>
    </xf>
    <xf numFmtId="0" fontId="20" fillId="0" borderId="10" xfId="2" applyFont="1" applyBorder="1" applyAlignment="1">
      <alignment horizontal="center" vertical="center"/>
    </xf>
    <xf numFmtId="1" fontId="48" fillId="0" borderId="10" xfId="2" applyNumberFormat="1" applyFont="1" applyBorder="1" applyAlignment="1">
      <alignment vertical="center"/>
    </xf>
    <xf numFmtId="1" fontId="20" fillId="0" borderId="10" xfId="2" applyNumberFormat="1" applyFont="1" applyBorder="1"/>
    <xf numFmtId="0" fontId="48" fillId="0" borderId="10" xfId="2" applyFont="1" applyBorder="1" applyAlignment="1">
      <alignment horizontal="center"/>
    </xf>
    <xf numFmtId="2" fontId="48" fillId="0" borderId="10" xfId="2" applyNumberFormat="1" applyFont="1" applyBorder="1" applyAlignment="1">
      <alignment horizontal="center" vertical="center" shrinkToFit="1"/>
    </xf>
    <xf numFmtId="0" fontId="48" fillId="0" borderId="10" xfId="2" applyFont="1" applyBorder="1" applyAlignment="1">
      <alignment horizontal="center" vertical="center"/>
    </xf>
    <xf numFmtId="1" fontId="48" fillId="0" borderId="10" xfId="2" applyNumberFormat="1" applyFont="1" applyBorder="1" applyAlignment="1">
      <alignment horizontal="center" vertical="center"/>
    </xf>
    <xf numFmtId="0" fontId="48" fillId="0" borderId="10" xfId="2" applyFont="1" applyBorder="1" applyAlignment="1">
      <alignment horizontal="left" vertical="top"/>
    </xf>
    <xf numFmtId="0" fontId="48" fillId="0" borderId="10" xfId="2" applyFont="1" applyBorder="1" applyAlignment="1">
      <alignment horizontal="justify" vertical="center" wrapText="1"/>
    </xf>
    <xf numFmtId="2" fontId="20" fillId="0" borderId="10" xfId="2" applyNumberFormat="1" applyFont="1" applyBorder="1" applyAlignment="1">
      <alignment vertical="center"/>
    </xf>
    <xf numFmtId="2" fontId="20" fillId="0" borderId="10" xfId="2" applyNumberFormat="1" applyFont="1" applyBorder="1" applyAlignment="1">
      <alignment horizontal="center" vertical="center"/>
    </xf>
    <xf numFmtId="2" fontId="48" fillId="0" borderId="8" xfId="2" applyNumberFormat="1" applyFont="1" applyBorder="1" applyAlignment="1">
      <alignment horizontal="right" vertical="center" wrapText="1"/>
    </xf>
    <xf numFmtId="1" fontId="48" fillId="0" borderId="8" xfId="2" applyNumberFormat="1" applyFont="1" applyBorder="1" applyAlignment="1">
      <alignment horizontal="center" vertical="center" shrinkToFit="1"/>
    </xf>
    <xf numFmtId="1" fontId="48" fillId="2" borderId="8" xfId="2" applyNumberFormat="1" applyFont="1" applyFill="1" applyBorder="1" applyAlignment="1">
      <alignment horizontal="center" vertical="center" shrinkToFit="1"/>
    </xf>
    <xf numFmtId="0" fontId="20" fillId="0" borderId="1" xfId="18" applyFont="1" applyBorder="1" applyAlignment="1">
      <alignment vertical="top" wrapText="1"/>
    </xf>
    <xf numFmtId="2" fontId="37" fillId="0" borderId="1" xfId="18" applyNumberFormat="1" applyFont="1" applyBorder="1" applyAlignment="1">
      <alignment horizontal="center" vertical="top" wrapText="1"/>
    </xf>
    <xf numFmtId="0" fontId="37" fillId="0" borderId="1" xfId="18" applyFont="1" applyBorder="1" applyAlignment="1">
      <alignment horizontal="center" vertical="top" wrapText="1"/>
    </xf>
    <xf numFmtId="1" fontId="37" fillId="0" borderId="1" xfId="18" applyNumberFormat="1" applyFont="1" applyBorder="1" applyAlignment="1">
      <alignment horizontal="center" vertical="top" wrapText="1"/>
    </xf>
    <xf numFmtId="2" fontId="37" fillId="0" borderId="1" xfId="18" applyNumberFormat="1" applyFont="1" applyBorder="1" applyAlignment="1">
      <alignment horizontal="center" vertical="top"/>
    </xf>
    <xf numFmtId="0" fontId="36" fillId="0" borderId="1" xfId="18" applyFont="1" applyBorder="1" applyAlignment="1">
      <alignment horizontal="right" vertical="top" wrapText="1"/>
    </xf>
    <xf numFmtId="178" fontId="37" fillId="0" borderId="1" xfId="18" applyNumberFormat="1" applyFont="1" applyBorder="1" applyAlignment="1">
      <alignment horizontal="center" vertical="top"/>
    </xf>
    <xf numFmtId="4" fontId="36" fillId="0" borderId="1" xfId="18" applyNumberFormat="1" applyFont="1" applyBorder="1" applyAlignment="1">
      <alignment horizontal="center" vertical="top" wrapText="1"/>
    </xf>
    <xf numFmtId="1" fontId="36" fillId="0" borderId="1" xfId="18" applyNumberFormat="1" applyFont="1" applyBorder="1" applyAlignment="1">
      <alignment horizontal="center" vertical="top" wrapText="1"/>
    </xf>
    <xf numFmtId="2" fontId="36" fillId="0" borderId="1" xfId="18" applyNumberFormat="1" applyFont="1" applyBorder="1" applyAlignment="1">
      <alignment horizontal="center" vertical="top"/>
    </xf>
    <xf numFmtId="0" fontId="20" fillId="0" borderId="1" xfId="18" applyFont="1" applyBorder="1"/>
    <xf numFmtId="2" fontId="20" fillId="0" borderId="1" xfId="18" applyNumberFormat="1" applyFont="1" applyBorder="1" applyAlignment="1">
      <alignment horizontal="center"/>
    </xf>
    <xf numFmtId="2" fontId="40" fillId="0" borderId="14" xfId="2" applyNumberFormat="1" applyFont="1" applyBorder="1" applyAlignment="1">
      <alignment horizontal="center" vertical="center" wrapText="1" shrinkToFit="1"/>
    </xf>
    <xf numFmtId="0" fontId="40" fillId="0" borderId="14" xfId="2" applyFont="1" applyBorder="1" applyAlignment="1">
      <alignment vertical="center" wrapText="1"/>
    </xf>
    <xf numFmtId="0" fontId="39" fillId="0" borderId="14" xfId="2" applyFont="1" applyBorder="1" applyAlignment="1">
      <alignment horizontal="left" vertical="center" wrapText="1"/>
    </xf>
    <xf numFmtId="0" fontId="40" fillId="0" borderId="14" xfId="2" applyFont="1" applyBorder="1" applyAlignment="1">
      <alignment horizontal="center" vertical="center" wrapText="1"/>
    </xf>
    <xf numFmtId="0" fontId="40" fillId="0" borderId="14" xfId="2" applyFont="1" applyBorder="1" applyAlignment="1">
      <alignment vertical="center"/>
    </xf>
    <xf numFmtId="0" fontId="40" fillId="0" borderId="14" xfId="2" applyFont="1" applyBorder="1" applyAlignment="1">
      <alignment horizontal="center" vertical="center"/>
    </xf>
    <xf numFmtId="2" fontId="39" fillId="0" borderId="14" xfId="2" applyNumberFormat="1" applyFont="1" applyBorder="1" applyAlignment="1">
      <alignment horizontal="center" vertical="center" wrapText="1" shrinkToFit="1"/>
    </xf>
    <xf numFmtId="166" fontId="39" fillId="2" borderId="15" xfId="73" applyNumberFormat="1" applyFont="1" applyFill="1" applyBorder="1" applyAlignment="1">
      <alignment horizontal="center" vertical="center" wrapText="1" shrinkToFit="1"/>
    </xf>
    <xf numFmtId="2" fontId="20" fillId="0" borderId="14" xfId="2" applyNumberFormat="1" applyFont="1" applyBorder="1" applyAlignment="1">
      <alignment horizontal="center" vertical="top" wrapText="1"/>
    </xf>
    <xf numFmtId="2" fontId="20" fillId="0" borderId="14" xfId="2" applyNumberFormat="1" applyFont="1" applyBorder="1" applyAlignment="1">
      <alignment horizontal="center" vertical="top" shrinkToFit="1"/>
    </xf>
    <xf numFmtId="2" fontId="20" fillId="0" borderId="14" xfId="2" applyNumberFormat="1" applyFont="1" applyBorder="1" applyAlignment="1">
      <alignment horizontal="center" vertical="top"/>
    </xf>
    <xf numFmtId="2" fontId="48" fillId="0" borderId="14" xfId="2" applyNumberFormat="1" applyFont="1" applyBorder="1" applyAlignment="1">
      <alignment horizontal="center" vertical="center"/>
    </xf>
    <xf numFmtId="2" fontId="48" fillId="0" borderId="14" xfId="2" applyNumberFormat="1" applyFont="1" applyBorder="1" applyAlignment="1">
      <alignment horizontal="center"/>
    </xf>
    <xf numFmtId="1" fontId="48" fillId="0" borderId="14" xfId="2" applyNumberFormat="1" applyFont="1" applyBorder="1" applyAlignment="1">
      <alignment horizontal="center" vertical="center"/>
    </xf>
    <xf numFmtId="2" fontId="20" fillId="0" borderId="14" xfId="2" applyNumberFormat="1" applyFont="1" applyBorder="1" applyAlignment="1">
      <alignment vertical="center"/>
    </xf>
    <xf numFmtId="1" fontId="48" fillId="0" borderId="15" xfId="2" applyNumberFormat="1" applyFont="1" applyBorder="1" applyAlignment="1">
      <alignment horizontal="center" vertical="center" shrinkToFit="1"/>
    </xf>
    <xf numFmtId="166" fontId="18" fillId="0" borderId="0" xfId="5" applyNumberFormat="1" applyFont="1" applyAlignment="1">
      <alignment horizontal="left" vertical="top" wrapText="1"/>
    </xf>
    <xf numFmtId="43" fontId="8" fillId="0" borderId="1" xfId="0" applyNumberFormat="1" applyFont="1" applyBorder="1" applyAlignment="1">
      <alignment horizontal="left" vertical="center"/>
    </xf>
    <xf numFmtId="0" fontId="0" fillId="0" borderId="0" xfId="0" applyBorder="1" applyAlignment="1">
      <alignment horizontal="left" vertical="top"/>
    </xf>
    <xf numFmtId="0" fontId="0" fillId="0" borderId="20"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49" fillId="0" borderId="1" xfId="0" applyFont="1" applyBorder="1" applyAlignment="1">
      <alignment horizontal="left" vertical="top"/>
    </xf>
    <xf numFmtId="0" fontId="4" fillId="0" borderId="1" xfId="0" applyFont="1" applyBorder="1" applyAlignment="1">
      <alignment horizontal="left" vertical="top"/>
    </xf>
    <xf numFmtId="43" fontId="18" fillId="0" borderId="1" xfId="5" applyNumberFormat="1" applyFont="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43" fontId="9" fillId="8" borderId="1" xfId="1" applyFont="1" applyFill="1" applyBorder="1" applyAlignment="1">
      <alignment horizontal="right" vertical="center"/>
    </xf>
    <xf numFmtId="0" fontId="9" fillId="8" borderId="1" xfId="0" applyFont="1" applyFill="1" applyBorder="1" applyAlignment="1">
      <alignment horizontal="center" vertical="center"/>
    </xf>
    <xf numFmtId="0" fontId="9" fillId="8" borderId="1" xfId="0" applyFont="1" applyFill="1" applyBorder="1" applyAlignment="1">
      <alignment horizontal="right" vertical="center" wrapText="1"/>
    </xf>
    <xf numFmtId="1" fontId="9" fillId="8" borderId="1" xfId="0" applyNumberFormat="1" applyFont="1" applyFill="1" applyBorder="1" applyAlignment="1">
      <alignment horizontal="center" vertical="center" wrapText="1"/>
    </xf>
    <xf numFmtId="43" fontId="9" fillId="8" borderId="1" xfId="1" applyFont="1" applyFill="1" applyBorder="1" applyAlignment="1">
      <alignment horizontal="right" vertical="center" wrapText="1"/>
    </xf>
    <xf numFmtId="43" fontId="9" fillId="8" borderId="1" xfId="0" applyNumberFormat="1" applyFont="1" applyFill="1" applyBorder="1" applyAlignment="1">
      <alignment horizontal="right" vertical="center"/>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wrapText="1"/>
    </xf>
    <xf numFmtId="0" fontId="8" fillId="8" borderId="1" xfId="69" applyFont="1" applyFill="1" applyBorder="1" applyAlignment="1">
      <alignment horizontal="center" vertical="center" wrapText="1"/>
    </xf>
    <xf numFmtId="0" fontId="8" fillId="8" borderId="1" xfId="69" applyFont="1" applyFill="1" applyBorder="1" applyAlignment="1">
      <alignment horizontal="right" vertical="center" wrapText="1"/>
    </xf>
    <xf numFmtId="2" fontId="9" fillId="8" borderId="1" xfId="69" applyNumberFormat="1" applyFont="1" applyFill="1" applyBorder="1" applyAlignment="1">
      <alignment horizontal="center"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0" borderId="2" xfId="0" applyFont="1" applyBorder="1" applyAlignment="1">
      <alignment vertical="center"/>
    </xf>
    <xf numFmtId="0" fontId="23" fillId="0" borderId="2" xfId="0" applyFont="1" applyBorder="1" applyAlignment="1">
      <alignment vertical="center"/>
    </xf>
    <xf numFmtId="0" fontId="23" fillId="0" borderId="4" xfId="0" applyFont="1" applyBorder="1" applyAlignment="1">
      <alignment vertical="center"/>
    </xf>
    <xf numFmtId="0" fontId="23" fillId="0" borderId="3"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18" fillId="0" borderId="0" xfId="5" applyFont="1" applyAlignment="1">
      <alignment horizontal="right" vertical="top" wrapText="1"/>
    </xf>
    <xf numFmtId="43" fontId="18" fillId="0" borderId="0" xfId="5" applyNumberFormat="1" applyFont="1" applyAlignment="1">
      <alignment horizontal="right" vertical="top" wrapText="1"/>
    </xf>
    <xf numFmtId="0" fontId="18" fillId="0" borderId="7" xfId="5" applyFont="1" applyBorder="1" applyAlignment="1">
      <alignment horizontal="right" vertical="top" wrapText="1"/>
    </xf>
    <xf numFmtId="0" fontId="18" fillId="0" borderId="7" xfId="5" applyFont="1" applyBorder="1" applyAlignment="1">
      <alignment horizontal="left" vertical="top" wrapText="1"/>
    </xf>
    <xf numFmtId="166" fontId="18" fillId="0" borderId="7" xfId="5" applyNumberFormat="1" applyFont="1" applyBorder="1" applyAlignment="1">
      <alignment horizontal="left" vertical="top" wrapText="1"/>
    </xf>
    <xf numFmtId="0" fontId="50" fillId="0" borderId="24" xfId="5" applyFont="1" applyBorder="1" applyAlignment="1">
      <alignment horizontal="right" vertical="center" wrapText="1"/>
    </xf>
    <xf numFmtId="0" fontId="50" fillId="0" borderId="24" xfId="5" applyFont="1" applyBorder="1" applyAlignment="1">
      <alignment horizontal="left" vertical="center" wrapText="1"/>
    </xf>
    <xf numFmtId="166" fontId="50" fillId="0" borderId="24" xfId="5" applyNumberFormat="1" applyFont="1" applyBorder="1" applyAlignment="1">
      <alignment horizontal="left" vertical="center" wrapText="1"/>
    </xf>
    <xf numFmtId="0" fontId="18" fillId="0" borderId="24" xfId="5" applyFont="1" applyBorder="1" applyAlignment="1">
      <alignment horizontal="left" vertical="center" wrapText="1"/>
    </xf>
    <xf numFmtId="43" fontId="8" fillId="0" borderId="1" xfId="0" applyNumberFormat="1"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43" fontId="9" fillId="0" borderId="1" xfId="1" applyFont="1" applyBorder="1" applyAlignment="1">
      <alignment horizontal="right" vertical="center"/>
    </xf>
    <xf numFmtId="43" fontId="9" fillId="0" borderId="1" xfId="0" applyNumberFormat="1" applyFont="1" applyBorder="1" applyAlignment="1">
      <alignment horizontal="center" vertical="center"/>
    </xf>
    <xf numFmtId="0" fontId="5" fillId="0" borderId="1" xfId="0" applyFont="1" applyBorder="1" applyAlignment="1">
      <alignment horizontal="center" vertical="top" wrapText="1"/>
    </xf>
    <xf numFmtId="0" fontId="6"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wrapText="1"/>
    </xf>
    <xf numFmtId="43" fontId="8" fillId="0" borderId="1" xfId="1" applyFont="1" applyFill="1" applyBorder="1" applyAlignment="1">
      <alignment horizontal="center" vertical="center" wrapText="1"/>
    </xf>
    <xf numFmtId="2" fontId="8" fillId="0" borderId="1" xfId="0" applyNumberFormat="1" applyFont="1" applyBorder="1" applyAlignment="1">
      <alignment horizontal="center" vertical="center"/>
    </xf>
    <xf numFmtId="43" fontId="8" fillId="0" borderId="1" xfId="1" applyFont="1" applyBorder="1" applyAlignment="1">
      <alignment horizontal="right" vertical="center"/>
    </xf>
    <xf numFmtId="0" fontId="21" fillId="0" borderId="1" xfId="5" applyFont="1" applyBorder="1" applyAlignment="1">
      <alignment horizontal="center" wrapText="1"/>
    </xf>
    <xf numFmtId="0" fontId="12" fillId="0" borderId="2" xfId="5" applyFont="1" applyBorder="1" applyAlignment="1">
      <alignment horizontal="center" wrapText="1"/>
    </xf>
    <xf numFmtId="0" fontId="12" fillId="0" borderId="4" xfId="5" applyFont="1" applyBorder="1" applyAlignment="1">
      <alignment horizontal="center" wrapText="1"/>
    </xf>
    <xf numFmtId="0" fontId="12" fillId="0" borderId="3" xfId="5" applyFont="1" applyBorder="1" applyAlignment="1">
      <alignment horizontal="center" wrapText="1"/>
    </xf>
    <xf numFmtId="0" fontId="25" fillId="0" borderId="1" xfId="7" applyFont="1" applyBorder="1" applyAlignment="1">
      <alignment horizontal="center" vertical="center" wrapText="1"/>
    </xf>
    <xf numFmtId="0" fontId="24" fillId="0" borderId="1" xfId="7" applyFont="1" applyBorder="1" applyAlignment="1">
      <alignment horizontal="center" vertical="center"/>
    </xf>
    <xf numFmtId="0" fontId="25" fillId="0" borderId="1" xfId="7" applyFont="1" applyBorder="1" applyAlignment="1">
      <alignment horizontal="center" vertical="center"/>
    </xf>
    <xf numFmtId="0" fontId="24" fillId="0" borderId="1" xfId="7" applyFont="1" applyBorder="1" applyAlignment="1">
      <alignment horizontal="center" vertical="center" wrapText="1"/>
    </xf>
    <xf numFmtId="0" fontId="39" fillId="0" borderId="0" xfId="2" applyFont="1" applyAlignment="1">
      <alignment horizontal="right" vertical="center" wrapText="1"/>
    </xf>
    <xf numFmtId="0" fontId="48" fillId="8" borderId="1" xfId="2" applyFont="1" applyFill="1" applyBorder="1" applyAlignment="1">
      <alignment horizontal="center" vertical="center"/>
    </xf>
    <xf numFmtId="0" fontId="48" fillId="0" borderId="1" xfId="2" applyFont="1" applyBorder="1" applyAlignment="1">
      <alignment horizontal="left" vertical="top" wrapText="1"/>
    </xf>
    <xf numFmtId="0" fontId="48" fillId="8" borderId="5" xfId="71" applyFont="1" applyFill="1" applyBorder="1" applyAlignment="1">
      <alignment horizontal="center" vertical="center"/>
    </xf>
    <xf numFmtId="0" fontId="48" fillId="8" borderId="6" xfId="71" applyFont="1" applyFill="1" applyBorder="1" applyAlignment="1">
      <alignment horizontal="center" vertical="center"/>
    </xf>
    <xf numFmtId="0" fontId="40" fillId="0" borderId="12" xfId="2" applyFont="1" applyBorder="1" applyAlignment="1">
      <alignment horizontal="left" vertical="center" wrapText="1"/>
    </xf>
    <xf numFmtId="0" fontId="40" fillId="0" borderId="13" xfId="2" applyFont="1" applyBorder="1" applyAlignment="1">
      <alignment horizontal="left" vertical="center" wrapText="1"/>
    </xf>
    <xf numFmtId="0" fontId="40" fillId="0" borderId="10" xfId="2" applyFont="1" applyBorder="1" applyAlignment="1">
      <alignment vertical="center"/>
    </xf>
    <xf numFmtId="0" fontId="40" fillId="0" borderId="0" xfId="2" applyFont="1" applyAlignment="1">
      <alignment vertical="center"/>
    </xf>
    <xf numFmtId="0" fontId="37" fillId="0" borderId="10" xfId="2" applyFont="1" applyBorder="1" applyAlignment="1">
      <alignment vertical="center"/>
    </xf>
    <xf numFmtId="0" fontId="37" fillId="0" borderId="0" xfId="2" applyFont="1" applyAlignment="1">
      <alignment vertical="center"/>
    </xf>
    <xf numFmtId="0" fontId="35" fillId="8" borderId="7" xfId="71" applyFont="1" applyFill="1" applyBorder="1" applyAlignment="1">
      <alignment horizontal="center" vertical="center"/>
    </xf>
    <xf numFmtId="0" fontId="48" fillId="8" borderId="1" xfId="71" applyFont="1" applyFill="1" applyBorder="1" applyAlignment="1">
      <alignment horizontal="center" vertical="center"/>
    </xf>
    <xf numFmtId="0" fontId="36" fillId="8" borderId="2" xfId="2" applyFont="1" applyFill="1" applyBorder="1" applyAlignment="1">
      <alignment horizontal="left" vertical="top" wrapText="1"/>
    </xf>
    <xf numFmtId="0" fontId="36" fillId="8" borderId="4" xfId="2" applyFont="1" applyFill="1" applyBorder="1" applyAlignment="1">
      <alignment horizontal="left" vertical="top" wrapText="1"/>
    </xf>
    <xf numFmtId="0" fontId="36" fillId="8" borderId="3" xfId="2" applyFont="1" applyFill="1" applyBorder="1" applyAlignment="1">
      <alignment horizontal="left" vertical="top" wrapText="1"/>
    </xf>
    <xf numFmtId="1" fontId="48" fillId="8" borderId="16" xfId="2" applyNumberFormat="1" applyFont="1" applyFill="1" applyBorder="1" applyAlignment="1">
      <alignment horizontal="center" vertical="center"/>
    </xf>
    <xf numFmtId="1" fontId="48" fillId="8" borderId="18" xfId="2" applyNumberFormat="1" applyFont="1" applyFill="1" applyBorder="1" applyAlignment="1">
      <alignment horizontal="center" vertical="center"/>
    </xf>
    <xf numFmtId="0" fontId="48" fillId="0" borderId="17" xfId="2" applyFont="1" applyBorder="1" applyAlignment="1">
      <alignment horizontal="left" vertical="top" wrapText="1"/>
    </xf>
    <xf numFmtId="0" fontId="48" fillId="0" borderId="12" xfId="2" applyFont="1" applyBorder="1" applyAlignment="1">
      <alignment horizontal="left" vertical="top" wrapText="1"/>
    </xf>
    <xf numFmtId="0" fontId="48" fillId="0" borderId="13" xfId="2" applyFont="1" applyBorder="1" applyAlignment="1">
      <alignment horizontal="left" vertical="top" wrapText="1"/>
    </xf>
    <xf numFmtId="0" fontId="39" fillId="0" borderId="8" xfId="2" applyFont="1" applyBorder="1" applyAlignment="1">
      <alignment horizontal="right" vertical="center" wrapText="1"/>
    </xf>
    <xf numFmtId="0" fontId="20" fillId="0" borderId="1" xfId="2" applyFont="1" applyBorder="1" applyAlignment="1">
      <alignment horizontal="left" vertical="top" wrapText="1"/>
    </xf>
    <xf numFmtId="0" fontId="35" fillId="8" borderId="1" xfId="71" applyFont="1" applyFill="1" applyBorder="1" applyAlignment="1">
      <alignment horizontal="center" vertical="center"/>
    </xf>
    <xf numFmtId="0" fontId="48" fillId="8" borderId="2" xfId="2" applyFont="1" applyFill="1" applyBorder="1" applyAlignment="1">
      <alignment horizontal="center" vertical="center"/>
    </xf>
    <xf numFmtId="0" fontId="48" fillId="8" borderId="4" xfId="2" applyFont="1" applyFill="1" applyBorder="1" applyAlignment="1">
      <alignment horizontal="center" vertical="center"/>
    </xf>
    <xf numFmtId="0" fontId="48" fillId="8" borderId="3" xfId="2" applyFont="1" applyFill="1" applyBorder="1" applyAlignment="1">
      <alignment horizontal="center" vertical="center"/>
    </xf>
    <xf numFmtId="1" fontId="48" fillId="8" borderId="2" xfId="2" applyNumberFormat="1" applyFont="1" applyFill="1" applyBorder="1" applyAlignment="1">
      <alignment horizontal="center" vertical="center"/>
    </xf>
    <xf numFmtId="1" fontId="48" fillId="8" borderId="4" xfId="2" applyNumberFormat="1" applyFont="1" applyFill="1" applyBorder="1" applyAlignment="1">
      <alignment horizontal="center" vertical="center"/>
    </xf>
    <xf numFmtId="1" fontId="48" fillId="8" borderId="3" xfId="2" applyNumberFormat="1" applyFont="1" applyFill="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12" fillId="0" borderId="1" xfId="5" applyFont="1" applyBorder="1" applyAlignment="1">
      <alignment horizontal="center" wrapText="1"/>
    </xf>
    <xf numFmtId="0" fontId="21" fillId="0" borderId="2" xfId="5" applyFont="1" applyBorder="1" applyAlignment="1">
      <alignment horizontal="center" vertical="center" wrapText="1"/>
    </xf>
    <xf numFmtId="0" fontId="21" fillId="0" borderId="4" xfId="5" applyFont="1" applyBorder="1" applyAlignment="1">
      <alignment horizontal="center" vertical="center" wrapText="1"/>
    </xf>
    <xf numFmtId="0" fontId="21" fillId="0" borderId="3" xfId="5" applyFont="1" applyBorder="1" applyAlignment="1">
      <alignment horizontal="center" vertical="center"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470"/>
  <sheetViews>
    <sheetView tabSelected="1" view="pageBreakPreview" zoomScale="75" zoomScaleNormal="80" zoomScaleSheetLayoutView="75" workbookViewId="0">
      <pane ySplit="3" topLeftCell="A4" activePane="bottomLeft" state="frozen"/>
      <selection pane="bottomLeft" activeCell="N9" sqref="N9"/>
    </sheetView>
  </sheetViews>
  <sheetFormatPr defaultColWidth="8.85546875" defaultRowHeight="15.65" outlineLevelRow="1"/>
  <cols>
    <col min="1" max="1" width="5.85546875" style="3" customWidth="1"/>
    <col min="2" max="2" width="8.28515625" style="39" bestFit="1" customWidth="1"/>
    <col min="3" max="3" width="58.85546875" style="48" customWidth="1"/>
    <col min="4" max="4" width="6.85546875" style="48" bestFit="1" customWidth="1"/>
    <col min="5" max="5" width="6.7109375" style="48" bestFit="1" customWidth="1"/>
    <col min="6" max="6" width="17" style="43" customWidth="1"/>
    <col min="7" max="7" width="21.7109375" style="44" customWidth="1"/>
    <col min="8" max="8" width="11" style="3" customWidth="1"/>
    <col min="9" max="9" width="10.85546875" style="3" bestFit="1" customWidth="1"/>
    <col min="10" max="10" width="17.140625" style="107" customWidth="1"/>
    <col min="11" max="11" width="21.28515625" style="44" customWidth="1"/>
    <col min="12" max="12" width="19" style="44" customWidth="1"/>
    <col min="13" max="13" width="18.28515625" style="44" customWidth="1"/>
    <col min="14" max="14" width="22.42578125" style="116"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15" ht="21.1">
      <c r="A1" s="374"/>
      <c r="B1" s="374"/>
      <c r="C1" s="374"/>
      <c r="D1" s="374"/>
      <c r="E1" s="374"/>
      <c r="F1" s="374"/>
      <c r="G1" s="374"/>
      <c r="H1" s="374"/>
      <c r="I1" s="374"/>
      <c r="J1" s="374"/>
      <c r="K1" s="374"/>
      <c r="L1" s="374"/>
      <c r="M1" s="374"/>
      <c r="N1" s="374"/>
    </row>
    <row r="2" spans="1:15" ht="18.7" customHeight="1">
      <c r="A2" s="368" t="s">
        <v>87</v>
      </c>
      <c r="B2" s="377" t="s">
        <v>294</v>
      </c>
      <c r="C2" s="375" t="s">
        <v>1</v>
      </c>
      <c r="D2" s="376" t="s">
        <v>288</v>
      </c>
      <c r="E2" s="376"/>
      <c r="F2" s="376"/>
      <c r="G2" s="376"/>
      <c r="H2" s="376" t="s">
        <v>289</v>
      </c>
      <c r="I2" s="376"/>
      <c r="J2" s="376"/>
      <c r="K2" s="376"/>
      <c r="L2" s="375" t="s">
        <v>2</v>
      </c>
      <c r="M2" s="375" t="s">
        <v>3</v>
      </c>
      <c r="N2" s="375" t="s">
        <v>4</v>
      </c>
    </row>
    <row r="3" spans="1:15" ht="21.1" customHeight="1">
      <c r="A3" s="368"/>
      <c r="B3" s="377"/>
      <c r="C3" s="375"/>
      <c r="D3" s="118" t="s">
        <v>0</v>
      </c>
      <c r="E3" s="118" t="s">
        <v>5</v>
      </c>
      <c r="F3" s="40" t="s">
        <v>88</v>
      </c>
      <c r="G3" s="41" t="s">
        <v>89</v>
      </c>
      <c r="H3" s="42" t="s">
        <v>0</v>
      </c>
      <c r="I3" s="118" t="s">
        <v>5</v>
      </c>
      <c r="J3" s="106" t="s">
        <v>88</v>
      </c>
      <c r="K3" s="41" t="s">
        <v>89</v>
      </c>
      <c r="L3" s="375"/>
      <c r="M3" s="375"/>
      <c r="N3" s="375"/>
    </row>
    <row r="4" spans="1:15" ht="19.899999999999999" customHeight="1">
      <c r="A4" s="117"/>
      <c r="B4" s="117"/>
      <c r="C4" s="192" t="s">
        <v>36</v>
      </c>
      <c r="D4" s="117"/>
      <c r="E4" s="117"/>
      <c r="K4" s="45"/>
    </row>
    <row r="5" spans="1:15" ht="19.899999999999999" customHeight="1">
      <c r="A5" s="117"/>
      <c r="B5" s="117"/>
      <c r="C5" s="191" t="s">
        <v>35</v>
      </c>
      <c r="D5" s="117"/>
      <c r="E5" s="117"/>
      <c r="K5" s="45"/>
    </row>
    <row r="6" spans="1:15" s="48" customFormat="1" ht="12.1" customHeight="1" outlineLevel="1">
      <c r="A6" s="3"/>
      <c r="B6" s="1" t="str">
        <f t="shared" ref="B6" si="0">IF(ISBLANK(A6), "","IVF"&amp;A6)</f>
        <v/>
      </c>
      <c r="F6" s="43"/>
      <c r="G6" s="45"/>
      <c r="H6" s="4"/>
      <c r="I6" s="3"/>
      <c r="J6" s="107"/>
      <c r="K6" s="45"/>
      <c r="L6" s="45">
        <f t="shared" ref="L6" si="1">ROUND(IF(K6&gt;G6,K6-G6,0),0)</f>
        <v>0</v>
      </c>
      <c r="M6" s="45">
        <f t="shared" ref="M6" si="2">ROUND(IF(K6&lt;G6,G6-K6,0),0)</f>
        <v>0</v>
      </c>
      <c r="N6" s="116"/>
      <c r="O6" s="48" t="s">
        <v>170</v>
      </c>
    </row>
    <row r="7" spans="1:15" s="48" customFormat="1" ht="23.45" customHeight="1">
      <c r="A7" s="3"/>
      <c r="B7" s="1" t="str">
        <f t="shared" ref="B7:B63" si="3">IF(ISBLANK(A7), "","IVF"&amp;A7)</f>
        <v/>
      </c>
      <c r="F7" s="43"/>
      <c r="G7" s="49">
        <f>ROUND(SUM(G6:G6),0)</f>
        <v>0</v>
      </c>
      <c r="H7" s="4"/>
      <c r="I7" s="3"/>
      <c r="J7" s="108" t="s">
        <v>28</v>
      </c>
      <c r="K7" s="49">
        <f>ROUND(SUM(K6:K6),0)</f>
        <v>0</v>
      </c>
      <c r="L7" s="50">
        <f>SUM(L6:L6)</f>
        <v>0</v>
      </c>
      <c r="M7" s="49">
        <f>SUM(M6:M6)</f>
        <v>0</v>
      </c>
      <c r="N7" s="116"/>
    </row>
    <row r="8" spans="1:15" s="48" customFormat="1" ht="19.899999999999999" customHeight="1">
      <c r="A8" s="3"/>
      <c r="B8" s="1" t="str">
        <f t="shared" si="3"/>
        <v/>
      </c>
      <c r="C8" s="193" t="s">
        <v>29</v>
      </c>
      <c r="F8" s="43"/>
      <c r="G8" s="44"/>
      <c r="H8" s="4"/>
      <c r="I8" s="3"/>
      <c r="J8" s="107"/>
      <c r="K8" s="44"/>
      <c r="L8" s="45"/>
      <c r="M8" s="45"/>
      <c r="N8" s="116"/>
    </row>
    <row r="9" spans="1:15" s="48" customFormat="1" ht="107.35" customHeight="1" outlineLevel="1">
      <c r="A9" s="1">
        <v>247</v>
      </c>
      <c r="B9" s="1" t="str">
        <f t="shared" si="3"/>
        <v>IVF247</v>
      </c>
      <c r="C9" s="201" t="s">
        <v>318</v>
      </c>
      <c r="D9" s="1">
        <v>80</v>
      </c>
      <c r="E9" s="46" t="s">
        <v>9</v>
      </c>
      <c r="F9" s="5">
        <v>398</v>
      </c>
      <c r="G9" s="45">
        <f>ROUND(D9*F9,0)</f>
        <v>31840</v>
      </c>
      <c r="H9" s="4">
        <f>20.38+0.19</f>
        <v>20.57</v>
      </c>
      <c r="I9" s="3" t="s">
        <v>9</v>
      </c>
      <c r="J9" s="107">
        <f>F9</f>
        <v>398</v>
      </c>
      <c r="K9" s="45">
        <f>ROUND(H9*J9,0)</f>
        <v>8187</v>
      </c>
      <c r="L9" s="45">
        <f>ROUND(IF(K9&gt;G9,K9-G9,0),0)</f>
        <v>0</v>
      </c>
      <c r="M9" s="45">
        <f>ROUND(IF(K9&lt;G9,G9-K9,0),0)</f>
        <v>23653</v>
      </c>
      <c r="N9" s="116" t="s">
        <v>215</v>
      </c>
      <c r="O9" s="48" t="s">
        <v>166</v>
      </c>
    </row>
    <row r="10" spans="1:15" s="48" customFormat="1" ht="31.25" outlineLevel="1">
      <c r="A10" s="1"/>
      <c r="B10" s="1" t="str">
        <f t="shared" si="3"/>
        <v/>
      </c>
      <c r="C10" s="203" t="s">
        <v>239</v>
      </c>
      <c r="D10" s="1"/>
      <c r="E10" s="46"/>
      <c r="F10" s="5"/>
      <c r="G10" s="45"/>
      <c r="H10" s="4"/>
      <c r="I10" s="3"/>
      <c r="J10" s="107"/>
      <c r="K10" s="45"/>
      <c r="L10" s="45"/>
      <c r="M10" s="45"/>
      <c r="N10" s="116"/>
      <c r="O10" s="48" t="s">
        <v>166</v>
      </c>
    </row>
    <row r="11" spans="1:15" s="48" customFormat="1" ht="12.1" customHeight="1" outlineLevel="1">
      <c r="A11" s="3"/>
      <c r="B11" s="1" t="str">
        <f t="shared" si="3"/>
        <v/>
      </c>
      <c r="F11" s="43"/>
      <c r="G11" s="45"/>
      <c r="H11" s="4"/>
      <c r="I11" s="3"/>
      <c r="J11" s="107"/>
      <c r="K11" s="45"/>
      <c r="L11" s="45">
        <f t="shared" ref="L11:L110" si="4">ROUND(IF(K11&gt;G11,K11-G11,0),0)</f>
        <v>0</v>
      </c>
      <c r="M11" s="45">
        <f t="shared" ref="M11:M110" si="5">ROUND(IF(K11&lt;G11,G11-K11,0),0)</f>
        <v>0</v>
      </c>
      <c r="N11" s="116"/>
      <c r="O11" s="48" t="s">
        <v>166</v>
      </c>
    </row>
    <row r="12" spans="1:15" s="48" customFormat="1" ht="108.7" customHeight="1" outlineLevel="1">
      <c r="A12" s="1">
        <v>248</v>
      </c>
      <c r="B12" s="1" t="str">
        <f t="shared" si="3"/>
        <v>IVF248</v>
      </c>
      <c r="C12" s="201" t="s">
        <v>37</v>
      </c>
      <c r="D12" s="1">
        <v>400</v>
      </c>
      <c r="E12" s="46" t="s">
        <v>10</v>
      </c>
      <c r="F12" s="5">
        <v>20</v>
      </c>
      <c r="G12" s="45">
        <f>ROUND(D12*F12,0)</f>
        <v>8000</v>
      </c>
      <c r="H12" s="4">
        <v>400</v>
      </c>
      <c r="I12" s="3" t="s">
        <v>10</v>
      </c>
      <c r="J12" s="107">
        <f>F12</f>
        <v>20</v>
      </c>
      <c r="K12" s="45">
        <f>ROUND(H12*J12,0)</f>
        <v>8000</v>
      </c>
      <c r="L12" s="45">
        <f t="shared" si="4"/>
        <v>0</v>
      </c>
      <c r="M12" s="45">
        <f t="shared" si="5"/>
        <v>0</v>
      </c>
      <c r="N12" s="367" t="s">
        <v>214</v>
      </c>
      <c r="O12" s="48" t="s">
        <v>166</v>
      </c>
    </row>
    <row r="13" spans="1:15" s="48" customFormat="1" outlineLevel="1">
      <c r="A13" s="3"/>
      <c r="B13" s="1" t="str">
        <f t="shared" si="3"/>
        <v/>
      </c>
      <c r="C13" s="204" t="s">
        <v>26</v>
      </c>
      <c r="F13" s="43"/>
      <c r="G13" s="45"/>
      <c r="H13" s="4">
        <f>729.93-400</f>
        <v>329.92999999999995</v>
      </c>
      <c r="I13" s="3" t="s">
        <v>10</v>
      </c>
      <c r="J13" s="107">
        <f>J12</f>
        <v>20</v>
      </c>
      <c r="K13" s="45">
        <f>ROUND(H13*J13,0)</f>
        <v>6599</v>
      </c>
      <c r="L13" s="45">
        <f t="shared" si="4"/>
        <v>6599</v>
      </c>
      <c r="M13" s="45">
        <f t="shared" si="5"/>
        <v>0</v>
      </c>
      <c r="N13" s="367"/>
      <c r="O13" s="48" t="s">
        <v>166</v>
      </c>
    </row>
    <row r="14" spans="1:15" s="48" customFormat="1" outlineLevel="1">
      <c r="A14" s="3"/>
      <c r="B14" s="1" t="str">
        <f t="shared" si="3"/>
        <v/>
      </c>
      <c r="C14" s="47" t="s">
        <v>238</v>
      </c>
      <c r="F14" s="43"/>
      <c r="G14" s="45"/>
      <c r="H14" s="4"/>
      <c r="I14" s="3"/>
      <c r="J14" s="107"/>
      <c r="K14" s="45"/>
      <c r="L14" s="45"/>
      <c r="M14" s="45"/>
      <c r="N14" s="116"/>
      <c r="O14" s="48" t="s">
        <v>166</v>
      </c>
    </row>
    <row r="15" spans="1:15" s="48" customFormat="1" ht="12.1" customHeight="1" outlineLevel="1">
      <c r="A15" s="3"/>
      <c r="B15" s="1" t="str">
        <f t="shared" si="3"/>
        <v/>
      </c>
      <c r="C15" s="47"/>
      <c r="F15" s="43"/>
      <c r="G15" s="45"/>
      <c r="H15" s="4"/>
      <c r="I15" s="3"/>
      <c r="J15" s="107"/>
      <c r="K15" s="45"/>
      <c r="L15" s="45"/>
      <c r="M15" s="45"/>
      <c r="N15" s="116"/>
      <c r="O15" s="48" t="s">
        <v>166</v>
      </c>
    </row>
    <row r="16" spans="1:15" s="48" customFormat="1" ht="120.1" customHeight="1" outlineLevel="1">
      <c r="A16" s="1">
        <v>249</v>
      </c>
      <c r="B16" s="1" t="str">
        <f t="shared" si="3"/>
        <v>IVF249</v>
      </c>
      <c r="C16" s="201" t="s">
        <v>38</v>
      </c>
      <c r="D16" s="1">
        <v>16</v>
      </c>
      <c r="E16" s="46" t="s">
        <v>8</v>
      </c>
      <c r="F16" s="5">
        <v>350</v>
      </c>
      <c r="G16" s="45">
        <f>ROUND(D16*F16,0)</f>
        <v>5600</v>
      </c>
      <c r="H16" s="4">
        <v>16</v>
      </c>
      <c r="I16" s="3" t="s">
        <v>8</v>
      </c>
      <c r="J16" s="107">
        <f>F16</f>
        <v>350</v>
      </c>
      <c r="K16" s="45">
        <f>ROUND(H16*J16,0)</f>
        <v>5600</v>
      </c>
      <c r="L16" s="45">
        <f t="shared" si="4"/>
        <v>0</v>
      </c>
      <c r="M16" s="45">
        <f t="shared" si="5"/>
        <v>0</v>
      </c>
      <c r="N16" s="367" t="s">
        <v>214</v>
      </c>
      <c r="O16" s="48" t="s">
        <v>166</v>
      </c>
    </row>
    <row r="17" spans="1:16" s="48" customFormat="1" outlineLevel="1">
      <c r="A17" s="3"/>
      <c r="B17" s="1" t="str">
        <f t="shared" si="3"/>
        <v/>
      </c>
      <c r="C17" s="204" t="s">
        <v>26</v>
      </c>
      <c r="F17" s="43"/>
      <c r="G17" s="45"/>
      <c r="H17" s="4">
        <f>32-H16</f>
        <v>16</v>
      </c>
      <c r="I17" s="3" t="s">
        <v>10</v>
      </c>
      <c r="J17" s="107">
        <f>J16</f>
        <v>350</v>
      </c>
      <c r="K17" s="45">
        <f>ROUND(H17*J17,0)</f>
        <v>5600</v>
      </c>
      <c r="L17" s="45">
        <f t="shared" si="4"/>
        <v>5600</v>
      </c>
      <c r="M17" s="45">
        <f t="shared" si="5"/>
        <v>0</v>
      </c>
      <c r="N17" s="367"/>
      <c r="O17" s="48" t="s">
        <v>166</v>
      </c>
    </row>
    <row r="18" spans="1:16" s="48" customFormat="1" outlineLevel="1">
      <c r="A18" s="3"/>
      <c r="B18" s="1" t="str">
        <f t="shared" si="3"/>
        <v/>
      </c>
      <c r="C18" s="47" t="s">
        <v>238</v>
      </c>
      <c r="F18" s="43"/>
      <c r="G18" s="45"/>
      <c r="H18" s="4"/>
      <c r="I18" s="3"/>
      <c r="J18" s="107"/>
      <c r="K18" s="45"/>
      <c r="L18" s="45"/>
      <c r="M18" s="45"/>
      <c r="N18" s="116"/>
      <c r="O18" s="48" t="s">
        <v>166</v>
      </c>
    </row>
    <row r="19" spans="1:16" s="48" customFormat="1" ht="12.1" customHeight="1" outlineLevel="1">
      <c r="A19" s="3"/>
      <c r="B19" s="1" t="str">
        <f t="shared" si="3"/>
        <v/>
      </c>
      <c r="C19" s="47"/>
      <c r="F19" s="43"/>
      <c r="G19" s="45"/>
      <c r="H19" s="4"/>
      <c r="I19" s="3"/>
      <c r="J19" s="107"/>
      <c r="K19" s="45"/>
      <c r="L19" s="45"/>
      <c r="M19" s="45"/>
      <c r="N19" s="116"/>
      <c r="O19" s="48" t="s">
        <v>166</v>
      </c>
    </row>
    <row r="20" spans="1:16" s="48" customFormat="1" ht="118.2" customHeight="1" outlineLevel="1">
      <c r="A20" s="1">
        <v>250</v>
      </c>
      <c r="B20" s="1" t="str">
        <f t="shared" si="3"/>
        <v>IVF250</v>
      </c>
      <c r="C20" s="201" t="s">
        <v>17</v>
      </c>
      <c r="D20" s="1">
        <v>5</v>
      </c>
      <c r="E20" s="46" t="s">
        <v>8</v>
      </c>
      <c r="F20" s="5">
        <v>468</v>
      </c>
      <c r="G20" s="45">
        <f>ROUND(D20*F20,0)</f>
        <v>2340</v>
      </c>
      <c r="H20" s="4">
        <v>0</v>
      </c>
      <c r="I20" s="3" t="s">
        <v>8</v>
      </c>
      <c r="J20" s="107">
        <f>F20</f>
        <v>468</v>
      </c>
      <c r="K20" s="45"/>
      <c r="L20" s="45">
        <f t="shared" si="4"/>
        <v>0</v>
      </c>
      <c r="M20" s="45">
        <f t="shared" si="5"/>
        <v>2340</v>
      </c>
      <c r="N20" s="116" t="s">
        <v>293</v>
      </c>
      <c r="O20" s="48" t="s">
        <v>166</v>
      </c>
    </row>
    <row r="21" spans="1:16" s="48" customFormat="1" ht="12.1" customHeight="1" outlineLevel="1">
      <c r="A21" s="3"/>
      <c r="B21" s="1" t="str">
        <f t="shared" si="3"/>
        <v/>
      </c>
      <c r="C21" s="47"/>
      <c r="F21" s="43"/>
      <c r="G21" s="45"/>
      <c r="H21" s="4"/>
      <c r="I21" s="3"/>
      <c r="J21" s="107"/>
      <c r="K21" s="45"/>
      <c r="L21" s="45">
        <f t="shared" si="4"/>
        <v>0</v>
      </c>
      <c r="M21" s="45">
        <f t="shared" si="5"/>
        <v>0</v>
      </c>
      <c r="N21" s="116"/>
      <c r="O21" s="48" t="s">
        <v>166</v>
      </c>
    </row>
    <row r="22" spans="1:16" s="48" customFormat="1" ht="95.45" customHeight="1" outlineLevel="1">
      <c r="A22" s="1">
        <v>251</v>
      </c>
      <c r="B22" s="1" t="str">
        <f t="shared" si="3"/>
        <v>IVF251</v>
      </c>
      <c r="C22" s="201" t="s">
        <v>25</v>
      </c>
      <c r="D22" s="1">
        <v>120</v>
      </c>
      <c r="E22" s="46" t="s">
        <v>9</v>
      </c>
      <c r="F22" s="5">
        <v>455</v>
      </c>
      <c r="G22" s="45">
        <f>ROUND(D22*F22,0)</f>
        <v>54600</v>
      </c>
      <c r="H22" s="4">
        <v>120</v>
      </c>
      <c r="I22" s="3" t="s">
        <v>9</v>
      </c>
      <c r="J22" s="107">
        <f>F22</f>
        <v>455</v>
      </c>
      <c r="K22" s="45">
        <f>ROUND(H22*J22,0)</f>
        <v>54600</v>
      </c>
      <c r="L22" s="45">
        <f>ROUND(IF(K22&gt;G22,K22-G22,0),0)</f>
        <v>0</v>
      </c>
      <c r="M22" s="45">
        <f>ROUND(IF(K22&lt;G22,G22-K22,0),0)</f>
        <v>0</v>
      </c>
      <c r="N22" s="367" t="s">
        <v>214</v>
      </c>
      <c r="O22" s="48" t="s">
        <v>166</v>
      </c>
      <c r="P22" s="48">
        <f>226.24-120</f>
        <v>106.24000000000001</v>
      </c>
    </row>
    <row r="23" spans="1:16" s="48" customFormat="1" outlineLevel="1">
      <c r="A23" s="3"/>
      <c r="B23" s="1" t="str">
        <f t="shared" si="3"/>
        <v/>
      </c>
      <c r="C23" s="204" t="s">
        <v>26</v>
      </c>
      <c r="F23" s="43"/>
      <c r="G23" s="45"/>
      <c r="H23" s="4">
        <v>106.24</v>
      </c>
      <c r="I23" s="3" t="s">
        <v>9</v>
      </c>
      <c r="J23" s="107">
        <f>J22</f>
        <v>455</v>
      </c>
      <c r="K23" s="45">
        <f>ROUND(H23*J23,0)</f>
        <v>48339</v>
      </c>
      <c r="L23" s="45">
        <f>ROUND(IF(K23&gt;G23,K23-G23,0),0)</f>
        <v>48339</v>
      </c>
      <c r="M23" s="45">
        <f>ROUND(IF(K23&lt;G23,G23-K23,0),0)</f>
        <v>0</v>
      </c>
      <c r="N23" s="367"/>
      <c r="O23" s="48" t="s">
        <v>166</v>
      </c>
    </row>
    <row r="24" spans="1:16" s="48" customFormat="1" ht="207" customHeight="1" outlineLevel="1">
      <c r="A24" s="1">
        <v>252</v>
      </c>
      <c r="B24" s="1" t="str">
        <f t="shared" si="3"/>
        <v>IVF252</v>
      </c>
      <c r="C24" s="201" t="s">
        <v>39</v>
      </c>
      <c r="D24" s="51">
        <v>10.5</v>
      </c>
      <c r="E24" s="46" t="s">
        <v>9</v>
      </c>
      <c r="F24" s="5">
        <v>14558</v>
      </c>
      <c r="G24" s="45">
        <f>ROUND(D24*F24,0)</f>
        <v>152859</v>
      </c>
      <c r="H24" s="4">
        <v>10.5</v>
      </c>
      <c r="I24" s="3" t="s">
        <v>9</v>
      </c>
      <c r="J24" s="107">
        <f>F24</f>
        <v>14558</v>
      </c>
      <c r="K24" s="45">
        <f>ROUND(H24*J24,0)</f>
        <v>152859</v>
      </c>
      <c r="L24" s="45">
        <f t="shared" si="4"/>
        <v>0</v>
      </c>
      <c r="M24" s="45">
        <f t="shared" si="5"/>
        <v>0</v>
      </c>
      <c r="N24" s="367" t="s">
        <v>214</v>
      </c>
      <c r="O24" s="48" t="s">
        <v>166</v>
      </c>
    </row>
    <row r="25" spans="1:16" s="48" customFormat="1" outlineLevel="1">
      <c r="A25" s="3"/>
      <c r="B25" s="1" t="str">
        <f t="shared" si="3"/>
        <v/>
      </c>
      <c r="C25" s="204" t="s">
        <v>26</v>
      </c>
      <c r="F25" s="43"/>
      <c r="G25" s="45"/>
      <c r="H25" s="4">
        <f>20.08-10.5</f>
        <v>9.5799999999999983</v>
      </c>
      <c r="I25" s="3" t="s">
        <v>9</v>
      </c>
      <c r="J25" s="107">
        <f>J24</f>
        <v>14558</v>
      </c>
      <c r="K25" s="45">
        <f>ROUND(H25*J25,0)</f>
        <v>139466</v>
      </c>
      <c r="L25" s="45">
        <f t="shared" si="4"/>
        <v>139466</v>
      </c>
      <c r="M25" s="45">
        <f t="shared" si="5"/>
        <v>0</v>
      </c>
      <c r="N25" s="367"/>
      <c r="O25" s="48" t="s">
        <v>166</v>
      </c>
    </row>
    <row r="26" spans="1:16" s="48" customFormat="1" outlineLevel="1">
      <c r="A26" s="3"/>
      <c r="B26" s="1" t="str">
        <f t="shared" si="3"/>
        <v/>
      </c>
      <c r="C26" s="47" t="s">
        <v>240</v>
      </c>
      <c r="F26" s="43"/>
      <c r="G26" s="45"/>
      <c r="H26" s="4"/>
      <c r="I26" s="3"/>
      <c r="J26" s="107"/>
      <c r="K26" s="45"/>
      <c r="L26" s="45"/>
      <c r="M26" s="45"/>
      <c r="N26" s="116"/>
      <c r="O26" s="48" t="s">
        <v>166</v>
      </c>
    </row>
    <row r="27" spans="1:16" s="48" customFormat="1" ht="12.1" customHeight="1" outlineLevel="1">
      <c r="A27" s="3"/>
      <c r="B27" s="1" t="str">
        <f t="shared" si="3"/>
        <v/>
      </c>
      <c r="C27" s="47"/>
      <c r="F27" s="43"/>
      <c r="G27" s="45"/>
      <c r="H27" s="4"/>
      <c r="I27" s="3"/>
      <c r="J27" s="107"/>
      <c r="K27" s="45"/>
      <c r="L27" s="45"/>
      <c r="M27" s="45"/>
      <c r="N27" s="116"/>
      <c r="O27" s="48" t="s">
        <v>166</v>
      </c>
    </row>
    <row r="28" spans="1:16" s="48" customFormat="1" ht="254.25" customHeight="1" outlineLevel="1">
      <c r="A28" s="1">
        <v>253</v>
      </c>
      <c r="B28" s="1" t="str">
        <f t="shared" si="3"/>
        <v>IVF253</v>
      </c>
      <c r="C28" s="201" t="s">
        <v>18</v>
      </c>
      <c r="D28" s="1">
        <v>215</v>
      </c>
      <c r="E28" s="46" t="s">
        <v>10</v>
      </c>
      <c r="F28" s="5">
        <v>1716</v>
      </c>
      <c r="G28" s="45">
        <f>ROUND(D28*F28,0)</f>
        <v>368940</v>
      </c>
      <c r="H28" s="4">
        <v>215</v>
      </c>
      <c r="I28" s="3" t="s">
        <v>10</v>
      </c>
      <c r="J28" s="107">
        <f>F28</f>
        <v>1716</v>
      </c>
      <c r="K28" s="45">
        <f>ROUND(H28*J28,0)</f>
        <v>368940</v>
      </c>
      <c r="L28" s="45">
        <f t="shared" si="4"/>
        <v>0</v>
      </c>
      <c r="M28" s="45">
        <f t="shared" si="5"/>
        <v>0</v>
      </c>
      <c r="N28" s="367" t="s">
        <v>214</v>
      </c>
      <c r="O28" s="48" t="s">
        <v>166</v>
      </c>
    </row>
    <row r="29" spans="1:16" s="48" customFormat="1" outlineLevel="1">
      <c r="A29" s="3"/>
      <c r="B29" s="1" t="str">
        <f t="shared" si="3"/>
        <v/>
      </c>
      <c r="C29" s="204" t="s">
        <v>26</v>
      </c>
      <c r="F29" s="43"/>
      <c r="G29" s="45"/>
      <c r="H29" s="4">
        <f>227.17-215</f>
        <v>12.169999999999987</v>
      </c>
      <c r="I29" s="3" t="s">
        <v>10</v>
      </c>
      <c r="J29" s="107">
        <f>J28</f>
        <v>1716</v>
      </c>
      <c r="K29" s="45">
        <f>ROUND(H29*J29,0)</f>
        <v>20884</v>
      </c>
      <c r="L29" s="45">
        <f t="shared" si="4"/>
        <v>20884</v>
      </c>
      <c r="M29" s="45">
        <f t="shared" si="5"/>
        <v>0</v>
      </c>
      <c r="N29" s="367"/>
      <c r="O29" s="48" t="s">
        <v>166</v>
      </c>
    </row>
    <row r="30" spans="1:16" s="48" customFormat="1" outlineLevel="1">
      <c r="A30" s="3"/>
      <c r="B30" s="1" t="str">
        <f t="shared" si="3"/>
        <v/>
      </c>
      <c r="C30" s="47" t="s">
        <v>240</v>
      </c>
      <c r="F30" s="43"/>
      <c r="G30" s="45"/>
      <c r="H30" s="4"/>
      <c r="I30" s="3"/>
      <c r="J30" s="107"/>
      <c r="K30" s="45"/>
      <c r="L30" s="45"/>
      <c r="M30" s="45"/>
      <c r="N30" s="116"/>
      <c r="O30" s="48" t="s">
        <v>166</v>
      </c>
    </row>
    <row r="31" spans="1:16" s="48" customFormat="1" ht="12.1" customHeight="1" outlineLevel="1">
      <c r="A31" s="3"/>
      <c r="B31" s="1" t="str">
        <f t="shared" si="3"/>
        <v/>
      </c>
      <c r="C31" s="47"/>
      <c r="F31" s="43"/>
      <c r="G31" s="45"/>
      <c r="H31" s="4"/>
      <c r="I31" s="3"/>
      <c r="J31" s="107"/>
      <c r="K31" s="45"/>
      <c r="L31" s="45"/>
      <c r="M31" s="45"/>
      <c r="N31" s="116"/>
      <c r="O31" s="48" t="s">
        <v>166</v>
      </c>
    </row>
    <row r="32" spans="1:16" s="48" customFormat="1" ht="288.7" customHeight="1" outlineLevel="1">
      <c r="A32" s="1">
        <v>254</v>
      </c>
      <c r="B32" s="1" t="str">
        <f t="shared" si="3"/>
        <v>IVF254</v>
      </c>
      <c r="C32" s="201" t="s">
        <v>40</v>
      </c>
      <c r="D32" s="51">
        <v>0.9</v>
      </c>
      <c r="E32" s="46" t="s">
        <v>11</v>
      </c>
      <c r="F32" s="5">
        <v>116500</v>
      </c>
      <c r="G32" s="45">
        <f>ROUND(D32*F32,0)</f>
        <v>104850</v>
      </c>
      <c r="H32" s="4">
        <v>0</v>
      </c>
      <c r="I32" s="3" t="s">
        <v>11</v>
      </c>
      <c r="J32" s="107">
        <f>F32</f>
        <v>116500</v>
      </c>
      <c r="K32" s="45"/>
      <c r="L32" s="45">
        <f t="shared" si="4"/>
        <v>0</v>
      </c>
      <c r="M32" s="45">
        <f t="shared" si="5"/>
        <v>104850</v>
      </c>
      <c r="N32" s="116" t="s">
        <v>293</v>
      </c>
      <c r="O32" s="48" t="s">
        <v>166</v>
      </c>
    </row>
    <row r="33" spans="1:15" s="48" customFormat="1" ht="12.1" customHeight="1" outlineLevel="1">
      <c r="A33" s="3"/>
      <c r="B33" s="1" t="str">
        <f t="shared" si="3"/>
        <v/>
      </c>
      <c r="F33" s="43"/>
      <c r="G33" s="45"/>
      <c r="H33" s="4"/>
      <c r="I33" s="3"/>
      <c r="J33" s="107"/>
      <c r="K33" s="45"/>
      <c r="L33" s="45">
        <f t="shared" si="4"/>
        <v>0</v>
      </c>
      <c r="M33" s="45">
        <f t="shared" si="5"/>
        <v>0</v>
      </c>
      <c r="N33" s="116"/>
      <c r="O33" s="48" t="s">
        <v>166</v>
      </c>
    </row>
    <row r="34" spans="1:15" s="48" customFormat="1" ht="200.25" customHeight="1" outlineLevel="1">
      <c r="A34" s="1">
        <v>255</v>
      </c>
      <c r="B34" s="1" t="str">
        <f t="shared" si="3"/>
        <v>IVF255</v>
      </c>
      <c r="C34" s="201" t="s">
        <v>41</v>
      </c>
      <c r="D34" s="1">
        <v>45</v>
      </c>
      <c r="E34" s="46" t="s">
        <v>10</v>
      </c>
      <c r="F34" s="5">
        <v>945</v>
      </c>
      <c r="G34" s="45">
        <f>ROUND(D34*F34,0)</f>
        <v>42525</v>
      </c>
      <c r="H34" s="4">
        <v>39.56</v>
      </c>
      <c r="I34" s="3" t="s">
        <v>10</v>
      </c>
      <c r="J34" s="107">
        <f>F34</f>
        <v>945</v>
      </c>
      <c r="K34" s="45">
        <f>ROUND(H34*J34,0)</f>
        <v>37384</v>
      </c>
      <c r="L34" s="45">
        <f t="shared" si="4"/>
        <v>0</v>
      </c>
      <c r="M34" s="45">
        <f t="shared" si="5"/>
        <v>5141</v>
      </c>
      <c r="N34" s="116" t="s">
        <v>215</v>
      </c>
      <c r="O34" s="48" t="s">
        <v>166</v>
      </c>
    </row>
    <row r="35" spans="1:15" s="48" customFormat="1" outlineLevel="1">
      <c r="A35" s="1"/>
      <c r="B35" s="1" t="str">
        <f t="shared" si="3"/>
        <v/>
      </c>
      <c r="C35" s="203" t="s">
        <v>256</v>
      </c>
      <c r="D35" s="1"/>
      <c r="E35" s="46"/>
      <c r="F35" s="5"/>
      <c r="G35" s="45"/>
      <c r="H35" s="4"/>
      <c r="I35" s="3"/>
      <c r="J35" s="107"/>
      <c r="K35" s="45"/>
      <c r="L35" s="45"/>
      <c r="M35" s="45"/>
      <c r="N35" s="116"/>
      <c r="O35" s="48" t="s">
        <v>166</v>
      </c>
    </row>
    <row r="36" spans="1:15" s="48" customFormat="1" ht="12.1" customHeight="1" outlineLevel="1">
      <c r="A36" s="3"/>
      <c r="B36" s="1" t="str">
        <f t="shared" si="3"/>
        <v/>
      </c>
      <c r="F36" s="43"/>
      <c r="G36" s="45"/>
      <c r="H36" s="4"/>
      <c r="I36" s="3"/>
      <c r="J36" s="107"/>
      <c r="K36" s="45"/>
      <c r="L36" s="45">
        <f t="shared" si="4"/>
        <v>0</v>
      </c>
      <c r="M36" s="45">
        <f t="shared" si="5"/>
        <v>0</v>
      </c>
      <c r="N36" s="116"/>
      <c r="O36" s="48" t="s">
        <v>166</v>
      </c>
    </row>
    <row r="37" spans="1:15" s="48" customFormat="1" ht="227.25" customHeight="1" outlineLevel="1">
      <c r="A37" s="1">
        <v>256</v>
      </c>
      <c r="B37" s="1" t="str">
        <f t="shared" si="3"/>
        <v>IVF256</v>
      </c>
      <c r="C37" s="201" t="s">
        <v>42</v>
      </c>
      <c r="D37" s="1">
        <v>430</v>
      </c>
      <c r="E37" s="46" t="s">
        <v>10</v>
      </c>
      <c r="F37" s="5">
        <v>906</v>
      </c>
      <c r="G37" s="45">
        <f>ROUND(D37*F37,0)</f>
        <v>389580</v>
      </c>
      <c r="H37" s="4">
        <v>430</v>
      </c>
      <c r="I37" s="3" t="s">
        <v>10</v>
      </c>
      <c r="J37" s="107">
        <f>F37</f>
        <v>906</v>
      </c>
      <c r="K37" s="45">
        <f>ROUND(H37*J37,0)</f>
        <v>389580</v>
      </c>
      <c r="L37" s="45">
        <f t="shared" si="4"/>
        <v>0</v>
      </c>
      <c r="M37" s="45">
        <f t="shared" si="5"/>
        <v>0</v>
      </c>
      <c r="N37" s="367" t="s">
        <v>214</v>
      </c>
      <c r="O37" s="48" t="s">
        <v>166</v>
      </c>
    </row>
    <row r="38" spans="1:15" s="48" customFormat="1" outlineLevel="1">
      <c r="A38" s="3"/>
      <c r="B38" s="1" t="str">
        <f t="shared" si="3"/>
        <v/>
      </c>
      <c r="C38" s="204" t="s">
        <v>26</v>
      </c>
      <c r="F38" s="43"/>
      <c r="G38" s="45"/>
      <c r="H38" s="4">
        <f>905.88-H37</f>
        <v>475.88</v>
      </c>
      <c r="I38" s="3" t="s">
        <v>10</v>
      </c>
      <c r="J38" s="107">
        <f>J37</f>
        <v>906</v>
      </c>
      <c r="K38" s="45">
        <f>ROUND(H38*J38,0)</f>
        <v>431147</v>
      </c>
      <c r="L38" s="45">
        <f t="shared" si="4"/>
        <v>431147</v>
      </c>
      <c r="M38" s="45">
        <f t="shared" si="5"/>
        <v>0</v>
      </c>
      <c r="N38" s="367"/>
      <c r="O38" s="48" t="s">
        <v>166</v>
      </c>
    </row>
    <row r="39" spans="1:15" s="48" customFormat="1" outlineLevel="1">
      <c r="A39" s="3"/>
      <c r="B39" s="1" t="str">
        <f t="shared" si="3"/>
        <v/>
      </c>
      <c r="C39" s="47" t="s">
        <v>241</v>
      </c>
      <c r="F39" s="43"/>
      <c r="G39" s="45"/>
      <c r="H39" s="4"/>
      <c r="I39" s="3"/>
      <c r="J39" s="107"/>
      <c r="K39" s="45"/>
      <c r="L39" s="45"/>
      <c r="M39" s="45"/>
      <c r="N39" s="116"/>
      <c r="O39" s="48" t="s">
        <v>166</v>
      </c>
    </row>
    <row r="40" spans="1:15" s="48" customFormat="1" ht="12.1" customHeight="1" outlineLevel="1">
      <c r="A40" s="3"/>
      <c r="B40" s="1" t="str">
        <f t="shared" si="3"/>
        <v/>
      </c>
      <c r="C40" s="47"/>
      <c r="F40" s="43"/>
      <c r="G40" s="45"/>
      <c r="H40" s="4"/>
      <c r="I40" s="3"/>
      <c r="J40" s="107"/>
      <c r="K40" s="45"/>
      <c r="L40" s="45"/>
      <c r="M40" s="45"/>
      <c r="N40" s="116"/>
      <c r="O40" s="48" t="s">
        <v>166</v>
      </c>
    </row>
    <row r="41" spans="1:15" s="48" customFormat="1" ht="107.35" customHeight="1" outlineLevel="1">
      <c r="A41" s="1">
        <v>257</v>
      </c>
      <c r="B41" s="1" t="str">
        <f t="shared" si="3"/>
        <v>IVF257</v>
      </c>
      <c r="C41" s="201" t="s">
        <v>6</v>
      </c>
      <c r="D41" s="1">
        <v>20</v>
      </c>
      <c r="E41" s="46" t="s">
        <v>10</v>
      </c>
      <c r="F41" s="5">
        <v>4670</v>
      </c>
      <c r="G41" s="45">
        <f>ROUND(D41*F41,0)</f>
        <v>93400</v>
      </c>
      <c r="H41" s="4">
        <v>0</v>
      </c>
      <c r="I41" s="3" t="s">
        <v>10</v>
      </c>
      <c r="J41" s="107">
        <f>F41</f>
        <v>4670</v>
      </c>
      <c r="K41" s="45"/>
      <c r="L41" s="45">
        <f t="shared" si="4"/>
        <v>0</v>
      </c>
      <c r="M41" s="45">
        <f t="shared" si="5"/>
        <v>93400</v>
      </c>
      <c r="N41" s="116" t="s">
        <v>293</v>
      </c>
      <c r="O41" s="48" t="s">
        <v>166</v>
      </c>
    </row>
    <row r="42" spans="1:15" s="48" customFormat="1" ht="12.1" customHeight="1" outlineLevel="1">
      <c r="A42" s="3"/>
      <c r="B42" s="1" t="str">
        <f t="shared" si="3"/>
        <v/>
      </c>
      <c r="F42" s="43"/>
      <c r="G42" s="45"/>
      <c r="H42" s="4"/>
      <c r="I42" s="3"/>
      <c r="J42" s="107"/>
      <c r="K42" s="45"/>
      <c r="L42" s="45">
        <f t="shared" si="4"/>
        <v>0</v>
      </c>
      <c r="M42" s="45">
        <f t="shared" si="5"/>
        <v>0</v>
      </c>
      <c r="N42" s="116"/>
      <c r="O42" s="48" t="s">
        <v>166</v>
      </c>
    </row>
    <row r="43" spans="1:15" s="48" customFormat="1" ht="226.9" customHeight="1" outlineLevel="1">
      <c r="A43" s="378">
        <v>258</v>
      </c>
      <c r="B43" s="378" t="str">
        <f t="shared" si="3"/>
        <v>IVF258</v>
      </c>
      <c r="C43" s="371" t="s">
        <v>7</v>
      </c>
      <c r="D43" s="378">
        <v>5</v>
      </c>
      <c r="E43" s="379" t="s">
        <v>10</v>
      </c>
      <c r="F43" s="380">
        <v>13713</v>
      </c>
      <c r="G43" s="366">
        <f>ROUND(D43*F43,0)</f>
        <v>68565</v>
      </c>
      <c r="H43" s="381">
        <v>0</v>
      </c>
      <c r="I43" s="370" t="s">
        <v>10</v>
      </c>
      <c r="J43" s="382">
        <f>F43</f>
        <v>13713</v>
      </c>
      <c r="K43" s="366"/>
      <c r="L43" s="366">
        <f t="shared" si="4"/>
        <v>0</v>
      </c>
      <c r="M43" s="366">
        <f t="shared" si="5"/>
        <v>68565</v>
      </c>
      <c r="N43" s="368" t="s">
        <v>216</v>
      </c>
      <c r="O43" s="48" t="s">
        <v>166</v>
      </c>
    </row>
    <row r="44" spans="1:15" s="48" customFormat="1" ht="261" customHeight="1" outlineLevel="1">
      <c r="A44" s="378"/>
      <c r="B44" s="378"/>
      <c r="C44" s="371"/>
      <c r="D44" s="378"/>
      <c r="E44" s="379"/>
      <c r="F44" s="380"/>
      <c r="G44" s="366"/>
      <c r="H44" s="381"/>
      <c r="I44" s="370"/>
      <c r="J44" s="382"/>
      <c r="K44" s="366"/>
      <c r="L44" s="366"/>
      <c r="M44" s="366"/>
      <c r="N44" s="368"/>
      <c r="O44" s="48" t="s">
        <v>166</v>
      </c>
    </row>
    <row r="45" spans="1:15" s="48" customFormat="1" ht="12.1" customHeight="1" outlineLevel="1">
      <c r="A45" s="3"/>
      <c r="B45" s="1" t="str">
        <f t="shared" si="3"/>
        <v/>
      </c>
      <c r="F45" s="43"/>
      <c r="G45" s="45"/>
      <c r="H45" s="4"/>
      <c r="I45" s="3"/>
      <c r="J45" s="107"/>
      <c r="K45" s="45"/>
      <c r="L45" s="45">
        <f t="shared" si="4"/>
        <v>0</v>
      </c>
      <c r="M45" s="45">
        <f t="shared" si="5"/>
        <v>0</v>
      </c>
      <c r="N45" s="116"/>
      <c r="O45" s="48" t="s">
        <v>166</v>
      </c>
    </row>
    <row r="46" spans="1:15" s="48" customFormat="1" ht="409.6" customHeight="1" outlineLevel="1">
      <c r="A46" s="1">
        <v>259</v>
      </c>
      <c r="B46" s="1" t="str">
        <f t="shared" si="3"/>
        <v>IVF259</v>
      </c>
      <c r="C46" s="201" t="s">
        <v>90</v>
      </c>
      <c r="D46" s="1">
        <v>15</v>
      </c>
      <c r="E46" s="46" t="s">
        <v>10</v>
      </c>
      <c r="F46" s="5">
        <v>9517</v>
      </c>
      <c r="G46" s="45">
        <f>ROUND(D46*F46,0)</f>
        <v>142755</v>
      </c>
      <c r="H46" s="4">
        <v>15</v>
      </c>
      <c r="I46" s="3" t="s">
        <v>10</v>
      </c>
      <c r="J46" s="107">
        <f>F46</f>
        <v>9517</v>
      </c>
      <c r="K46" s="45">
        <f>ROUND(H46*J46,0)</f>
        <v>142755</v>
      </c>
      <c r="L46" s="45">
        <f t="shared" si="4"/>
        <v>0</v>
      </c>
      <c r="M46" s="45">
        <f t="shared" si="5"/>
        <v>0</v>
      </c>
      <c r="N46" s="367" t="s">
        <v>214</v>
      </c>
      <c r="O46" s="48" t="s">
        <v>166</v>
      </c>
    </row>
    <row r="47" spans="1:15" s="48" customFormat="1" outlineLevel="1">
      <c r="A47" s="3"/>
      <c r="B47" s="1" t="str">
        <f t="shared" si="3"/>
        <v/>
      </c>
      <c r="C47" s="204" t="s">
        <v>26</v>
      </c>
      <c r="F47" s="43"/>
      <c r="G47" s="45"/>
      <c r="H47" s="4">
        <f>39.8-H46</f>
        <v>24.799999999999997</v>
      </c>
      <c r="I47" s="3" t="s">
        <v>10</v>
      </c>
      <c r="J47" s="107">
        <f>F46</f>
        <v>9517</v>
      </c>
      <c r="K47" s="45">
        <f>ROUND(H47*J47,0)</f>
        <v>236022</v>
      </c>
      <c r="L47" s="45">
        <f t="shared" si="4"/>
        <v>236022</v>
      </c>
      <c r="M47" s="45">
        <f t="shared" si="5"/>
        <v>0</v>
      </c>
      <c r="N47" s="367"/>
      <c r="O47" s="48" t="s">
        <v>166</v>
      </c>
    </row>
    <row r="48" spans="1:15" s="48" customFormat="1" outlineLevel="1">
      <c r="A48" s="3"/>
      <c r="B48" s="1" t="str">
        <f t="shared" si="3"/>
        <v/>
      </c>
      <c r="C48" s="47" t="s">
        <v>255</v>
      </c>
      <c r="F48" s="43"/>
      <c r="G48" s="45"/>
      <c r="H48" s="4"/>
      <c r="I48" s="3"/>
      <c r="J48" s="107"/>
      <c r="K48" s="45"/>
      <c r="L48" s="45"/>
      <c r="M48" s="45"/>
      <c r="N48" s="116"/>
      <c r="O48" s="48" t="s">
        <v>166</v>
      </c>
    </row>
    <row r="49" spans="1:15" s="48" customFormat="1" ht="12.1" customHeight="1" outlineLevel="1">
      <c r="A49" s="3"/>
      <c r="B49" s="1" t="str">
        <f t="shared" si="3"/>
        <v/>
      </c>
      <c r="C49" s="47"/>
      <c r="F49" s="43"/>
      <c r="G49" s="45"/>
      <c r="H49" s="4"/>
      <c r="I49" s="3"/>
      <c r="J49" s="107"/>
      <c r="K49" s="45"/>
      <c r="L49" s="45"/>
      <c r="M49" s="45"/>
      <c r="N49" s="116"/>
      <c r="O49" s="48" t="s">
        <v>166</v>
      </c>
    </row>
    <row r="50" spans="1:15" s="48" customFormat="1" ht="364.6" customHeight="1" outlineLevel="1">
      <c r="A50" s="1">
        <v>260</v>
      </c>
      <c r="B50" s="1" t="str">
        <f t="shared" si="3"/>
        <v>IVF260</v>
      </c>
      <c r="C50" s="201" t="s">
        <v>322</v>
      </c>
      <c r="D50" s="1">
        <v>5</v>
      </c>
      <c r="E50" s="46" t="s">
        <v>10</v>
      </c>
      <c r="F50" s="5">
        <v>8564</v>
      </c>
      <c r="G50" s="45">
        <f>ROUND(D50*F50,0)</f>
        <v>42820</v>
      </c>
      <c r="H50" s="4">
        <v>1.96</v>
      </c>
      <c r="I50" s="3" t="s">
        <v>10</v>
      </c>
      <c r="J50" s="107">
        <f>F50</f>
        <v>8564</v>
      </c>
      <c r="K50" s="45">
        <f>ROUND(H50*J50,0)</f>
        <v>16785</v>
      </c>
      <c r="L50" s="45">
        <f t="shared" si="4"/>
        <v>0</v>
      </c>
      <c r="M50" s="45">
        <f t="shared" si="5"/>
        <v>26035</v>
      </c>
      <c r="N50" s="116" t="s">
        <v>215</v>
      </c>
      <c r="O50" s="48" t="s">
        <v>166</v>
      </c>
    </row>
    <row r="51" spans="1:15" s="48" customFormat="1" outlineLevel="1">
      <c r="A51" s="1"/>
      <c r="B51" s="1" t="str">
        <f t="shared" si="3"/>
        <v/>
      </c>
      <c r="C51" s="203" t="s">
        <v>255</v>
      </c>
      <c r="D51" s="1"/>
      <c r="E51" s="46"/>
      <c r="F51" s="5"/>
      <c r="G51" s="45"/>
      <c r="H51" s="4"/>
      <c r="I51" s="3"/>
      <c r="J51" s="107"/>
      <c r="K51" s="45"/>
      <c r="L51" s="45"/>
      <c r="M51" s="45"/>
      <c r="N51" s="116"/>
      <c r="O51" s="48" t="s">
        <v>166</v>
      </c>
    </row>
    <row r="52" spans="1:15" s="48" customFormat="1" ht="12.1" customHeight="1" outlineLevel="1">
      <c r="A52" s="3"/>
      <c r="B52" s="1" t="str">
        <f t="shared" si="3"/>
        <v/>
      </c>
      <c r="F52" s="43"/>
      <c r="G52" s="45"/>
      <c r="H52" s="4"/>
      <c r="I52" s="3"/>
      <c r="J52" s="107"/>
      <c r="K52" s="45"/>
      <c r="L52" s="45">
        <f t="shared" si="4"/>
        <v>0</v>
      </c>
      <c r="M52" s="45">
        <f t="shared" si="5"/>
        <v>0</v>
      </c>
      <c r="N52" s="116"/>
      <c r="O52" s="48" t="s">
        <v>166</v>
      </c>
    </row>
    <row r="53" spans="1:15" s="48" customFormat="1" ht="360.7" customHeight="1" outlineLevel="1">
      <c r="A53" s="1">
        <v>261</v>
      </c>
      <c r="B53" s="1" t="str">
        <f t="shared" si="3"/>
        <v>IVF261</v>
      </c>
      <c r="C53" s="201" t="s">
        <v>319</v>
      </c>
      <c r="D53" s="1">
        <v>35</v>
      </c>
      <c r="E53" s="46" t="s">
        <v>10</v>
      </c>
      <c r="F53" s="5">
        <v>5593</v>
      </c>
      <c r="G53" s="45">
        <f>ROUND(D53*F53,0)</f>
        <v>195755</v>
      </c>
      <c r="H53" s="4">
        <v>0</v>
      </c>
      <c r="I53" s="3" t="s">
        <v>10</v>
      </c>
      <c r="J53" s="107">
        <f>F53</f>
        <v>5593</v>
      </c>
      <c r="K53" s="45"/>
      <c r="L53" s="45">
        <f t="shared" si="4"/>
        <v>0</v>
      </c>
      <c r="M53" s="45">
        <f t="shared" si="5"/>
        <v>195755</v>
      </c>
      <c r="N53" s="116" t="s">
        <v>216</v>
      </c>
      <c r="O53" s="48" t="s">
        <v>166</v>
      </c>
    </row>
    <row r="54" spans="1:15" s="48" customFormat="1" ht="12.1" customHeight="1" outlineLevel="1">
      <c r="A54" s="3"/>
      <c r="B54" s="1" t="str">
        <f t="shared" si="3"/>
        <v/>
      </c>
      <c r="F54" s="43"/>
      <c r="G54" s="45"/>
      <c r="H54" s="4"/>
      <c r="I54" s="3"/>
      <c r="J54" s="107"/>
      <c r="K54" s="45"/>
      <c r="L54" s="45">
        <f t="shared" si="4"/>
        <v>0</v>
      </c>
      <c r="M54" s="45">
        <f t="shared" si="5"/>
        <v>0</v>
      </c>
      <c r="N54" s="116"/>
      <c r="O54" s="48" t="s">
        <v>166</v>
      </c>
    </row>
    <row r="55" spans="1:15" s="48" customFormat="1" ht="374.45" customHeight="1" outlineLevel="1">
      <c r="A55" s="1">
        <v>262</v>
      </c>
      <c r="B55" s="1" t="str">
        <f t="shared" si="3"/>
        <v>IVF262</v>
      </c>
      <c r="C55" s="201" t="s">
        <v>320</v>
      </c>
      <c r="D55" s="1">
        <v>10</v>
      </c>
      <c r="E55" s="46" t="s">
        <v>10</v>
      </c>
      <c r="F55" s="5">
        <v>6502</v>
      </c>
      <c r="G55" s="45">
        <f>ROUND(D55*F55,0)</f>
        <v>65020</v>
      </c>
      <c r="H55" s="4">
        <v>0</v>
      </c>
      <c r="I55" s="3" t="s">
        <v>10</v>
      </c>
      <c r="J55" s="107">
        <f>F55</f>
        <v>6502</v>
      </c>
      <c r="K55" s="45"/>
      <c r="L55" s="45">
        <f t="shared" si="4"/>
        <v>0</v>
      </c>
      <c r="M55" s="45">
        <f t="shared" si="5"/>
        <v>65020</v>
      </c>
      <c r="N55" s="116" t="s">
        <v>216</v>
      </c>
      <c r="O55" s="48" t="s">
        <v>166</v>
      </c>
    </row>
    <row r="56" spans="1:15" s="48" customFormat="1" ht="12.1" customHeight="1" outlineLevel="1">
      <c r="A56" s="3"/>
      <c r="B56" s="1" t="str">
        <f t="shared" si="3"/>
        <v/>
      </c>
      <c r="F56" s="43"/>
      <c r="G56" s="45"/>
      <c r="H56" s="4"/>
      <c r="I56" s="3"/>
      <c r="J56" s="107"/>
      <c r="K56" s="45"/>
      <c r="L56" s="45">
        <f t="shared" si="4"/>
        <v>0</v>
      </c>
      <c r="M56" s="45">
        <f t="shared" si="5"/>
        <v>0</v>
      </c>
      <c r="N56" s="116"/>
      <c r="O56" s="48" t="s">
        <v>166</v>
      </c>
    </row>
    <row r="57" spans="1:15" s="48" customFormat="1" ht="363.1" customHeight="1" outlineLevel="1">
      <c r="A57" s="1">
        <v>263</v>
      </c>
      <c r="B57" s="1" t="str">
        <f t="shared" si="3"/>
        <v>IVF263</v>
      </c>
      <c r="C57" s="201" t="s">
        <v>321</v>
      </c>
      <c r="D57" s="1">
        <v>360</v>
      </c>
      <c r="E57" s="46" t="s">
        <v>10</v>
      </c>
      <c r="F57" s="5">
        <v>1593</v>
      </c>
      <c r="G57" s="45">
        <f>ROUND(D57*F57,0)</f>
        <v>573480</v>
      </c>
      <c r="H57" s="4">
        <v>294.66000000000003</v>
      </c>
      <c r="I57" s="3" t="s">
        <v>10</v>
      </c>
      <c r="J57" s="107">
        <f>F57</f>
        <v>1593</v>
      </c>
      <c r="K57" s="45">
        <f>ROUND(H57*J57,0)</f>
        <v>469393</v>
      </c>
      <c r="L57" s="45">
        <f t="shared" si="4"/>
        <v>0</v>
      </c>
      <c r="M57" s="45">
        <f t="shared" si="5"/>
        <v>104087</v>
      </c>
      <c r="N57" s="116" t="s">
        <v>215</v>
      </c>
      <c r="O57" s="48" t="s">
        <v>166</v>
      </c>
    </row>
    <row r="58" spans="1:15" s="48" customFormat="1" outlineLevel="1">
      <c r="A58" s="1"/>
      <c r="B58" s="1" t="str">
        <f t="shared" si="3"/>
        <v/>
      </c>
      <c r="C58" s="203" t="s">
        <v>242</v>
      </c>
      <c r="D58" s="1"/>
      <c r="E58" s="46"/>
      <c r="F58" s="5"/>
      <c r="G58" s="45"/>
      <c r="H58" s="4"/>
      <c r="I58" s="3"/>
      <c r="J58" s="107"/>
      <c r="K58" s="45"/>
      <c r="L58" s="45"/>
      <c r="M58" s="45"/>
      <c r="N58" s="116"/>
      <c r="O58" s="48" t="s">
        <v>166</v>
      </c>
    </row>
    <row r="59" spans="1:15" s="48" customFormat="1" ht="12.1" customHeight="1" outlineLevel="1">
      <c r="A59" s="3"/>
      <c r="B59" s="1" t="str">
        <f t="shared" si="3"/>
        <v/>
      </c>
      <c r="C59" s="47"/>
      <c r="F59" s="43"/>
      <c r="G59" s="45"/>
      <c r="H59" s="4"/>
      <c r="I59" s="3"/>
      <c r="J59" s="107"/>
      <c r="K59" s="45"/>
      <c r="L59" s="45">
        <f t="shared" si="4"/>
        <v>0</v>
      </c>
      <c r="M59" s="45">
        <f t="shared" si="5"/>
        <v>0</v>
      </c>
      <c r="N59" s="116"/>
      <c r="O59" s="48" t="s">
        <v>166</v>
      </c>
    </row>
    <row r="60" spans="1:15" s="48" customFormat="1" ht="231.65" customHeight="1" outlineLevel="1">
      <c r="A60" s="1">
        <v>264</v>
      </c>
      <c r="B60" s="1" t="str">
        <f t="shared" si="3"/>
        <v>IVF264</v>
      </c>
      <c r="C60" s="201" t="s">
        <v>43</v>
      </c>
      <c r="D60" s="1">
        <v>12</v>
      </c>
      <c r="E60" s="46" t="s">
        <v>10</v>
      </c>
      <c r="F60" s="5">
        <v>1395</v>
      </c>
      <c r="G60" s="45">
        <f>ROUND(D60*F60,0)</f>
        <v>16740</v>
      </c>
      <c r="H60" s="4">
        <v>12</v>
      </c>
      <c r="I60" s="3" t="s">
        <v>10</v>
      </c>
      <c r="J60" s="107">
        <f>F60</f>
        <v>1395</v>
      </c>
      <c r="K60" s="45">
        <f>ROUND(H60*J60,0)</f>
        <v>16740</v>
      </c>
      <c r="L60" s="45">
        <f t="shared" si="4"/>
        <v>0</v>
      </c>
      <c r="M60" s="45">
        <f t="shared" si="5"/>
        <v>0</v>
      </c>
      <c r="N60" s="367" t="s">
        <v>214</v>
      </c>
      <c r="O60" s="48" t="s">
        <v>166</v>
      </c>
    </row>
    <row r="61" spans="1:15" s="48" customFormat="1" outlineLevel="1">
      <c r="A61" s="3"/>
      <c r="B61" s="1" t="str">
        <f t="shared" si="3"/>
        <v/>
      </c>
      <c r="C61" s="204" t="s">
        <v>26</v>
      </c>
      <c r="F61" s="43"/>
      <c r="G61" s="45"/>
      <c r="H61" s="4">
        <v>0.93</v>
      </c>
      <c r="I61" s="3" t="s">
        <v>10</v>
      </c>
      <c r="J61" s="107">
        <f>F60</f>
        <v>1395</v>
      </c>
      <c r="K61" s="45">
        <f>ROUND(H61*J61,0)</f>
        <v>1297</v>
      </c>
      <c r="L61" s="45">
        <f t="shared" si="4"/>
        <v>1297</v>
      </c>
      <c r="M61" s="45">
        <f t="shared" si="5"/>
        <v>0</v>
      </c>
      <c r="N61" s="367"/>
      <c r="O61" s="48" t="s">
        <v>166</v>
      </c>
    </row>
    <row r="62" spans="1:15" s="48" customFormat="1" outlineLevel="1">
      <c r="A62" s="3"/>
      <c r="B62" s="1" t="str">
        <f t="shared" si="3"/>
        <v/>
      </c>
      <c r="C62" s="47" t="s">
        <v>257</v>
      </c>
      <c r="F62" s="43"/>
      <c r="G62" s="45"/>
      <c r="H62" s="4"/>
      <c r="I62" s="3"/>
      <c r="J62" s="107"/>
      <c r="K62" s="45"/>
      <c r="L62" s="45"/>
      <c r="M62" s="45"/>
      <c r="N62" s="116"/>
      <c r="O62" s="48" t="s">
        <v>166</v>
      </c>
    </row>
    <row r="63" spans="1:15" s="48" customFormat="1" ht="12.1" customHeight="1" outlineLevel="1">
      <c r="A63" s="3"/>
      <c r="B63" s="1" t="str">
        <f t="shared" si="3"/>
        <v/>
      </c>
      <c r="C63" s="47"/>
      <c r="F63" s="43"/>
      <c r="G63" s="45"/>
      <c r="H63" s="4"/>
      <c r="I63" s="3"/>
      <c r="J63" s="107"/>
      <c r="K63" s="45"/>
      <c r="L63" s="45"/>
      <c r="M63" s="45"/>
      <c r="N63" s="116"/>
      <c r="O63" s="48" t="s">
        <v>166</v>
      </c>
    </row>
    <row r="64" spans="1:15" s="48" customFormat="1" ht="347.3" customHeight="1" outlineLevel="1">
      <c r="A64" s="1">
        <v>265</v>
      </c>
      <c r="B64" s="1" t="str">
        <f t="shared" ref="B64:B127" si="6">IF(ISBLANK(A64), "","IVF"&amp;A64)</f>
        <v>IVF265</v>
      </c>
      <c r="C64" s="201" t="s">
        <v>323</v>
      </c>
      <c r="D64" s="1">
        <v>300</v>
      </c>
      <c r="E64" s="46" t="s">
        <v>10</v>
      </c>
      <c r="F64" s="5">
        <v>1636</v>
      </c>
      <c r="G64" s="45">
        <f>ROUND(D64*F64,0)</f>
        <v>490800</v>
      </c>
      <c r="H64" s="4">
        <v>300</v>
      </c>
      <c r="I64" s="3" t="s">
        <v>10</v>
      </c>
      <c r="J64" s="107">
        <f>F64</f>
        <v>1636</v>
      </c>
      <c r="K64" s="45">
        <f>ROUND(H64*J64,0)</f>
        <v>490800</v>
      </c>
      <c r="L64" s="45">
        <f t="shared" si="4"/>
        <v>0</v>
      </c>
      <c r="M64" s="45">
        <f t="shared" si="5"/>
        <v>0</v>
      </c>
      <c r="N64" s="367" t="s">
        <v>214</v>
      </c>
      <c r="O64" s="48" t="s">
        <v>166</v>
      </c>
    </row>
    <row r="65" spans="1:16" s="48" customFormat="1" outlineLevel="1">
      <c r="A65" s="3"/>
      <c r="B65" s="1" t="str">
        <f t="shared" si="6"/>
        <v/>
      </c>
      <c r="C65" s="204" t="s">
        <v>26</v>
      </c>
      <c r="F65" s="43"/>
      <c r="G65" s="45"/>
      <c r="H65" s="4">
        <f>438.85-H64</f>
        <v>138.85000000000002</v>
      </c>
      <c r="I65" s="3" t="s">
        <v>10</v>
      </c>
      <c r="J65" s="107">
        <f>F64</f>
        <v>1636</v>
      </c>
      <c r="K65" s="45">
        <f>ROUND(H65*J65,0)</f>
        <v>227159</v>
      </c>
      <c r="L65" s="45">
        <f t="shared" si="4"/>
        <v>227159</v>
      </c>
      <c r="M65" s="45">
        <f t="shared" si="5"/>
        <v>0</v>
      </c>
      <c r="N65" s="367"/>
      <c r="O65" s="48" t="s">
        <v>166</v>
      </c>
    </row>
    <row r="66" spans="1:16" s="48" customFormat="1" outlineLevel="1">
      <c r="A66" s="3"/>
      <c r="B66" s="1" t="str">
        <f t="shared" si="6"/>
        <v/>
      </c>
      <c r="C66" s="47" t="s">
        <v>259</v>
      </c>
      <c r="F66" s="43"/>
      <c r="G66" s="45"/>
      <c r="H66" s="4"/>
      <c r="I66" s="3"/>
      <c r="J66" s="107"/>
      <c r="K66" s="45"/>
      <c r="L66" s="45"/>
      <c r="M66" s="45"/>
      <c r="N66" s="116"/>
      <c r="O66" s="48" t="s">
        <v>166</v>
      </c>
    </row>
    <row r="67" spans="1:16" s="48" customFormat="1" ht="12.1" customHeight="1" outlineLevel="1">
      <c r="A67" s="3"/>
      <c r="B67" s="1" t="str">
        <f t="shared" si="6"/>
        <v/>
      </c>
      <c r="C67" s="47"/>
      <c r="F67" s="43"/>
      <c r="G67" s="45"/>
      <c r="H67" s="4"/>
      <c r="I67" s="3"/>
      <c r="J67" s="107"/>
      <c r="K67" s="45"/>
      <c r="L67" s="45"/>
      <c r="M67" s="45"/>
      <c r="N67" s="116"/>
      <c r="O67" s="48" t="s">
        <v>166</v>
      </c>
    </row>
    <row r="68" spans="1:16" s="48" customFormat="1" ht="275.3" customHeight="1" outlineLevel="1">
      <c r="A68" s="1">
        <v>266</v>
      </c>
      <c r="B68" s="1" t="str">
        <f t="shared" si="6"/>
        <v>IVF266</v>
      </c>
      <c r="C68" s="201" t="s">
        <v>324</v>
      </c>
      <c r="D68" s="1">
        <v>30</v>
      </c>
      <c r="E68" s="46" t="s">
        <v>10</v>
      </c>
      <c r="F68" s="5">
        <v>1391</v>
      </c>
      <c r="G68" s="45">
        <f>ROUND(D68*F68,0)</f>
        <v>41730</v>
      </c>
      <c r="H68" s="4">
        <v>30</v>
      </c>
      <c r="I68" s="3" t="s">
        <v>10</v>
      </c>
      <c r="J68" s="107">
        <f>F68</f>
        <v>1391</v>
      </c>
      <c r="K68" s="45">
        <f>ROUND(H68*J68,0)</f>
        <v>41730</v>
      </c>
      <c r="L68" s="45">
        <f t="shared" si="4"/>
        <v>0</v>
      </c>
      <c r="M68" s="45">
        <f t="shared" si="5"/>
        <v>0</v>
      </c>
      <c r="N68" s="367" t="s">
        <v>308</v>
      </c>
      <c r="O68" s="48" t="s">
        <v>166</v>
      </c>
      <c r="P68" s="48">
        <f>258.54-30</f>
        <v>228.54000000000002</v>
      </c>
    </row>
    <row r="69" spans="1:16" s="48" customFormat="1" outlineLevel="1">
      <c r="A69" s="3"/>
      <c r="B69" s="1" t="str">
        <f t="shared" si="6"/>
        <v/>
      </c>
      <c r="C69" s="204" t="s">
        <v>26</v>
      </c>
      <c r="F69" s="43"/>
      <c r="G69" s="45"/>
      <c r="H69" s="4">
        <v>228.54</v>
      </c>
      <c r="I69" s="3" t="s">
        <v>10</v>
      </c>
      <c r="J69" s="107">
        <f>J68</f>
        <v>1391</v>
      </c>
      <c r="K69" s="45">
        <f>ROUND(H69*J69,0)</f>
        <v>317899</v>
      </c>
      <c r="L69" s="45">
        <f t="shared" si="4"/>
        <v>317899</v>
      </c>
      <c r="M69" s="45">
        <f t="shared" si="5"/>
        <v>0</v>
      </c>
      <c r="N69" s="367"/>
      <c r="O69" s="48" t="s">
        <v>166</v>
      </c>
    </row>
    <row r="70" spans="1:16" s="48" customFormat="1" outlineLevel="1">
      <c r="A70" s="3"/>
      <c r="B70" s="1" t="str">
        <f t="shared" si="6"/>
        <v/>
      </c>
      <c r="C70" s="47" t="s">
        <v>243</v>
      </c>
      <c r="F70" s="43"/>
      <c r="G70" s="45"/>
      <c r="H70" s="4"/>
      <c r="I70" s="3"/>
      <c r="J70" s="107"/>
      <c r="K70" s="45"/>
      <c r="L70" s="45"/>
      <c r="M70" s="45"/>
      <c r="N70" s="116"/>
      <c r="O70" s="48" t="s">
        <v>166</v>
      </c>
    </row>
    <row r="71" spans="1:16" s="48" customFormat="1" ht="12.1" customHeight="1" outlineLevel="1">
      <c r="A71" s="3"/>
      <c r="B71" s="1" t="str">
        <f t="shared" si="6"/>
        <v/>
      </c>
      <c r="C71" s="47"/>
      <c r="F71" s="43"/>
      <c r="G71" s="45"/>
      <c r="H71" s="4"/>
      <c r="I71" s="3"/>
      <c r="J71" s="107"/>
      <c r="K71" s="45"/>
      <c r="L71" s="45"/>
      <c r="M71" s="45"/>
      <c r="N71" s="116"/>
      <c r="O71" s="48" t="s">
        <v>166</v>
      </c>
    </row>
    <row r="72" spans="1:16" s="48" customFormat="1" ht="243.7" customHeight="1" outlineLevel="1">
      <c r="A72" s="1">
        <v>267</v>
      </c>
      <c r="B72" s="1" t="str">
        <f t="shared" si="6"/>
        <v>IVF267</v>
      </c>
      <c r="C72" s="201" t="s">
        <v>44</v>
      </c>
      <c r="D72" s="1">
        <v>975</v>
      </c>
      <c r="E72" s="46" t="s">
        <v>10</v>
      </c>
      <c r="F72" s="5">
        <v>315</v>
      </c>
      <c r="G72" s="45">
        <f>ROUND(D72*F72,0)</f>
        <v>307125</v>
      </c>
      <c r="H72" s="4">
        <v>975</v>
      </c>
      <c r="I72" s="3" t="s">
        <v>10</v>
      </c>
      <c r="J72" s="107">
        <f>F72</f>
        <v>315</v>
      </c>
      <c r="K72" s="45">
        <f>ROUND(H72*J72,0)</f>
        <v>307125</v>
      </c>
      <c r="L72" s="45">
        <f t="shared" si="4"/>
        <v>0</v>
      </c>
      <c r="M72" s="45">
        <f t="shared" si="5"/>
        <v>0</v>
      </c>
      <c r="N72" s="367" t="s">
        <v>214</v>
      </c>
      <c r="O72" s="48" t="s">
        <v>166</v>
      </c>
    </row>
    <row r="73" spans="1:16" s="48" customFormat="1" outlineLevel="1">
      <c r="A73" s="3"/>
      <c r="B73" s="1" t="str">
        <f t="shared" si="6"/>
        <v/>
      </c>
      <c r="C73" s="204" t="s">
        <v>26</v>
      </c>
      <c r="F73" s="43"/>
      <c r="G73" s="45"/>
      <c r="H73" s="4">
        <f>1448.95-H72</f>
        <v>473.95000000000005</v>
      </c>
      <c r="I73" s="3" t="s">
        <v>10</v>
      </c>
      <c r="J73" s="107">
        <f>J72</f>
        <v>315</v>
      </c>
      <c r="K73" s="45">
        <f>ROUND(H73*J73,0)</f>
        <v>149294</v>
      </c>
      <c r="L73" s="45">
        <f t="shared" si="4"/>
        <v>149294</v>
      </c>
      <c r="M73" s="45">
        <f t="shared" si="5"/>
        <v>0</v>
      </c>
      <c r="N73" s="367"/>
      <c r="O73" s="48" t="s">
        <v>166</v>
      </c>
    </row>
    <row r="74" spans="1:16" s="48" customFormat="1" outlineLevel="1">
      <c r="A74" s="3"/>
      <c r="B74" s="1" t="str">
        <f t="shared" si="6"/>
        <v/>
      </c>
      <c r="C74" s="47" t="s">
        <v>258</v>
      </c>
      <c r="F74" s="43"/>
      <c r="G74" s="45"/>
      <c r="H74" s="4"/>
      <c r="I74" s="3"/>
      <c r="J74" s="107"/>
      <c r="K74" s="45"/>
      <c r="L74" s="45"/>
      <c r="M74" s="45"/>
      <c r="N74" s="116"/>
      <c r="O74" s="48" t="s">
        <v>166</v>
      </c>
    </row>
    <row r="75" spans="1:16" s="48" customFormat="1" ht="12.1" customHeight="1" outlineLevel="1">
      <c r="A75" s="3"/>
      <c r="B75" s="1" t="str">
        <f t="shared" si="6"/>
        <v/>
      </c>
      <c r="C75" s="47"/>
      <c r="F75" s="43"/>
      <c r="G75" s="45"/>
      <c r="H75" s="4"/>
      <c r="I75" s="3"/>
      <c r="J75" s="107"/>
      <c r="K75" s="45"/>
      <c r="L75" s="45"/>
      <c r="M75" s="45"/>
      <c r="N75" s="116"/>
      <c r="O75" s="48" t="s">
        <v>166</v>
      </c>
    </row>
    <row r="76" spans="1:16" s="48" customFormat="1" ht="171.7" customHeight="1" outlineLevel="1">
      <c r="A76" s="1">
        <v>268</v>
      </c>
      <c r="B76" s="1" t="str">
        <f t="shared" si="6"/>
        <v>IVF268</v>
      </c>
      <c r="C76" s="201" t="s">
        <v>21</v>
      </c>
      <c r="D76" s="1">
        <v>80</v>
      </c>
      <c r="E76" s="46" t="s">
        <v>10</v>
      </c>
      <c r="F76" s="5">
        <v>281</v>
      </c>
      <c r="G76" s="45">
        <f>ROUND(D76*F76,0)</f>
        <v>22480</v>
      </c>
      <c r="H76" s="4">
        <v>0</v>
      </c>
      <c r="I76" s="3" t="s">
        <v>10</v>
      </c>
      <c r="J76" s="107">
        <f>F76</f>
        <v>281</v>
      </c>
      <c r="K76" s="45"/>
      <c r="L76" s="45">
        <f t="shared" si="4"/>
        <v>0</v>
      </c>
      <c r="M76" s="45">
        <f t="shared" si="5"/>
        <v>22480</v>
      </c>
      <c r="N76" s="116" t="s">
        <v>217</v>
      </c>
      <c r="O76" s="48" t="s">
        <v>166</v>
      </c>
    </row>
    <row r="77" spans="1:16" s="48" customFormat="1" ht="12.1" customHeight="1" outlineLevel="1">
      <c r="A77" s="3"/>
      <c r="B77" s="1" t="str">
        <f t="shared" si="6"/>
        <v/>
      </c>
      <c r="F77" s="43"/>
      <c r="G77" s="45"/>
      <c r="H77" s="4"/>
      <c r="I77" s="3"/>
      <c r="J77" s="107"/>
      <c r="K77" s="45"/>
      <c r="L77" s="45">
        <f t="shared" si="4"/>
        <v>0</v>
      </c>
      <c r="M77" s="45">
        <f t="shared" si="5"/>
        <v>0</v>
      </c>
      <c r="N77" s="116"/>
      <c r="O77" s="48" t="s">
        <v>166</v>
      </c>
    </row>
    <row r="78" spans="1:16" s="48" customFormat="1" ht="156.1" customHeight="1" outlineLevel="1">
      <c r="A78" s="1">
        <v>269</v>
      </c>
      <c r="B78" s="1" t="str">
        <f t="shared" si="6"/>
        <v>IVF269</v>
      </c>
      <c r="C78" s="201" t="s">
        <v>45</v>
      </c>
      <c r="D78" s="1">
        <v>975</v>
      </c>
      <c r="E78" s="46" t="s">
        <v>10</v>
      </c>
      <c r="F78" s="5">
        <v>259</v>
      </c>
      <c r="G78" s="45">
        <f>ROUND(D78*F78,0)</f>
        <v>252525</v>
      </c>
      <c r="H78" s="4">
        <v>975</v>
      </c>
      <c r="I78" s="3" t="s">
        <v>10</v>
      </c>
      <c r="J78" s="107">
        <f>F78</f>
        <v>259</v>
      </c>
      <c r="K78" s="45">
        <f>ROUND(H78*J78,0)</f>
        <v>252525</v>
      </c>
      <c r="L78" s="45">
        <f t="shared" si="4"/>
        <v>0</v>
      </c>
      <c r="M78" s="45">
        <f t="shared" si="5"/>
        <v>0</v>
      </c>
      <c r="N78" s="367" t="s">
        <v>214</v>
      </c>
      <c r="O78" s="48" t="s">
        <v>166</v>
      </c>
    </row>
    <row r="79" spans="1:16" s="48" customFormat="1" outlineLevel="1">
      <c r="A79" s="3"/>
      <c r="B79" s="1" t="str">
        <f t="shared" si="6"/>
        <v/>
      </c>
      <c r="C79" s="204" t="s">
        <v>26</v>
      </c>
      <c r="F79" s="43"/>
      <c r="G79" s="45"/>
      <c r="H79" s="4">
        <f>1127.93-H78</f>
        <v>152.93000000000006</v>
      </c>
      <c r="I79" s="3" t="s">
        <v>10</v>
      </c>
      <c r="J79" s="107">
        <f>J78</f>
        <v>259</v>
      </c>
      <c r="K79" s="45">
        <f>ROUND(H79*J79,0)</f>
        <v>39609</v>
      </c>
      <c r="L79" s="45">
        <f t="shared" si="4"/>
        <v>39609</v>
      </c>
      <c r="M79" s="45">
        <f t="shared" si="5"/>
        <v>0</v>
      </c>
      <c r="N79" s="367"/>
      <c r="O79" s="48" t="s">
        <v>166</v>
      </c>
    </row>
    <row r="80" spans="1:16" s="48" customFormat="1" outlineLevel="1">
      <c r="A80" s="3"/>
      <c r="B80" s="1" t="str">
        <f t="shared" si="6"/>
        <v/>
      </c>
      <c r="C80" s="47" t="s">
        <v>260</v>
      </c>
      <c r="F80" s="43"/>
      <c r="G80" s="45"/>
      <c r="H80" s="4"/>
      <c r="I80" s="3"/>
      <c r="J80" s="107"/>
      <c r="K80" s="45"/>
      <c r="L80" s="45"/>
      <c r="M80" s="45"/>
      <c r="N80" s="116"/>
      <c r="O80" s="48" t="s">
        <v>166</v>
      </c>
    </row>
    <row r="81" spans="1:16" s="48" customFormat="1" ht="12.1" customHeight="1" outlineLevel="1">
      <c r="A81" s="3"/>
      <c r="B81" s="1" t="str">
        <f t="shared" si="6"/>
        <v/>
      </c>
      <c r="C81" s="47"/>
      <c r="F81" s="43"/>
      <c r="G81" s="45"/>
      <c r="H81" s="4"/>
      <c r="I81" s="3"/>
      <c r="J81" s="107"/>
      <c r="K81" s="45"/>
      <c r="L81" s="45"/>
      <c r="M81" s="45"/>
      <c r="N81" s="116"/>
      <c r="O81" s="48" t="s">
        <v>166</v>
      </c>
    </row>
    <row r="82" spans="1:16" s="48" customFormat="1" ht="165.1" customHeight="1" outlineLevel="1">
      <c r="A82" s="1">
        <v>270</v>
      </c>
      <c r="B82" s="1" t="str">
        <f t="shared" si="6"/>
        <v>IVF270</v>
      </c>
      <c r="C82" s="201" t="s">
        <v>46</v>
      </c>
      <c r="D82" s="1">
        <v>100</v>
      </c>
      <c r="E82" s="46" t="s">
        <v>10</v>
      </c>
      <c r="F82" s="5">
        <v>229</v>
      </c>
      <c r="G82" s="45">
        <f>ROUND(D82*F82,0)</f>
        <v>22900</v>
      </c>
      <c r="H82" s="4">
        <v>18.36</v>
      </c>
      <c r="I82" s="3" t="s">
        <v>10</v>
      </c>
      <c r="J82" s="107">
        <f>F82</f>
        <v>229</v>
      </c>
      <c r="K82" s="45">
        <f>ROUND(H82*J82,0)</f>
        <v>4204</v>
      </c>
      <c r="L82" s="45">
        <f>ROUND(IF(K82&gt;G82,K82-G82,0),0)</f>
        <v>0</v>
      </c>
      <c r="M82" s="45">
        <f>ROUND(IF(K82&lt;G82,G82-K82,0),0)</f>
        <v>18696</v>
      </c>
      <c r="N82" s="116" t="s">
        <v>215</v>
      </c>
      <c r="O82" s="48" t="s">
        <v>166</v>
      </c>
      <c r="P82" s="48">
        <f>1.7*1.8*6</f>
        <v>18.36</v>
      </c>
    </row>
    <row r="83" spans="1:16" s="48" customFormat="1" ht="12.1" customHeight="1" outlineLevel="1">
      <c r="A83" s="1"/>
      <c r="B83" s="1" t="str">
        <f t="shared" si="6"/>
        <v/>
      </c>
      <c r="C83" s="201"/>
      <c r="D83" s="1"/>
      <c r="E83" s="46"/>
      <c r="F83" s="5"/>
      <c r="G83" s="45"/>
      <c r="H83" s="4"/>
      <c r="I83" s="3"/>
      <c r="J83" s="107"/>
      <c r="K83" s="45"/>
      <c r="L83" s="45">
        <f t="shared" si="4"/>
        <v>0</v>
      </c>
      <c r="M83" s="45">
        <f t="shared" si="5"/>
        <v>0</v>
      </c>
      <c r="N83" s="116"/>
      <c r="O83" s="48" t="s">
        <v>166</v>
      </c>
    </row>
    <row r="84" spans="1:16" s="48" customFormat="1" ht="225" customHeight="1" outlineLevel="1">
      <c r="A84" s="1">
        <v>285</v>
      </c>
      <c r="B84" s="1" t="str">
        <f t="shared" si="6"/>
        <v>IVF285</v>
      </c>
      <c r="C84" s="201" t="s">
        <v>47</v>
      </c>
      <c r="D84" s="1">
        <v>125</v>
      </c>
      <c r="E84" s="46" t="s">
        <v>13</v>
      </c>
      <c r="F84" s="5">
        <v>5620</v>
      </c>
      <c r="G84" s="45">
        <f>ROUND(D84*F84,0)</f>
        <v>702500</v>
      </c>
      <c r="H84" s="4">
        <v>121.04</v>
      </c>
      <c r="I84" s="3" t="s">
        <v>13</v>
      </c>
      <c r="J84" s="107">
        <f>F84</f>
        <v>5620</v>
      </c>
      <c r="K84" s="45">
        <f>ROUND(H84*J84,0)</f>
        <v>680245</v>
      </c>
      <c r="L84" s="45">
        <f t="shared" si="4"/>
        <v>0</v>
      </c>
      <c r="M84" s="45">
        <f t="shared" si="5"/>
        <v>22255</v>
      </c>
      <c r="N84" s="116" t="s">
        <v>215</v>
      </c>
      <c r="O84" s="48" t="s">
        <v>166</v>
      </c>
    </row>
    <row r="85" spans="1:16" s="48" customFormat="1" outlineLevel="1">
      <c r="A85" s="1"/>
      <c r="B85" s="1" t="str">
        <f t="shared" si="6"/>
        <v/>
      </c>
      <c r="C85" s="203" t="s">
        <v>254</v>
      </c>
      <c r="D85" s="1"/>
      <c r="E85" s="46"/>
      <c r="F85" s="5"/>
      <c r="G85" s="45"/>
      <c r="H85" s="4"/>
      <c r="I85" s="3"/>
      <c r="J85" s="107"/>
      <c r="K85" s="45"/>
      <c r="L85" s="45"/>
      <c r="M85" s="45"/>
      <c r="N85" s="116"/>
      <c r="O85" s="48" t="s">
        <v>166</v>
      </c>
    </row>
    <row r="86" spans="1:16" s="48" customFormat="1" ht="12.1" customHeight="1" outlineLevel="1">
      <c r="A86" s="3"/>
      <c r="B86" s="1" t="str">
        <f t="shared" si="6"/>
        <v/>
      </c>
      <c r="F86" s="43"/>
      <c r="G86" s="45"/>
      <c r="H86" s="4"/>
      <c r="I86" s="3"/>
      <c r="J86" s="107"/>
      <c r="K86" s="45"/>
      <c r="L86" s="45">
        <f t="shared" si="4"/>
        <v>0</v>
      </c>
      <c r="M86" s="45">
        <f t="shared" si="5"/>
        <v>0</v>
      </c>
      <c r="N86" s="116"/>
      <c r="O86" s="48" t="s">
        <v>166</v>
      </c>
    </row>
    <row r="87" spans="1:16" s="48" customFormat="1" ht="227.25" customHeight="1" outlineLevel="1">
      <c r="A87" s="1">
        <v>286</v>
      </c>
      <c r="B87" s="1" t="str">
        <f t="shared" si="6"/>
        <v>IVF286</v>
      </c>
      <c r="C87" s="201" t="s">
        <v>325</v>
      </c>
      <c r="D87" s="1">
        <v>60</v>
      </c>
      <c r="E87" s="46" t="s">
        <v>13</v>
      </c>
      <c r="F87" s="5">
        <v>5135</v>
      </c>
      <c r="G87" s="45">
        <f>ROUND(D87*F87,0)</f>
        <v>308100</v>
      </c>
      <c r="H87" s="4">
        <v>60</v>
      </c>
      <c r="I87" s="3" t="s">
        <v>13</v>
      </c>
      <c r="J87" s="107">
        <f>F87</f>
        <v>5135</v>
      </c>
      <c r="K87" s="45">
        <f>ROUND(H87*J87,0)</f>
        <v>308100</v>
      </c>
      <c r="L87" s="45">
        <f t="shared" si="4"/>
        <v>0</v>
      </c>
      <c r="M87" s="45">
        <f t="shared" si="5"/>
        <v>0</v>
      </c>
      <c r="N87" s="367" t="s">
        <v>214</v>
      </c>
      <c r="O87" s="48" t="s">
        <v>166</v>
      </c>
    </row>
    <row r="88" spans="1:16" s="48" customFormat="1" outlineLevel="1">
      <c r="A88" s="3"/>
      <c r="B88" s="1" t="str">
        <f t="shared" si="6"/>
        <v/>
      </c>
      <c r="C88" s="204" t="s">
        <v>26</v>
      </c>
      <c r="F88" s="43"/>
      <c r="G88" s="45"/>
      <c r="H88" s="4">
        <v>2.66</v>
      </c>
      <c r="I88" s="3" t="s">
        <v>13</v>
      </c>
      <c r="J88" s="107">
        <f>F87</f>
        <v>5135</v>
      </c>
      <c r="K88" s="45">
        <f>ROUND(H88*J88,0)</f>
        <v>13659</v>
      </c>
      <c r="L88" s="45">
        <f t="shared" si="4"/>
        <v>13659</v>
      </c>
      <c r="M88" s="45">
        <f t="shared" si="5"/>
        <v>0</v>
      </c>
      <c r="N88" s="367"/>
      <c r="O88" s="48" t="s">
        <v>166</v>
      </c>
    </row>
    <row r="89" spans="1:16" s="48" customFormat="1" outlineLevel="1">
      <c r="A89" s="3"/>
      <c r="B89" s="1" t="str">
        <f t="shared" si="6"/>
        <v/>
      </c>
      <c r="C89" s="47" t="s">
        <v>255</v>
      </c>
      <c r="F89" s="43"/>
      <c r="G89" s="45"/>
      <c r="H89" s="4"/>
      <c r="I89" s="3"/>
      <c r="J89" s="107"/>
      <c r="K89" s="45"/>
      <c r="L89" s="45"/>
      <c r="M89" s="45"/>
      <c r="N89" s="116"/>
      <c r="O89" s="48" t="s">
        <v>166</v>
      </c>
    </row>
    <row r="90" spans="1:16" s="48" customFormat="1" ht="12.1" customHeight="1" outlineLevel="1">
      <c r="A90" s="3"/>
      <c r="B90" s="1" t="str">
        <f t="shared" si="6"/>
        <v/>
      </c>
      <c r="C90" s="47"/>
      <c r="F90" s="43"/>
      <c r="G90" s="45"/>
      <c r="H90" s="4"/>
      <c r="I90" s="3"/>
      <c r="J90" s="107"/>
      <c r="K90" s="45"/>
      <c r="L90" s="45"/>
      <c r="M90" s="45"/>
      <c r="N90" s="116"/>
      <c r="O90" s="48" t="s">
        <v>166</v>
      </c>
    </row>
    <row r="91" spans="1:16" s="48" customFormat="1" ht="257.3" customHeight="1" outlineLevel="1">
      <c r="A91" s="1">
        <v>287</v>
      </c>
      <c r="B91" s="1" t="str">
        <f t="shared" si="6"/>
        <v>IVF287</v>
      </c>
      <c r="C91" s="201" t="s">
        <v>326</v>
      </c>
      <c r="D91" s="1">
        <v>4</v>
      </c>
      <c r="E91" s="46" t="s">
        <v>8</v>
      </c>
      <c r="F91" s="5">
        <v>46000</v>
      </c>
      <c r="G91" s="45">
        <f>ROUND(D91*F91,0)</f>
        <v>184000</v>
      </c>
      <c r="H91" s="4">
        <v>4</v>
      </c>
      <c r="I91" s="3" t="s">
        <v>8</v>
      </c>
      <c r="J91" s="107">
        <f>F91</f>
        <v>46000</v>
      </c>
      <c r="K91" s="45">
        <f>ROUND(H91*J91,0)</f>
        <v>184000</v>
      </c>
      <c r="L91" s="45">
        <f t="shared" si="4"/>
        <v>0</v>
      </c>
      <c r="M91" s="45">
        <f t="shared" si="5"/>
        <v>0</v>
      </c>
      <c r="N91" s="367" t="s">
        <v>219</v>
      </c>
      <c r="O91" s="48" t="s">
        <v>166</v>
      </c>
    </row>
    <row r="92" spans="1:16" s="48" customFormat="1" outlineLevel="1">
      <c r="A92" s="3"/>
      <c r="B92" s="1" t="str">
        <f t="shared" si="6"/>
        <v/>
      </c>
      <c r="C92" s="204" t="s">
        <v>26</v>
      </c>
      <c r="F92" s="43"/>
      <c r="G92" s="45"/>
      <c r="H92" s="4">
        <v>1</v>
      </c>
      <c r="I92" s="3" t="s">
        <v>8</v>
      </c>
      <c r="J92" s="107">
        <f>F91</f>
        <v>46000</v>
      </c>
      <c r="K92" s="45">
        <f>ROUND(H92*J92,0)</f>
        <v>46000</v>
      </c>
      <c r="L92" s="45">
        <f t="shared" si="4"/>
        <v>46000</v>
      </c>
      <c r="M92" s="45">
        <f t="shared" si="5"/>
        <v>0</v>
      </c>
      <c r="N92" s="367"/>
      <c r="O92" s="48" t="s">
        <v>166</v>
      </c>
    </row>
    <row r="93" spans="1:16" s="48" customFormat="1" outlineLevel="1">
      <c r="A93" s="3"/>
      <c r="B93" s="1" t="str">
        <f t="shared" si="6"/>
        <v/>
      </c>
      <c r="C93" s="47" t="s">
        <v>254</v>
      </c>
      <c r="F93" s="43"/>
      <c r="G93" s="45"/>
      <c r="H93" s="4"/>
      <c r="I93" s="3"/>
      <c r="J93" s="107"/>
      <c r="K93" s="45"/>
      <c r="L93" s="45"/>
      <c r="M93" s="45"/>
      <c r="N93" s="116"/>
      <c r="O93" s="48" t="s">
        <v>166</v>
      </c>
    </row>
    <row r="94" spans="1:16" s="48" customFormat="1" ht="12.1" customHeight="1" outlineLevel="1">
      <c r="A94" s="3"/>
      <c r="B94" s="1" t="str">
        <f t="shared" si="6"/>
        <v/>
      </c>
      <c r="C94" s="47"/>
      <c r="F94" s="43"/>
      <c r="G94" s="45"/>
      <c r="H94" s="4"/>
      <c r="I94" s="3"/>
      <c r="J94" s="107"/>
      <c r="K94" s="45"/>
      <c r="L94" s="45"/>
      <c r="M94" s="45"/>
      <c r="N94" s="116"/>
      <c r="O94" s="48" t="s">
        <v>166</v>
      </c>
    </row>
    <row r="95" spans="1:16" s="48" customFormat="1" ht="258.8" customHeight="1" outlineLevel="1">
      <c r="A95" s="1">
        <v>288</v>
      </c>
      <c r="B95" s="1" t="str">
        <f t="shared" si="6"/>
        <v>IVF288</v>
      </c>
      <c r="C95" s="201" t="s">
        <v>48</v>
      </c>
      <c r="D95" s="1">
        <v>2</v>
      </c>
      <c r="E95" s="46" t="s">
        <v>8</v>
      </c>
      <c r="F95" s="5">
        <v>28700</v>
      </c>
      <c r="G95" s="45">
        <f>ROUND(D95*F95,0)</f>
        <v>57400</v>
      </c>
      <c r="H95" s="4">
        <v>2</v>
      </c>
      <c r="I95" s="3" t="s">
        <v>8</v>
      </c>
      <c r="J95" s="107">
        <f>F95</f>
        <v>28700</v>
      </c>
      <c r="K95" s="45">
        <f>ROUND(H95*J95,0)</f>
        <v>57400</v>
      </c>
      <c r="L95" s="45">
        <f t="shared" si="4"/>
        <v>0</v>
      </c>
      <c r="M95" s="45">
        <f t="shared" si="5"/>
        <v>0</v>
      </c>
      <c r="N95" s="367" t="s">
        <v>218</v>
      </c>
      <c r="O95" s="48" t="s">
        <v>166</v>
      </c>
    </row>
    <row r="96" spans="1:16" s="48" customFormat="1" outlineLevel="1">
      <c r="A96" s="3"/>
      <c r="B96" s="1" t="str">
        <f t="shared" si="6"/>
        <v/>
      </c>
      <c r="C96" s="204" t="s">
        <v>26</v>
      </c>
      <c r="F96" s="43"/>
      <c r="G96" s="45"/>
      <c r="H96" s="4">
        <v>3</v>
      </c>
      <c r="I96" s="3" t="s">
        <v>8</v>
      </c>
      <c r="J96" s="107">
        <f>J95</f>
        <v>28700</v>
      </c>
      <c r="K96" s="45">
        <f>ROUND(H96*J96,0)</f>
        <v>86100</v>
      </c>
      <c r="L96" s="45">
        <f t="shared" si="4"/>
        <v>86100</v>
      </c>
      <c r="M96" s="45">
        <f t="shared" si="5"/>
        <v>0</v>
      </c>
      <c r="N96" s="367"/>
      <c r="O96" s="48" t="s">
        <v>166</v>
      </c>
    </row>
    <row r="97" spans="1:15" s="48" customFormat="1" outlineLevel="1">
      <c r="A97" s="3"/>
      <c r="B97" s="1" t="str">
        <f t="shared" si="6"/>
        <v/>
      </c>
      <c r="C97" s="47" t="s">
        <v>254</v>
      </c>
      <c r="F97" s="43"/>
      <c r="G97" s="45"/>
      <c r="H97" s="4"/>
      <c r="I97" s="3"/>
      <c r="J97" s="107"/>
      <c r="K97" s="45"/>
      <c r="L97" s="45"/>
      <c r="M97" s="45"/>
      <c r="N97" s="116"/>
      <c r="O97" s="48" t="s">
        <v>166</v>
      </c>
    </row>
    <row r="98" spans="1:15" s="48" customFormat="1" ht="12.1" customHeight="1" outlineLevel="1">
      <c r="A98" s="3"/>
      <c r="B98" s="1" t="str">
        <f t="shared" si="6"/>
        <v/>
      </c>
      <c r="C98" s="47"/>
      <c r="F98" s="43"/>
      <c r="G98" s="45"/>
      <c r="H98" s="4"/>
      <c r="I98" s="3"/>
      <c r="J98" s="107"/>
      <c r="K98" s="45"/>
      <c r="L98" s="45"/>
      <c r="M98" s="45"/>
      <c r="N98" s="116"/>
      <c r="O98" s="48" t="s">
        <v>166</v>
      </c>
    </row>
    <row r="99" spans="1:15" s="48" customFormat="1" ht="76.099999999999994" customHeight="1" outlineLevel="1">
      <c r="A99" s="1">
        <v>289</v>
      </c>
      <c r="B99" s="1" t="str">
        <f t="shared" si="6"/>
        <v>IVF289</v>
      </c>
      <c r="C99" s="201" t="s">
        <v>49</v>
      </c>
      <c r="D99" s="1">
        <v>100</v>
      </c>
      <c r="E99" s="46" t="s">
        <v>12</v>
      </c>
      <c r="F99" s="5">
        <v>585</v>
      </c>
      <c r="G99" s="45">
        <f>ROUND(D99*F99,0)</f>
        <v>58500</v>
      </c>
      <c r="H99" s="4">
        <v>100</v>
      </c>
      <c r="I99" s="3" t="s">
        <v>12</v>
      </c>
      <c r="J99" s="107">
        <f>F99</f>
        <v>585</v>
      </c>
      <c r="K99" s="45">
        <f>ROUND(H99*J99,0)</f>
        <v>58500</v>
      </c>
      <c r="L99" s="45">
        <f t="shared" si="4"/>
        <v>0</v>
      </c>
      <c r="M99" s="45">
        <f t="shared" si="5"/>
        <v>0</v>
      </c>
      <c r="N99" s="367" t="s">
        <v>214</v>
      </c>
      <c r="O99" s="48" t="s">
        <v>166</v>
      </c>
    </row>
    <row r="100" spans="1:15" s="48" customFormat="1" outlineLevel="1">
      <c r="A100" s="3"/>
      <c r="B100" s="1" t="str">
        <f t="shared" si="6"/>
        <v/>
      </c>
      <c r="C100" s="204" t="s">
        <v>26</v>
      </c>
      <c r="F100" s="43"/>
      <c r="G100" s="45"/>
      <c r="H100" s="4">
        <f>109.8-H99</f>
        <v>9.7999999999999972</v>
      </c>
      <c r="I100" s="3" t="s">
        <v>12</v>
      </c>
      <c r="J100" s="107">
        <f>J99</f>
        <v>585</v>
      </c>
      <c r="K100" s="45">
        <f>ROUND(H100*J100,0)</f>
        <v>5733</v>
      </c>
      <c r="L100" s="45">
        <f t="shared" si="4"/>
        <v>5733</v>
      </c>
      <c r="M100" s="45">
        <f t="shared" si="5"/>
        <v>0</v>
      </c>
      <c r="N100" s="367"/>
      <c r="O100" s="48" t="s">
        <v>166</v>
      </c>
    </row>
    <row r="101" spans="1:15" s="48" customFormat="1" outlineLevel="1">
      <c r="A101" s="3"/>
      <c r="B101" s="1" t="str">
        <f t="shared" si="6"/>
        <v/>
      </c>
      <c r="C101" s="47" t="s">
        <v>255</v>
      </c>
      <c r="F101" s="43"/>
      <c r="G101" s="45"/>
      <c r="H101" s="4"/>
      <c r="I101" s="3"/>
      <c r="J101" s="107"/>
      <c r="K101" s="45"/>
      <c r="L101" s="45"/>
      <c r="M101" s="45"/>
      <c r="N101" s="116"/>
      <c r="O101" s="48" t="s">
        <v>166</v>
      </c>
    </row>
    <row r="102" spans="1:15" s="48" customFormat="1" ht="12.1" customHeight="1" outlineLevel="1">
      <c r="A102" s="3"/>
      <c r="B102" s="1" t="str">
        <f t="shared" si="6"/>
        <v/>
      </c>
      <c r="C102" s="47"/>
      <c r="F102" s="43"/>
      <c r="G102" s="45"/>
      <c r="H102" s="4"/>
      <c r="I102" s="3"/>
      <c r="J102" s="107"/>
      <c r="K102" s="45"/>
      <c r="L102" s="45"/>
      <c r="M102" s="45"/>
      <c r="N102" s="116"/>
      <c r="O102" s="48" t="s">
        <v>166</v>
      </c>
    </row>
    <row r="103" spans="1:15" s="48" customFormat="1" ht="151.5" customHeight="1" outlineLevel="1">
      <c r="A103" s="1">
        <v>290</v>
      </c>
      <c r="B103" s="1" t="str">
        <f t="shared" si="6"/>
        <v>IVF290</v>
      </c>
      <c r="C103" s="201" t="s">
        <v>50</v>
      </c>
      <c r="D103" s="1">
        <v>140</v>
      </c>
      <c r="E103" s="46" t="s">
        <v>10</v>
      </c>
      <c r="F103" s="5">
        <v>4070</v>
      </c>
      <c r="G103" s="45">
        <f>ROUND(D103*F103,0)</f>
        <v>569800</v>
      </c>
      <c r="H103" s="4">
        <v>140</v>
      </c>
      <c r="I103" s="3" t="s">
        <v>10</v>
      </c>
      <c r="J103" s="107">
        <f>F103</f>
        <v>4070</v>
      </c>
      <c r="K103" s="45">
        <f>ROUND(H103*J103,0)</f>
        <v>569800</v>
      </c>
      <c r="L103" s="45">
        <f t="shared" si="4"/>
        <v>0</v>
      </c>
      <c r="M103" s="45">
        <f t="shared" si="5"/>
        <v>0</v>
      </c>
      <c r="N103" s="367" t="s">
        <v>214</v>
      </c>
      <c r="O103" s="48" t="s">
        <v>166</v>
      </c>
    </row>
    <row r="104" spans="1:15" s="48" customFormat="1" outlineLevel="1">
      <c r="A104" s="3"/>
      <c r="B104" s="1" t="str">
        <f t="shared" si="6"/>
        <v/>
      </c>
      <c r="C104" s="204" t="s">
        <v>26</v>
      </c>
      <c r="F104" s="43"/>
      <c r="G104" s="45"/>
      <c r="H104" s="4">
        <f>173.31-H103</f>
        <v>33.31</v>
      </c>
      <c r="I104" s="3" t="s">
        <v>10</v>
      </c>
      <c r="J104" s="107">
        <f>F103</f>
        <v>4070</v>
      </c>
      <c r="K104" s="45">
        <f>ROUND(H104*J104,0)</f>
        <v>135572</v>
      </c>
      <c r="L104" s="45">
        <f t="shared" si="4"/>
        <v>135572</v>
      </c>
      <c r="M104" s="45">
        <f t="shared" si="5"/>
        <v>0</v>
      </c>
      <c r="N104" s="367"/>
      <c r="O104" s="48" t="s">
        <v>166</v>
      </c>
    </row>
    <row r="105" spans="1:15" s="48" customFormat="1" outlineLevel="1">
      <c r="A105" s="3"/>
      <c r="B105" s="1" t="str">
        <f t="shared" si="6"/>
        <v/>
      </c>
      <c r="C105" s="47" t="s">
        <v>262</v>
      </c>
      <c r="F105" s="43"/>
      <c r="G105" s="45"/>
      <c r="H105" s="4"/>
      <c r="I105" s="3"/>
      <c r="J105" s="107"/>
      <c r="K105" s="45"/>
      <c r="L105" s="45"/>
      <c r="M105" s="45"/>
      <c r="N105" s="116"/>
      <c r="O105" s="48" t="s">
        <v>166</v>
      </c>
    </row>
    <row r="106" spans="1:15" s="48" customFormat="1" ht="12.1" customHeight="1" outlineLevel="1">
      <c r="A106" s="3"/>
      <c r="B106" s="1" t="str">
        <f t="shared" si="6"/>
        <v/>
      </c>
      <c r="C106" s="47"/>
      <c r="F106" s="43"/>
      <c r="G106" s="45"/>
      <c r="H106" s="4"/>
      <c r="I106" s="3"/>
      <c r="J106" s="107"/>
      <c r="K106" s="45"/>
      <c r="L106" s="45"/>
      <c r="M106" s="45"/>
      <c r="N106" s="116"/>
      <c r="O106" s="48" t="s">
        <v>166</v>
      </c>
    </row>
    <row r="107" spans="1:15" s="48" customFormat="1" ht="66.599999999999994" customHeight="1" outlineLevel="1">
      <c r="A107" s="1"/>
      <c r="B107" s="1"/>
      <c r="C107" s="201"/>
      <c r="D107" s="1"/>
      <c r="E107" s="46"/>
      <c r="F107" s="5"/>
      <c r="G107" s="45"/>
      <c r="H107" s="4"/>
      <c r="I107" s="3"/>
      <c r="J107" s="107"/>
      <c r="K107" s="45"/>
      <c r="L107" s="45"/>
      <c r="M107" s="45"/>
      <c r="N107" s="116"/>
    </row>
    <row r="108" spans="1:15" s="48" customFormat="1" outlineLevel="1">
      <c r="A108" s="1"/>
      <c r="B108" s="1" t="str">
        <f t="shared" si="6"/>
        <v/>
      </c>
      <c r="C108" s="203" t="s">
        <v>254</v>
      </c>
      <c r="D108" s="1"/>
      <c r="E108" s="46"/>
      <c r="F108" s="5"/>
      <c r="G108" s="45"/>
      <c r="H108" s="4"/>
      <c r="I108" s="3"/>
      <c r="J108" s="107"/>
      <c r="K108" s="45"/>
      <c r="L108" s="45"/>
      <c r="M108" s="45"/>
      <c r="N108" s="116"/>
      <c r="O108" s="48" t="s">
        <v>166</v>
      </c>
    </row>
    <row r="109" spans="1:15" s="48" customFormat="1" ht="12.1" customHeight="1" outlineLevel="1">
      <c r="A109" s="3"/>
      <c r="B109" s="1" t="str">
        <f t="shared" si="6"/>
        <v/>
      </c>
      <c r="F109" s="43"/>
      <c r="G109" s="45"/>
      <c r="H109" s="4"/>
      <c r="I109" s="3"/>
      <c r="J109" s="107"/>
      <c r="K109" s="45"/>
      <c r="L109" s="45">
        <f t="shared" si="4"/>
        <v>0</v>
      </c>
      <c r="M109" s="45">
        <f t="shared" si="5"/>
        <v>0</v>
      </c>
      <c r="N109" s="116"/>
      <c r="O109" s="48" t="s">
        <v>166</v>
      </c>
    </row>
    <row r="110" spans="1:15" s="48" customFormat="1" ht="99.7" customHeight="1" outlineLevel="1">
      <c r="A110" s="1">
        <v>292</v>
      </c>
      <c r="B110" s="1" t="str">
        <f t="shared" si="6"/>
        <v>IVF292</v>
      </c>
      <c r="C110" s="201" t="s">
        <v>51</v>
      </c>
      <c r="D110" s="1">
        <v>3</v>
      </c>
      <c r="E110" s="46" t="s">
        <v>8</v>
      </c>
      <c r="F110" s="5">
        <v>61000</v>
      </c>
      <c r="G110" s="45">
        <f>ROUND(D110*F110,0)</f>
        <v>183000</v>
      </c>
      <c r="H110" s="4">
        <v>2</v>
      </c>
      <c r="I110" s="3" t="s">
        <v>8</v>
      </c>
      <c r="J110" s="107">
        <f>F110</f>
        <v>61000</v>
      </c>
      <c r="K110" s="45">
        <f>ROUND(H110*J110,0)</f>
        <v>122000</v>
      </c>
      <c r="L110" s="45">
        <f t="shared" si="4"/>
        <v>0</v>
      </c>
      <c r="M110" s="45">
        <f t="shared" si="5"/>
        <v>61000</v>
      </c>
      <c r="N110" s="116" t="s">
        <v>215</v>
      </c>
      <c r="O110" s="48" t="s">
        <v>166</v>
      </c>
    </row>
    <row r="111" spans="1:15" s="48" customFormat="1" outlineLevel="1">
      <c r="A111" s="1"/>
      <c r="B111" s="1" t="str">
        <f t="shared" si="6"/>
        <v/>
      </c>
      <c r="C111" s="203" t="s">
        <v>255</v>
      </c>
      <c r="D111" s="1"/>
      <c r="E111" s="46"/>
      <c r="F111" s="5"/>
      <c r="G111" s="45"/>
      <c r="H111" s="4"/>
      <c r="I111" s="3"/>
      <c r="J111" s="107"/>
      <c r="K111" s="45"/>
      <c r="L111" s="45"/>
      <c r="M111" s="45"/>
      <c r="N111" s="116"/>
      <c r="O111" s="48" t="s">
        <v>166</v>
      </c>
    </row>
    <row r="112" spans="1:15" s="48" customFormat="1" ht="12.1" customHeight="1" outlineLevel="1">
      <c r="A112" s="1"/>
      <c r="B112" s="1" t="str">
        <f t="shared" si="6"/>
        <v/>
      </c>
      <c r="C112" s="201"/>
      <c r="D112" s="1"/>
      <c r="E112" s="46"/>
      <c r="F112" s="5"/>
      <c r="G112" s="45"/>
      <c r="H112" s="4"/>
      <c r="I112" s="3"/>
      <c r="J112" s="107"/>
      <c r="K112" s="45"/>
      <c r="L112" s="45"/>
      <c r="M112" s="45"/>
      <c r="N112" s="116"/>
      <c r="O112" s="48" t="s">
        <v>166</v>
      </c>
    </row>
    <row r="113" spans="1:15" s="48" customFormat="1" ht="19.899999999999999" customHeight="1">
      <c r="A113" s="1"/>
      <c r="B113" s="1" t="str">
        <f t="shared" si="6"/>
        <v/>
      </c>
      <c r="C113" s="201"/>
      <c r="D113" s="1"/>
      <c r="E113" s="46"/>
      <c r="F113" s="5"/>
      <c r="G113" s="49">
        <f>ROUND(SUM(G9:G112),0)</f>
        <v>5560529</v>
      </c>
      <c r="H113" s="4"/>
      <c r="I113" s="3"/>
      <c r="J113" s="108" t="s">
        <v>28</v>
      </c>
      <c r="K113" s="49">
        <f>ROUND(SUM(K9:K112),0)</f>
        <v>6657631</v>
      </c>
      <c r="L113" s="49">
        <f>SUM(L9:L112)</f>
        <v>1910379</v>
      </c>
      <c r="M113" s="49">
        <f>SUM(M9:M112)</f>
        <v>813277</v>
      </c>
      <c r="N113" s="216"/>
    </row>
    <row r="114" spans="1:15" s="48" customFormat="1">
      <c r="A114" s="3"/>
      <c r="B114" s="1" t="str">
        <f t="shared" si="6"/>
        <v/>
      </c>
      <c r="C114" s="193" t="s">
        <v>31</v>
      </c>
      <c r="F114" s="43"/>
      <c r="G114" s="44"/>
      <c r="H114" s="4"/>
      <c r="I114" s="3"/>
      <c r="J114" s="107"/>
      <c r="K114" s="44"/>
      <c r="L114" s="45"/>
      <c r="M114" s="45"/>
      <c r="N114" s="116"/>
    </row>
    <row r="115" spans="1:15" s="48" customFormat="1" ht="151.5" customHeight="1" outlineLevel="1">
      <c r="A115" s="1">
        <v>271</v>
      </c>
      <c r="B115" s="1" t="str">
        <f t="shared" si="6"/>
        <v>IVF271</v>
      </c>
      <c r="C115" s="201" t="s">
        <v>327</v>
      </c>
      <c r="D115" s="1">
        <v>2</v>
      </c>
      <c r="E115" s="46" t="s">
        <v>8</v>
      </c>
      <c r="F115" s="5">
        <v>881</v>
      </c>
      <c r="G115" s="45">
        <f>ROUND(D115*F115,0)</f>
        <v>1762</v>
      </c>
      <c r="H115" s="4">
        <v>0</v>
      </c>
      <c r="I115" s="3" t="s">
        <v>8</v>
      </c>
      <c r="J115" s="107">
        <f>F115</f>
        <v>881</v>
      </c>
      <c r="K115" s="45"/>
      <c r="L115" s="45">
        <f>ROUND(IF(K115&gt;G115,K115-G115,0),0)</f>
        <v>0</v>
      </c>
      <c r="M115" s="45">
        <f>ROUND(IF(K115&lt;G115,G115-K115,0),0)</f>
        <v>1762</v>
      </c>
      <c r="N115" s="116" t="s">
        <v>293</v>
      </c>
      <c r="O115" s="48" t="s">
        <v>167</v>
      </c>
    </row>
    <row r="116" spans="1:15" s="48" customFormat="1" ht="12.1" customHeight="1" outlineLevel="1">
      <c r="A116" s="3"/>
      <c r="B116" s="1" t="str">
        <f t="shared" si="6"/>
        <v/>
      </c>
      <c r="F116" s="43"/>
      <c r="G116" s="45"/>
      <c r="H116" s="4"/>
      <c r="I116" s="3"/>
      <c r="J116" s="107"/>
      <c r="K116" s="45"/>
      <c r="L116" s="45">
        <f t="shared" ref="L116:L132" si="7">ROUND(IF(K116&gt;G116,K116-G116,0),0)</f>
        <v>0</v>
      </c>
      <c r="M116" s="45">
        <f t="shared" ref="M116:M132" si="8">ROUND(IF(K116&lt;G116,G116-K116,0),0)</f>
        <v>0</v>
      </c>
      <c r="N116" s="116"/>
      <c r="O116" s="48" t="s">
        <v>167</v>
      </c>
    </row>
    <row r="117" spans="1:15" s="48" customFormat="1" ht="152.35" customHeight="1" outlineLevel="1">
      <c r="A117" s="1">
        <v>272</v>
      </c>
      <c r="B117" s="1" t="str">
        <f t="shared" si="6"/>
        <v>IVF272</v>
      </c>
      <c r="C117" s="201" t="s">
        <v>52</v>
      </c>
      <c r="D117" s="1">
        <v>60</v>
      </c>
      <c r="E117" s="46" t="s">
        <v>12</v>
      </c>
      <c r="F117" s="5">
        <v>199</v>
      </c>
      <c r="G117" s="45">
        <f>ROUND(D117*F117,0)</f>
        <v>11940</v>
      </c>
      <c r="H117" s="4">
        <v>60</v>
      </c>
      <c r="I117" s="3" t="s">
        <v>12</v>
      </c>
      <c r="J117" s="107">
        <f>F117</f>
        <v>199</v>
      </c>
      <c r="K117" s="45">
        <f>ROUND(H117*J117,0)</f>
        <v>11940</v>
      </c>
      <c r="L117" s="45">
        <f t="shared" si="7"/>
        <v>0</v>
      </c>
      <c r="M117" s="45">
        <f t="shared" si="8"/>
        <v>0</v>
      </c>
      <c r="N117" s="367" t="s">
        <v>214</v>
      </c>
      <c r="O117" s="48" t="s">
        <v>167</v>
      </c>
    </row>
    <row r="118" spans="1:15" s="48" customFormat="1" outlineLevel="1">
      <c r="A118" s="3"/>
      <c r="B118" s="1" t="str">
        <f t="shared" si="6"/>
        <v/>
      </c>
      <c r="C118" s="204" t="s">
        <v>26</v>
      </c>
      <c r="F118" s="43"/>
      <c r="G118" s="45"/>
      <c r="H118" s="4">
        <f>95.61-60</f>
        <v>35.61</v>
      </c>
      <c r="I118" s="3" t="s">
        <v>12</v>
      </c>
      <c r="J118" s="107">
        <f>J117</f>
        <v>199</v>
      </c>
      <c r="K118" s="45">
        <f>ROUND(H118*J118,0)</f>
        <v>7086</v>
      </c>
      <c r="L118" s="45">
        <f t="shared" si="7"/>
        <v>7086</v>
      </c>
      <c r="M118" s="45">
        <f t="shared" si="8"/>
        <v>0</v>
      </c>
      <c r="N118" s="367"/>
      <c r="O118" s="48" t="s">
        <v>167</v>
      </c>
    </row>
    <row r="119" spans="1:15" s="48" customFormat="1" outlineLevel="1">
      <c r="A119" s="3"/>
      <c r="B119" s="1" t="str">
        <f t="shared" si="6"/>
        <v/>
      </c>
      <c r="C119" s="47" t="s">
        <v>256</v>
      </c>
      <c r="F119" s="43"/>
      <c r="G119" s="45"/>
      <c r="H119" s="4"/>
      <c r="I119" s="3"/>
      <c r="J119" s="107"/>
      <c r="K119" s="45"/>
      <c r="L119" s="45"/>
      <c r="M119" s="45"/>
      <c r="N119" s="116"/>
      <c r="O119" s="48" t="s">
        <v>167</v>
      </c>
    </row>
    <row r="120" spans="1:15" s="48" customFormat="1" ht="12.1" customHeight="1" outlineLevel="1">
      <c r="A120" s="3"/>
      <c r="B120" s="1" t="str">
        <f t="shared" si="6"/>
        <v/>
      </c>
      <c r="C120" s="47"/>
      <c r="F120" s="43"/>
      <c r="G120" s="45"/>
      <c r="H120" s="4"/>
      <c r="I120" s="3"/>
      <c r="J120" s="107"/>
      <c r="K120" s="45"/>
      <c r="L120" s="45"/>
      <c r="M120" s="45"/>
      <c r="N120" s="116"/>
      <c r="O120" s="48" t="s">
        <v>167</v>
      </c>
    </row>
    <row r="121" spans="1:15" s="48" customFormat="1" ht="154.55000000000001" customHeight="1" outlineLevel="1">
      <c r="A121" s="1">
        <v>273</v>
      </c>
      <c r="B121" s="1" t="str">
        <f t="shared" si="6"/>
        <v>IVF273</v>
      </c>
      <c r="C121" s="201" t="s">
        <v>53</v>
      </c>
      <c r="D121" s="1">
        <v>60</v>
      </c>
      <c r="E121" s="46" t="s">
        <v>12</v>
      </c>
      <c r="F121" s="5">
        <v>229</v>
      </c>
      <c r="G121" s="45">
        <f>ROUND(D121*F121,0)</f>
        <v>13740</v>
      </c>
      <c r="H121" s="4">
        <v>0</v>
      </c>
      <c r="I121" s="3" t="s">
        <v>12</v>
      </c>
      <c r="J121" s="107">
        <f>F121</f>
        <v>229</v>
      </c>
      <c r="K121" s="45"/>
      <c r="L121" s="45">
        <f t="shared" si="7"/>
        <v>0</v>
      </c>
      <c r="M121" s="45">
        <f t="shared" si="8"/>
        <v>13740</v>
      </c>
      <c r="N121" s="116" t="s">
        <v>293</v>
      </c>
      <c r="O121" s="48" t="s">
        <v>167</v>
      </c>
    </row>
    <row r="122" spans="1:15" s="48" customFormat="1" ht="12.1" customHeight="1" outlineLevel="1">
      <c r="A122" s="3"/>
      <c r="B122" s="1" t="str">
        <f t="shared" si="6"/>
        <v/>
      </c>
      <c r="F122" s="43"/>
      <c r="G122" s="45"/>
      <c r="H122" s="4"/>
      <c r="I122" s="3"/>
      <c r="J122" s="107"/>
      <c r="K122" s="45"/>
      <c r="L122" s="45">
        <f t="shared" si="7"/>
        <v>0</v>
      </c>
      <c r="M122" s="45">
        <f t="shared" si="8"/>
        <v>0</v>
      </c>
      <c r="N122" s="116"/>
      <c r="O122" s="48" t="s">
        <v>167</v>
      </c>
    </row>
    <row r="123" spans="1:15" s="48" customFormat="1" ht="181.55" customHeight="1" outlineLevel="1">
      <c r="A123" s="1">
        <v>274</v>
      </c>
      <c r="B123" s="1" t="str">
        <f t="shared" si="6"/>
        <v>IVF274</v>
      </c>
      <c r="C123" s="201" t="s">
        <v>54</v>
      </c>
      <c r="D123" s="1">
        <v>90</v>
      </c>
      <c r="E123" s="46" t="s">
        <v>12</v>
      </c>
      <c r="F123" s="5">
        <v>327</v>
      </c>
      <c r="G123" s="45">
        <f>ROUND(D123*F123,0)</f>
        <v>29430</v>
      </c>
      <c r="H123" s="4">
        <v>0</v>
      </c>
      <c r="I123" s="3" t="s">
        <v>12</v>
      </c>
      <c r="J123" s="107">
        <f>F123</f>
        <v>327</v>
      </c>
      <c r="K123" s="45"/>
      <c r="L123" s="45">
        <f t="shared" si="7"/>
        <v>0</v>
      </c>
      <c r="M123" s="45">
        <f t="shared" si="8"/>
        <v>29430</v>
      </c>
      <c r="N123" s="116" t="s">
        <v>293</v>
      </c>
      <c r="O123" s="48" t="s">
        <v>167</v>
      </c>
    </row>
    <row r="124" spans="1:15" s="48" customFormat="1" ht="12.1" customHeight="1" outlineLevel="1">
      <c r="A124" s="3"/>
      <c r="B124" s="1" t="str">
        <f t="shared" si="6"/>
        <v/>
      </c>
      <c r="F124" s="43"/>
      <c r="G124" s="45"/>
      <c r="H124" s="4"/>
      <c r="I124" s="3"/>
      <c r="J124" s="107"/>
      <c r="K124" s="45"/>
      <c r="L124" s="45">
        <f t="shared" si="7"/>
        <v>0</v>
      </c>
      <c r="M124" s="45">
        <f t="shared" si="8"/>
        <v>0</v>
      </c>
      <c r="N124" s="116"/>
      <c r="O124" s="48" t="s">
        <v>167</v>
      </c>
    </row>
    <row r="125" spans="1:15" s="48" customFormat="1" ht="181.55" customHeight="1" outlineLevel="1">
      <c r="A125" s="1">
        <v>275</v>
      </c>
      <c r="B125" s="1" t="str">
        <f t="shared" si="6"/>
        <v>IVF275</v>
      </c>
      <c r="C125" s="201" t="s">
        <v>328</v>
      </c>
      <c r="D125" s="1">
        <v>75</v>
      </c>
      <c r="E125" s="46" t="s">
        <v>12</v>
      </c>
      <c r="F125" s="5">
        <v>444</v>
      </c>
      <c r="G125" s="45">
        <f>ROUND(D125*F125,0)</f>
        <v>33300</v>
      </c>
      <c r="H125" s="4">
        <v>10.3</v>
      </c>
      <c r="I125" s="3" t="s">
        <v>12</v>
      </c>
      <c r="J125" s="107">
        <f>F125</f>
        <v>444</v>
      </c>
      <c r="K125" s="45">
        <f>ROUND(H125*J125,0)</f>
        <v>4573</v>
      </c>
      <c r="L125" s="45">
        <f t="shared" si="7"/>
        <v>0</v>
      </c>
      <c r="M125" s="45">
        <f t="shared" si="8"/>
        <v>28727</v>
      </c>
      <c r="N125" s="116" t="s">
        <v>215</v>
      </c>
      <c r="O125" s="48" t="s">
        <v>167</v>
      </c>
    </row>
    <row r="126" spans="1:15" s="48" customFormat="1" outlineLevel="1">
      <c r="A126" s="3"/>
      <c r="B126" s="1" t="str">
        <f t="shared" si="6"/>
        <v/>
      </c>
      <c r="C126" s="47" t="s">
        <v>256</v>
      </c>
      <c r="F126" s="43"/>
      <c r="G126" s="45"/>
      <c r="H126" s="4"/>
      <c r="I126" s="3"/>
      <c r="J126" s="107"/>
      <c r="K126" s="45"/>
      <c r="L126" s="45">
        <f t="shared" si="7"/>
        <v>0</v>
      </c>
      <c r="M126" s="45">
        <f t="shared" si="8"/>
        <v>0</v>
      </c>
      <c r="N126" s="116"/>
      <c r="O126" s="48" t="s">
        <v>167</v>
      </c>
    </row>
    <row r="127" spans="1:15" s="48" customFormat="1" ht="12.1" customHeight="1" outlineLevel="1">
      <c r="A127" s="3"/>
      <c r="B127" s="1" t="str">
        <f t="shared" si="6"/>
        <v/>
      </c>
      <c r="F127" s="43"/>
      <c r="G127" s="45"/>
      <c r="H127" s="4"/>
      <c r="I127" s="3"/>
      <c r="J127" s="107"/>
      <c r="K127" s="45"/>
      <c r="L127" s="45"/>
      <c r="M127" s="45"/>
      <c r="N127" s="116"/>
      <c r="O127" s="48" t="s">
        <v>167</v>
      </c>
    </row>
    <row r="128" spans="1:15" s="48" customFormat="1" ht="94.95" customHeight="1" outlineLevel="1">
      <c r="A128" s="1">
        <v>276</v>
      </c>
      <c r="B128" s="1" t="str">
        <f t="shared" ref="B128:B167" si="9">IF(ISBLANK(A128), "","IVF"&amp;A128)</f>
        <v>IVF276</v>
      </c>
      <c r="C128" s="201" t="s">
        <v>55</v>
      </c>
      <c r="D128" s="1">
        <v>6</v>
      </c>
      <c r="E128" s="46" t="s">
        <v>8</v>
      </c>
      <c r="F128" s="5">
        <v>1746</v>
      </c>
      <c r="G128" s="45">
        <f>ROUND(D128*F128,0)</f>
        <v>10476</v>
      </c>
      <c r="H128" s="4">
        <v>0</v>
      </c>
      <c r="I128" s="3" t="s">
        <v>8</v>
      </c>
      <c r="J128" s="107">
        <f>F128</f>
        <v>1746</v>
      </c>
      <c r="K128" s="45"/>
      <c r="L128" s="45">
        <f t="shared" si="7"/>
        <v>0</v>
      </c>
      <c r="M128" s="45">
        <f t="shared" si="8"/>
        <v>10476</v>
      </c>
      <c r="N128" s="116" t="s">
        <v>293</v>
      </c>
      <c r="O128" s="48" t="s">
        <v>167</v>
      </c>
    </row>
    <row r="129" spans="1:15" s="48" customFormat="1" ht="12.1" customHeight="1" outlineLevel="1">
      <c r="A129" s="3"/>
      <c r="B129" s="1" t="str">
        <f t="shared" si="9"/>
        <v/>
      </c>
      <c r="F129" s="43"/>
      <c r="G129" s="45"/>
      <c r="H129" s="4"/>
      <c r="I129" s="3"/>
      <c r="J129" s="107"/>
      <c r="K129" s="45"/>
      <c r="L129" s="45">
        <f t="shared" si="7"/>
        <v>0</v>
      </c>
      <c r="M129" s="45">
        <f t="shared" si="8"/>
        <v>0</v>
      </c>
      <c r="N129" s="116"/>
      <c r="O129" s="48" t="s">
        <v>167</v>
      </c>
    </row>
    <row r="130" spans="1:15" s="48" customFormat="1" ht="106.5" customHeight="1" outlineLevel="1">
      <c r="A130" s="1">
        <v>277</v>
      </c>
      <c r="B130" s="1" t="str">
        <f t="shared" si="9"/>
        <v>IVF277</v>
      </c>
      <c r="C130" s="201" t="s">
        <v>24</v>
      </c>
      <c r="D130" s="1">
        <v>6</v>
      </c>
      <c r="E130" s="46" t="s">
        <v>8</v>
      </c>
      <c r="F130" s="5">
        <v>220</v>
      </c>
      <c r="G130" s="45">
        <f>ROUND(D130*F130,0)</f>
        <v>1320</v>
      </c>
      <c r="H130" s="4">
        <v>1</v>
      </c>
      <c r="I130" s="3" t="s">
        <v>8</v>
      </c>
      <c r="J130" s="107">
        <f>F130</f>
        <v>220</v>
      </c>
      <c r="K130" s="45">
        <f>ROUND(H130*J130,0)</f>
        <v>220</v>
      </c>
      <c r="L130" s="45">
        <f t="shared" si="7"/>
        <v>0</v>
      </c>
      <c r="M130" s="45">
        <f t="shared" si="8"/>
        <v>1100</v>
      </c>
      <c r="N130" s="116" t="s">
        <v>215</v>
      </c>
      <c r="O130" s="48" t="s">
        <v>167</v>
      </c>
    </row>
    <row r="131" spans="1:15" s="48" customFormat="1" outlineLevel="1">
      <c r="A131" s="1"/>
      <c r="B131" s="1" t="str">
        <f t="shared" si="9"/>
        <v/>
      </c>
      <c r="C131" s="203" t="s">
        <v>261</v>
      </c>
      <c r="D131" s="1"/>
      <c r="E131" s="46"/>
      <c r="F131" s="5"/>
      <c r="G131" s="45"/>
      <c r="H131" s="4"/>
      <c r="I131" s="3"/>
      <c r="J131" s="107"/>
      <c r="K131" s="45"/>
      <c r="L131" s="45"/>
      <c r="M131" s="45"/>
      <c r="N131" s="116"/>
      <c r="O131" s="48" t="s">
        <v>167</v>
      </c>
    </row>
    <row r="132" spans="1:15" s="48" customFormat="1" ht="12.1" customHeight="1" outlineLevel="1">
      <c r="A132" s="3"/>
      <c r="B132" s="1" t="str">
        <f t="shared" si="9"/>
        <v/>
      </c>
      <c r="F132" s="43"/>
      <c r="G132" s="45"/>
      <c r="H132" s="4"/>
      <c r="I132" s="3"/>
      <c r="J132" s="107"/>
      <c r="K132" s="45"/>
      <c r="L132" s="45">
        <f t="shared" si="7"/>
        <v>0</v>
      </c>
      <c r="M132" s="45">
        <f t="shared" si="8"/>
        <v>0</v>
      </c>
      <c r="N132" s="116"/>
      <c r="O132" s="48" t="s">
        <v>167</v>
      </c>
    </row>
    <row r="133" spans="1:15" s="48" customFormat="1" ht="19.899999999999999" customHeight="1">
      <c r="A133" s="3"/>
      <c r="B133" s="1" t="str">
        <f t="shared" si="9"/>
        <v/>
      </c>
      <c r="F133" s="43"/>
      <c r="G133" s="49">
        <f>ROUND(SUM(G115:G132),0)</f>
        <v>101968</v>
      </c>
      <c r="H133" s="4"/>
      <c r="I133" s="3"/>
      <c r="J133" s="108" t="s">
        <v>28</v>
      </c>
      <c r="K133" s="49">
        <f>ROUND(SUM(K115:K132),0)</f>
        <v>23819</v>
      </c>
      <c r="L133" s="49">
        <f>SUM(L115:L132)</f>
        <v>7086</v>
      </c>
      <c r="M133" s="49">
        <f>SUM(M115:M132)</f>
        <v>85235</v>
      </c>
      <c r="N133" s="216"/>
    </row>
    <row r="134" spans="1:15" s="48" customFormat="1" ht="19.899999999999999" customHeight="1">
      <c r="A134" s="3"/>
      <c r="B134" s="1" t="str">
        <f t="shared" si="9"/>
        <v/>
      </c>
      <c r="C134" s="193" t="s">
        <v>30</v>
      </c>
      <c r="F134" s="43"/>
      <c r="G134" s="44"/>
      <c r="H134" s="4"/>
      <c r="I134" s="3"/>
      <c r="J134" s="107"/>
      <c r="K134" s="44"/>
      <c r="L134" s="45"/>
      <c r="M134" s="45"/>
      <c r="N134" s="116"/>
    </row>
    <row r="135" spans="1:15" s="48" customFormat="1" ht="153.69999999999999" customHeight="1" outlineLevel="1">
      <c r="A135" s="1">
        <v>293</v>
      </c>
      <c r="B135" s="1" t="str">
        <f t="shared" si="9"/>
        <v>IVF293</v>
      </c>
      <c r="C135" s="201" t="s">
        <v>23</v>
      </c>
      <c r="D135" s="1">
        <v>200</v>
      </c>
      <c r="E135" s="46" t="s">
        <v>12</v>
      </c>
      <c r="F135" s="5">
        <v>116</v>
      </c>
      <c r="G135" s="45">
        <f>ROUND(D135*F135,0)</f>
        <v>23200</v>
      </c>
      <c r="H135" s="4">
        <f>D135</f>
        <v>200</v>
      </c>
      <c r="I135" s="3" t="s">
        <v>12</v>
      </c>
      <c r="J135" s="107">
        <f>F135</f>
        <v>116</v>
      </c>
      <c r="K135" s="45">
        <f>ROUND(H135*J135,0)</f>
        <v>23200</v>
      </c>
      <c r="L135" s="45">
        <f>ROUND(IF(K135&gt;G135,K135-G135,0),0)</f>
        <v>0</v>
      </c>
      <c r="M135" s="45">
        <f>ROUND(IF(K135&lt;G135,G135-K135,0),0)</f>
        <v>0</v>
      </c>
      <c r="N135" s="367" t="s">
        <v>473</v>
      </c>
      <c r="O135" s="48" t="s">
        <v>165</v>
      </c>
    </row>
    <row r="136" spans="1:15" s="48" customFormat="1" outlineLevel="1">
      <c r="A136" s="3"/>
      <c r="B136" s="1" t="str">
        <f t="shared" si="9"/>
        <v/>
      </c>
      <c r="C136" s="204" t="s">
        <v>26</v>
      </c>
      <c r="F136" s="43"/>
      <c r="G136" s="45"/>
      <c r="H136" s="4">
        <v>263.5</v>
      </c>
      <c r="I136" s="46" t="s">
        <v>12</v>
      </c>
      <c r="J136" s="107">
        <f>J135</f>
        <v>116</v>
      </c>
      <c r="K136" s="45">
        <f>ROUND(H136*J136,0)</f>
        <v>30566</v>
      </c>
      <c r="L136" s="45">
        <f t="shared" ref="L136:L224" si="10">ROUND(IF(K136&gt;G136,K136-G136,0),0)</f>
        <v>30566</v>
      </c>
      <c r="M136" s="45">
        <f t="shared" ref="M136:M224" si="11">ROUND(IF(K136&lt;G136,G136-K136,0),0)</f>
        <v>0</v>
      </c>
      <c r="N136" s="367"/>
      <c r="O136" s="48" t="s">
        <v>165</v>
      </c>
    </row>
    <row r="137" spans="1:15" s="48" customFormat="1" outlineLevel="1">
      <c r="A137" s="3"/>
      <c r="B137" s="1" t="str">
        <f t="shared" si="9"/>
        <v/>
      </c>
      <c r="C137" s="47" t="s">
        <v>246</v>
      </c>
      <c r="F137" s="43"/>
      <c r="G137" s="45"/>
      <c r="H137" s="4"/>
      <c r="I137" s="46"/>
      <c r="J137" s="107"/>
      <c r="K137" s="45"/>
      <c r="L137" s="45"/>
      <c r="M137" s="45"/>
      <c r="N137" s="116"/>
      <c r="O137" s="48" t="s">
        <v>165</v>
      </c>
    </row>
    <row r="138" spans="1:15" s="48" customFormat="1" ht="12.1" customHeight="1" outlineLevel="1">
      <c r="A138" s="3"/>
      <c r="B138" s="1" t="str">
        <f t="shared" si="9"/>
        <v/>
      </c>
      <c r="C138" s="47"/>
      <c r="F138" s="43"/>
      <c r="G138" s="45"/>
      <c r="H138" s="4"/>
      <c r="I138" s="46"/>
      <c r="J138" s="107"/>
      <c r="K138" s="45"/>
      <c r="L138" s="45"/>
      <c r="M138" s="45"/>
      <c r="N138" s="116"/>
      <c r="O138" s="48" t="s">
        <v>165</v>
      </c>
    </row>
    <row r="139" spans="1:15" s="48" customFormat="1" ht="138.1" customHeight="1" outlineLevel="1">
      <c r="A139" s="1">
        <v>294</v>
      </c>
      <c r="B139" s="1" t="str">
        <f t="shared" si="9"/>
        <v>IVF294</v>
      </c>
      <c r="C139" s="201" t="s">
        <v>22</v>
      </c>
      <c r="D139" s="1">
        <v>450</v>
      </c>
      <c r="E139" s="46" t="s">
        <v>12</v>
      </c>
      <c r="F139" s="5">
        <v>107</v>
      </c>
      <c r="G139" s="45">
        <f>ROUND(D139*F139,0)</f>
        <v>48150</v>
      </c>
      <c r="H139" s="4">
        <f>D139</f>
        <v>450</v>
      </c>
      <c r="I139" s="3" t="s">
        <v>12</v>
      </c>
      <c r="J139" s="107">
        <f>F139</f>
        <v>107</v>
      </c>
      <c r="K139" s="45">
        <f>ROUND(H139*J139,0)</f>
        <v>48150</v>
      </c>
      <c r="L139" s="45">
        <f t="shared" si="10"/>
        <v>0</v>
      </c>
      <c r="M139" s="45">
        <f t="shared" si="11"/>
        <v>0</v>
      </c>
      <c r="N139" s="367" t="s">
        <v>473</v>
      </c>
      <c r="O139" s="48" t="s">
        <v>165</v>
      </c>
    </row>
    <row r="140" spans="1:15" s="48" customFormat="1" outlineLevel="1">
      <c r="A140" s="3"/>
      <c r="B140" s="1" t="str">
        <f t="shared" si="9"/>
        <v/>
      </c>
      <c r="C140" s="204" t="s">
        <v>26</v>
      </c>
      <c r="F140" s="43"/>
      <c r="G140" s="45"/>
      <c r="H140" s="4">
        <v>902.8</v>
      </c>
      <c r="I140" s="3" t="s">
        <v>12</v>
      </c>
      <c r="J140" s="107">
        <f>J139</f>
        <v>107</v>
      </c>
      <c r="K140" s="45">
        <f>ROUND(H140*J140,0)</f>
        <v>96600</v>
      </c>
      <c r="L140" s="45">
        <f t="shared" si="10"/>
        <v>96600</v>
      </c>
      <c r="M140" s="45">
        <f t="shared" si="11"/>
        <v>0</v>
      </c>
      <c r="N140" s="367"/>
      <c r="O140" s="48" t="s">
        <v>165</v>
      </c>
    </row>
    <row r="141" spans="1:15" s="48" customFormat="1" outlineLevel="1">
      <c r="A141" s="3"/>
      <c r="B141" s="1" t="str">
        <f t="shared" si="9"/>
        <v/>
      </c>
      <c r="C141" s="47" t="s">
        <v>246</v>
      </c>
      <c r="F141" s="43"/>
      <c r="G141" s="45"/>
      <c r="H141" s="4"/>
      <c r="I141" s="3"/>
      <c r="J141" s="107"/>
      <c r="K141" s="45"/>
      <c r="L141" s="45"/>
      <c r="M141" s="45"/>
      <c r="N141" s="367"/>
      <c r="O141" s="48" t="s">
        <v>165</v>
      </c>
    </row>
    <row r="142" spans="1:15" s="48" customFormat="1" ht="12.1" customHeight="1" outlineLevel="1">
      <c r="A142" s="3"/>
      <c r="B142" s="1" t="str">
        <f t="shared" si="9"/>
        <v/>
      </c>
      <c r="C142" s="47"/>
      <c r="F142" s="43"/>
      <c r="G142" s="45"/>
      <c r="H142" s="4"/>
      <c r="I142" s="3"/>
      <c r="J142" s="107"/>
      <c r="K142" s="45"/>
      <c r="L142" s="45"/>
      <c r="M142" s="45"/>
      <c r="N142" s="116"/>
      <c r="O142" s="48" t="s">
        <v>165</v>
      </c>
    </row>
    <row r="143" spans="1:15" s="48" customFormat="1" ht="168.8" customHeight="1" outlineLevel="1">
      <c r="A143" s="1">
        <v>295</v>
      </c>
      <c r="B143" s="1" t="str">
        <f t="shared" si="9"/>
        <v>IVF295</v>
      </c>
      <c r="C143" s="201" t="s">
        <v>329</v>
      </c>
      <c r="D143" s="1">
        <v>100</v>
      </c>
      <c r="E143" s="46" t="s">
        <v>14</v>
      </c>
      <c r="F143" s="5">
        <v>945</v>
      </c>
      <c r="G143" s="45">
        <f>ROUND(D143*F143,0)</f>
        <v>94500</v>
      </c>
      <c r="H143" s="4">
        <f>D143</f>
        <v>100</v>
      </c>
      <c r="I143" s="3" t="s">
        <v>14</v>
      </c>
      <c r="J143" s="107">
        <f>F143</f>
        <v>945</v>
      </c>
      <c r="K143" s="45">
        <f>ROUND(H143*J143,0)</f>
        <v>94500</v>
      </c>
      <c r="L143" s="45">
        <f t="shared" si="10"/>
        <v>0</v>
      </c>
      <c r="M143" s="45">
        <f t="shared" si="11"/>
        <v>0</v>
      </c>
      <c r="N143" s="367" t="s">
        <v>474</v>
      </c>
      <c r="O143" s="48" t="s">
        <v>165</v>
      </c>
    </row>
    <row r="144" spans="1:15" s="48" customFormat="1" outlineLevel="1">
      <c r="A144" s="3"/>
      <c r="B144" s="1" t="str">
        <f t="shared" si="9"/>
        <v/>
      </c>
      <c r="C144" s="204" t="s">
        <v>26</v>
      </c>
      <c r="F144" s="43"/>
      <c r="G144" s="45"/>
      <c r="H144" s="4">
        <f>258-100</f>
        <v>158</v>
      </c>
      <c r="I144" s="3" t="s">
        <v>14</v>
      </c>
      <c r="J144" s="107">
        <f>J143</f>
        <v>945</v>
      </c>
      <c r="K144" s="45">
        <f>ROUND(H144*J144,0)</f>
        <v>149310</v>
      </c>
      <c r="L144" s="45">
        <f t="shared" si="10"/>
        <v>149310</v>
      </c>
      <c r="M144" s="45">
        <f t="shared" si="11"/>
        <v>0</v>
      </c>
      <c r="N144" s="367"/>
      <c r="O144" s="48" t="s">
        <v>165</v>
      </c>
    </row>
    <row r="145" spans="1:15" s="48" customFormat="1" outlineLevel="1">
      <c r="A145" s="3"/>
      <c r="B145" s="1" t="str">
        <f t="shared" si="9"/>
        <v/>
      </c>
      <c r="C145" s="47" t="s">
        <v>248</v>
      </c>
      <c r="F145" s="43"/>
      <c r="G145" s="45"/>
      <c r="H145" s="4"/>
      <c r="I145" s="3"/>
      <c r="J145" s="107"/>
      <c r="K145" s="45"/>
      <c r="L145" s="45"/>
      <c r="M145" s="45"/>
      <c r="N145" s="116"/>
      <c r="O145" s="48" t="s">
        <v>165</v>
      </c>
    </row>
    <row r="146" spans="1:15" s="48" customFormat="1" ht="12.1" customHeight="1" outlineLevel="1">
      <c r="A146" s="3"/>
      <c r="B146" s="1" t="str">
        <f t="shared" si="9"/>
        <v/>
      </c>
      <c r="C146" s="47"/>
      <c r="F146" s="43"/>
      <c r="G146" s="45"/>
      <c r="H146" s="4"/>
      <c r="I146" s="3"/>
      <c r="J146" s="107"/>
      <c r="K146" s="45"/>
      <c r="L146" s="45"/>
      <c r="M146" s="45"/>
      <c r="N146" s="116"/>
      <c r="O146" s="48" t="s">
        <v>165</v>
      </c>
    </row>
    <row r="147" spans="1:15" s="48" customFormat="1" ht="138.75" customHeight="1" outlineLevel="1">
      <c r="A147" s="1">
        <v>296</v>
      </c>
      <c r="B147" s="1" t="str">
        <f t="shared" si="9"/>
        <v>IVF296</v>
      </c>
      <c r="C147" s="201" t="s">
        <v>330</v>
      </c>
      <c r="D147" s="1">
        <v>12</v>
      </c>
      <c r="E147" s="46" t="s">
        <v>8</v>
      </c>
      <c r="F147" s="5">
        <v>675</v>
      </c>
      <c r="G147" s="45">
        <f>ROUND(D147*F147,0)</f>
        <v>8100</v>
      </c>
      <c r="H147" s="4">
        <v>12</v>
      </c>
      <c r="I147" s="3" t="s">
        <v>8</v>
      </c>
      <c r="J147" s="107">
        <f>F147</f>
        <v>675</v>
      </c>
      <c r="K147" s="45">
        <f>ROUND(H147*J147,0)</f>
        <v>8100</v>
      </c>
      <c r="L147" s="45">
        <f t="shared" si="10"/>
        <v>0</v>
      </c>
      <c r="M147" s="45">
        <f t="shared" si="11"/>
        <v>0</v>
      </c>
      <c r="N147" s="367" t="s">
        <v>475</v>
      </c>
      <c r="O147" s="48" t="s">
        <v>165</v>
      </c>
    </row>
    <row r="148" spans="1:15" s="48" customFormat="1" outlineLevel="1">
      <c r="A148" s="3"/>
      <c r="B148" s="1" t="str">
        <f t="shared" si="9"/>
        <v/>
      </c>
      <c r="C148" s="204" t="s">
        <v>26</v>
      </c>
      <c r="F148" s="43"/>
      <c r="G148" s="45"/>
      <c r="H148" s="4">
        <f>33-H147</f>
        <v>21</v>
      </c>
      <c r="I148" s="3" t="s">
        <v>8</v>
      </c>
      <c r="J148" s="107">
        <f>J147</f>
        <v>675</v>
      </c>
      <c r="K148" s="45">
        <f>ROUND(H148*J148,0)</f>
        <v>14175</v>
      </c>
      <c r="L148" s="45">
        <f t="shared" si="10"/>
        <v>14175</v>
      </c>
      <c r="M148" s="45">
        <f t="shared" si="11"/>
        <v>0</v>
      </c>
      <c r="N148" s="367"/>
      <c r="O148" s="48" t="s">
        <v>165</v>
      </c>
    </row>
    <row r="149" spans="1:15" s="48" customFormat="1" outlineLevel="1">
      <c r="A149" s="3"/>
      <c r="B149" s="1" t="str">
        <f t="shared" si="9"/>
        <v/>
      </c>
      <c r="C149" s="47" t="s">
        <v>274</v>
      </c>
      <c r="F149" s="43"/>
      <c r="G149" s="45"/>
      <c r="H149" s="4"/>
      <c r="I149" s="3"/>
      <c r="J149" s="107"/>
      <c r="K149" s="45"/>
      <c r="L149" s="45"/>
      <c r="M149" s="45"/>
      <c r="N149" s="116"/>
      <c r="O149" s="48" t="s">
        <v>165</v>
      </c>
    </row>
    <row r="150" spans="1:15" s="48" customFormat="1" ht="12.1" customHeight="1" outlineLevel="1">
      <c r="A150" s="3"/>
      <c r="B150" s="1" t="str">
        <f t="shared" si="9"/>
        <v/>
      </c>
      <c r="F150" s="43"/>
      <c r="G150" s="45"/>
      <c r="H150" s="4"/>
      <c r="I150" s="3"/>
      <c r="J150" s="107"/>
      <c r="K150" s="45"/>
      <c r="L150" s="45">
        <f t="shared" si="10"/>
        <v>0</v>
      </c>
      <c r="M150" s="45">
        <f t="shared" si="11"/>
        <v>0</v>
      </c>
      <c r="N150" s="116"/>
      <c r="O150" s="48" t="s">
        <v>165</v>
      </c>
    </row>
    <row r="151" spans="1:15" s="48" customFormat="1" ht="125.35" customHeight="1" outlineLevel="1">
      <c r="A151" s="1">
        <v>298</v>
      </c>
      <c r="B151" s="1" t="str">
        <f t="shared" si="9"/>
        <v>IVF298</v>
      </c>
      <c r="C151" s="201" t="s">
        <v>331</v>
      </c>
      <c r="D151" s="1">
        <v>60</v>
      </c>
      <c r="E151" s="46" t="s">
        <v>8</v>
      </c>
      <c r="F151" s="5">
        <v>1755</v>
      </c>
      <c r="G151" s="45">
        <f>ROUND(D151*F151,0)</f>
        <v>105300</v>
      </c>
      <c r="H151" s="4">
        <v>60</v>
      </c>
      <c r="I151" s="3" t="s">
        <v>8</v>
      </c>
      <c r="J151" s="107">
        <f>F151</f>
        <v>1755</v>
      </c>
      <c r="K151" s="45">
        <f>ROUND(H151*J151,0)</f>
        <v>105300</v>
      </c>
      <c r="L151" s="45">
        <f t="shared" si="10"/>
        <v>0</v>
      </c>
      <c r="M151" s="45">
        <f t="shared" si="11"/>
        <v>0</v>
      </c>
      <c r="N151" s="116" t="s">
        <v>472</v>
      </c>
      <c r="O151" s="48" t="s">
        <v>165</v>
      </c>
    </row>
    <row r="152" spans="1:15" s="48" customFormat="1" outlineLevel="1">
      <c r="A152" s="3"/>
      <c r="B152" s="1" t="str">
        <f t="shared" si="9"/>
        <v/>
      </c>
      <c r="C152" s="204" t="s">
        <v>26</v>
      </c>
      <c r="F152" s="43"/>
      <c r="G152" s="45"/>
      <c r="H152" s="4">
        <f>77-H151</f>
        <v>17</v>
      </c>
      <c r="I152" s="3" t="s">
        <v>8</v>
      </c>
      <c r="J152" s="107">
        <f>J151</f>
        <v>1755</v>
      </c>
      <c r="K152" s="45">
        <f>ROUND(H152*J152,0)</f>
        <v>29835</v>
      </c>
      <c r="L152" s="45">
        <f t="shared" si="10"/>
        <v>29835</v>
      </c>
      <c r="M152" s="45">
        <f t="shared" si="11"/>
        <v>0</v>
      </c>
      <c r="N152" s="116"/>
      <c r="O152" s="48" t="s">
        <v>165</v>
      </c>
    </row>
    <row r="153" spans="1:15" s="48" customFormat="1" outlineLevel="1">
      <c r="A153" s="3"/>
      <c r="B153" s="1" t="str">
        <f t="shared" si="9"/>
        <v/>
      </c>
      <c r="C153" s="47" t="s">
        <v>275</v>
      </c>
      <c r="F153" s="43"/>
      <c r="G153" s="45"/>
      <c r="H153" s="4"/>
      <c r="I153" s="3"/>
      <c r="J153" s="107"/>
      <c r="K153" s="45"/>
      <c r="L153" s="45"/>
      <c r="M153" s="45"/>
      <c r="N153" s="116"/>
      <c r="O153" s="48" t="s">
        <v>165</v>
      </c>
    </row>
    <row r="154" spans="1:15" s="48" customFormat="1" ht="12.1" customHeight="1" outlineLevel="1">
      <c r="A154" s="3"/>
      <c r="B154" s="1" t="str">
        <f t="shared" si="9"/>
        <v/>
      </c>
      <c r="C154" s="47"/>
      <c r="F154" s="43"/>
      <c r="G154" s="45"/>
      <c r="H154" s="4"/>
      <c r="I154" s="3"/>
      <c r="J154" s="107"/>
      <c r="K154" s="45"/>
      <c r="L154" s="45"/>
      <c r="M154" s="45"/>
      <c r="N154" s="116"/>
      <c r="O154" s="48" t="s">
        <v>165</v>
      </c>
    </row>
    <row r="155" spans="1:15" s="48" customFormat="1" ht="122.3" customHeight="1" outlineLevel="1">
      <c r="A155" s="1">
        <v>299</v>
      </c>
      <c r="B155" s="1" t="str">
        <f t="shared" si="9"/>
        <v>IVF299</v>
      </c>
      <c r="C155" s="201" t="s">
        <v>332</v>
      </c>
      <c r="D155" s="1">
        <v>10</v>
      </c>
      <c r="E155" s="46" t="s">
        <v>8</v>
      </c>
      <c r="F155" s="5">
        <v>3092</v>
      </c>
      <c r="G155" s="45">
        <f>ROUND(D155*F155,0)</f>
        <v>30920</v>
      </c>
      <c r="H155" s="4">
        <v>0</v>
      </c>
      <c r="I155" s="3" t="s">
        <v>8</v>
      </c>
      <c r="J155" s="107">
        <f>F155</f>
        <v>3092</v>
      </c>
      <c r="K155" s="45"/>
      <c r="L155" s="45">
        <f t="shared" si="10"/>
        <v>0</v>
      </c>
      <c r="M155" s="45">
        <f t="shared" si="11"/>
        <v>30920</v>
      </c>
      <c r="N155" s="116" t="s">
        <v>293</v>
      </c>
      <c r="O155" s="48" t="s">
        <v>165</v>
      </c>
    </row>
    <row r="156" spans="1:15" s="48" customFormat="1" ht="12.1" customHeight="1" outlineLevel="1">
      <c r="A156" s="3"/>
      <c r="B156" s="1" t="str">
        <f t="shared" si="9"/>
        <v/>
      </c>
      <c r="F156" s="43"/>
      <c r="G156" s="45"/>
      <c r="H156" s="4"/>
      <c r="I156" s="3"/>
      <c r="J156" s="107"/>
      <c r="K156" s="45"/>
      <c r="L156" s="45">
        <f t="shared" si="10"/>
        <v>0</v>
      </c>
      <c r="M156" s="45">
        <f t="shared" si="11"/>
        <v>0</v>
      </c>
      <c r="N156" s="116"/>
      <c r="O156" s="48" t="s">
        <v>165</v>
      </c>
    </row>
    <row r="157" spans="1:15" s="48" customFormat="1" ht="94.6" customHeight="1" outlineLevel="1">
      <c r="A157" s="1">
        <v>300</v>
      </c>
      <c r="B157" s="1" t="str">
        <f t="shared" si="9"/>
        <v>IVF300</v>
      </c>
      <c r="C157" s="201" t="s">
        <v>333</v>
      </c>
      <c r="D157" s="1">
        <v>350</v>
      </c>
      <c r="E157" s="46" t="s">
        <v>12</v>
      </c>
      <c r="F157" s="5">
        <v>40</v>
      </c>
      <c r="G157" s="45">
        <f>ROUND(D157*F157,0)</f>
        <v>14000</v>
      </c>
      <c r="H157" s="4">
        <f>D157</f>
        <v>350</v>
      </c>
      <c r="I157" s="3" t="s">
        <v>12</v>
      </c>
      <c r="J157" s="107">
        <f>F157</f>
        <v>40</v>
      </c>
      <c r="K157" s="45">
        <f>ROUND(H157*J157,0)</f>
        <v>14000</v>
      </c>
      <c r="L157" s="45">
        <f t="shared" si="10"/>
        <v>0</v>
      </c>
      <c r="M157" s="45">
        <f t="shared" si="11"/>
        <v>0</v>
      </c>
      <c r="N157" s="116" t="s">
        <v>476</v>
      </c>
      <c r="O157" s="48" t="s">
        <v>165</v>
      </c>
    </row>
    <row r="158" spans="1:15" s="48" customFormat="1" outlineLevel="1">
      <c r="A158" s="3"/>
      <c r="B158" s="1" t="str">
        <f t="shared" si="9"/>
        <v/>
      </c>
      <c r="C158" s="204" t="s">
        <v>26</v>
      </c>
      <c r="F158" s="43"/>
      <c r="G158" s="45"/>
      <c r="H158" s="4">
        <v>29.6</v>
      </c>
      <c r="I158" s="3" t="s">
        <v>12</v>
      </c>
      <c r="J158" s="107">
        <f>J157</f>
        <v>40</v>
      </c>
      <c r="K158" s="45">
        <f>ROUND(H158*J158,0)</f>
        <v>1184</v>
      </c>
      <c r="L158" s="45">
        <f t="shared" si="10"/>
        <v>1184</v>
      </c>
      <c r="M158" s="45">
        <f t="shared" si="11"/>
        <v>0</v>
      </c>
      <c r="N158" s="116"/>
      <c r="O158" s="48" t="s">
        <v>165</v>
      </c>
    </row>
    <row r="159" spans="1:15" s="48" customFormat="1" outlineLevel="1">
      <c r="A159" s="3"/>
      <c r="B159" s="1" t="str">
        <f t="shared" si="9"/>
        <v/>
      </c>
      <c r="C159" s="47" t="s">
        <v>247</v>
      </c>
      <c r="F159" s="43"/>
      <c r="G159" s="45"/>
      <c r="H159" s="4"/>
      <c r="I159" s="3"/>
      <c r="J159" s="107"/>
      <c r="K159" s="45"/>
      <c r="L159" s="45"/>
      <c r="M159" s="45"/>
      <c r="N159" s="116"/>
      <c r="O159" s="48" t="s">
        <v>165</v>
      </c>
    </row>
    <row r="160" spans="1:15" s="48" customFormat="1" ht="12.1" customHeight="1" outlineLevel="1">
      <c r="A160" s="3"/>
      <c r="B160" s="1" t="str">
        <f t="shared" si="9"/>
        <v/>
      </c>
      <c r="C160" s="47"/>
      <c r="F160" s="43"/>
      <c r="G160" s="45"/>
      <c r="H160" s="4"/>
      <c r="I160" s="3"/>
      <c r="J160" s="107"/>
      <c r="K160" s="45"/>
      <c r="L160" s="45"/>
      <c r="M160" s="45"/>
      <c r="N160" s="116"/>
      <c r="O160" s="48" t="s">
        <v>165</v>
      </c>
    </row>
    <row r="161" spans="1:15" s="48" customFormat="1" ht="166.6" customHeight="1" outlineLevel="1">
      <c r="A161" s="1">
        <v>301</v>
      </c>
      <c r="B161" s="1" t="str">
        <f t="shared" si="9"/>
        <v>IVF301</v>
      </c>
      <c r="C161" s="201" t="s">
        <v>334</v>
      </c>
      <c r="D161" s="1">
        <v>600</v>
      </c>
      <c r="E161" s="46" t="s">
        <v>12</v>
      </c>
      <c r="F161" s="5">
        <v>177</v>
      </c>
      <c r="G161" s="45">
        <f>ROUND(D161*F161,0)</f>
        <v>106200</v>
      </c>
      <c r="H161" s="4">
        <f>D161</f>
        <v>600</v>
      </c>
      <c r="I161" s="3" t="s">
        <v>12</v>
      </c>
      <c r="J161" s="107">
        <f>F161</f>
        <v>177</v>
      </c>
      <c r="K161" s="45">
        <f>ROUND(H161*J161,0)</f>
        <v>106200</v>
      </c>
      <c r="L161" s="45">
        <f t="shared" si="10"/>
        <v>0</v>
      </c>
      <c r="M161" s="45">
        <f t="shared" si="11"/>
        <v>0</v>
      </c>
      <c r="N161" s="116" t="s">
        <v>477</v>
      </c>
      <c r="O161" s="48" t="s">
        <v>165</v>
      </c>
    </row>
    <row r="162" spans="1:15" s="48" customFormat="1" outlineLevel="1">
      <c r="A162" s="3"/>
      <c r="B162" s="1" t="str">
        <f t="shared" si="9"/>
        <v/>
      </c>
      <c r="C162" s="204" t="s">
        <v>26</v>
      </c>
      <c r="F162" s="43"/>
      <c r="G162" s="45"/>
      <c r="H162" s="4">
        <v>1113.0999999999999</v>
      </c>
      <c r="I162" s="3" t="s">
        <v>12</v>
      </c>
      <c r="J162" s="107">
        <f>J161</f>
        <v>177</v>
      </c>
      <c r="K162" s="45">
        <f>ROUND(H162*J162,0)</f>
        <v>197019</v>
      </c>
      <c r="L162" s="45">
        <f t="shared" si="10"/>
        <v>197019</v>
      </c>
      <c r="M162" s="45">
        <f t="shared" si="11"/>
        <v>0</v>
      </c>
      <c r="N162" s="116"/>
      <c r="O162" s="48" t="s">
        <v>165</v>
      </c>
    </row>
    <row r="163" spans="1:15" s="48" customFormat="1" outlineLevel="1">
      <c r="A163" s="3"/>
      <c r="B163" s="1" t="str">
        <f t="shared" si="9"/>
        <v/>
      </c>
      <c r="C163" s="47" t="s">
        <v>247</v>
      </c>
      <c r="F163" s="43"/>
      <c r="G163" s="45"/>
      <c r="H163" s="4"/>
      <c r="I163" s="3"/>
      <c r="J163" s="107"/>
      <c r="K163" s="45"/>
      <c r="L163" s="45"/>
      <c r="M163" s="45"/>
      <c r="N163" s="116"/>
      <c r="O163" s="48" t="s">
        <v>165</v>
      </c>
    </row>
    <row r="164" spans="1:15" s="48" customFormat="1" ht="12.1" customHeight="1" outlineLevel="1">
      <c r="A164" s="3"/>
      <c r="B164" s="1" t="str">
        <f t="shared" si="9"/>
        <v/>
      </c>
      <c r="C164" s="47"/>
      <c r="F164" s="43"/>
      <c r="G164" s="45"/>
      <c r="H164" s="4"/>
      <c r="I164" s="3"/>
      <c r="J164" s="107"/>
      <c r="K164" s="45"/>
      <c r="L164" s="45"/>
      <c r="M164" s="45"/>
      <c r="N164" s="116"/>
      <c r="O164" s="48" t="s">
        <v>165</v>
      </c>
    </row>
    <row r="165" spans="1:15" s="48" customFormat="1" ht="165.1" customHeight="1" outlineLevel="1">
      <c r="A165" s="1">
        <v>302</v>
      </c>
      <c r="B165" s="1" t="str">
        <f t="shared" si="9"/>
        <v>IVF302</v>
      </c>
      <c r="C165" s="201" t="s">
        <v>335</v>
      </c>
      <c r="D165" s="1">
        <v>1200</v>
      </c>
      <c r="E165" s="46" t="s">
        <v>12</v>
      </c>
      <c r="F165" s="5">
        <v>255</v>
      </c>
      <c r="G165" s="45">
        <f>ROUND(D165*F165,0)</f>
        <v>306000</v>
      </c>
      <c r="H165" s="4">
        <f>D165</f>
        <v>1200</v>
      </c>
      <c r="I165" s="3" t="s">
        <v>12</v>
      </c>
      <c r="J165" s="107">
        <f>F165</f>
        <v>255</v>
      </c>
      <c r="K165" s="45">
        <f>ROUND(H165*J165,0)</f>
        <v>306000</v>
      </c>
      <c r="L165" s="45">
        <f t="shared" si="10"/>
        <v>0</v>
      </c>
      <c r="M165" s="45">
        <f t="shared" si="11"/>
        <v>0</v>
      </c>
      <c r="N165" s="116" t="s">
        <v>477</v>
      </c>
      <c r="O165" s="48" t="s">
        <v>165</v>
      </c>
    </row>
    <row r="166" spans="1:15" s="48" customFormat="1" outlineLevel="1">
      <c r="A166" s="3"/>
      <c r="B166" s="1" t="str">
        <f t="shared" si="9"/>
        <v/>
      </c>
      <c r="C166" s="204" t="s">
        <v>26</v>
      </c>
      <c r="F166" s="43"/>
      <c r="G166" s="45"/>
      <c r="H166" s="4">
        <v>1221</v>
      </c>
      <c r="I166" s="3" t="s">
        <v>12</v>
      </c>
      <c r="J166" s="107">
        <f>J165</f>
        <v>255</v>
      </c>
      <c r="K166" s="45">
        <f>ROUND(H166*J166,0)</f>
        <v>311355</v>
      </c>
      <c r="L166" s="45">
        <f t="shared" si="10"/>
        <v>311355</v>
      </c>
      <c r="M166" s="45">
        <f t="shared" si="11"/>
        <v>0</v>
      </c>
      <c r="N166" s="116"/>
      <c r="O166" s="48" t="s">
        <v>165</v>
      </c>
    </row>
    <row r="167" spans="1:15" s="48" customFormat="1" outlineLevel="1">
      <c r="A167" s="3"/>
      <c r="B167" s="1" t="str">
        <f t="shared" si="9"/>
        <v/>
      </c>
      <c r="C167" s="47" t="s">
        <v>247</v>
      </c>
      <c r="F167" s="43"/>
      <c r="G167" s="45"/>
      <c r="H167" s="4"/>
      <c r="I167" s="3"/>
      <c r="J167" s="107"/>
      <c r="K167" s="45"/>
      <c r="L167" s="45"/>
      <c r="M167" s="45"/>
      <c r="N167" s="116"/>
      <c r="O167" s="48" t="s">
        <v>165</v>
      </c>
    </row>
    <row r="168" spans="1:15" s="48" customFormat="1" ht="12.1" customHeight="1" outlineLevel="1">
      <c r="A168" s="3"/>
      <c r="B168" s="1" t="str">
        <f t="shared" ref="B168:B218" si="12">IF(ISBLANK(A168), "","IVF"&amp;A168)</f>
        <v/>
      </c>
      <c r="C168" s="47"/>
      <c r="F168" s="43"/>
      <c r="G168" s="45"/>
      <c r="H168" s="4"/>
      <c r="I168" s="3"/>
      <c r="J168" s="107"/>
      <c r="K168" s="45"/>
      <c r="L168" s="45"/>
      <c r="M168" s="45"/>
      <c r="N168" s="116"/>
      <c r="O168" s="48" t="s">
        <v>165</v>
      </c>
    </row>
    <row r="169" spans="1:15" s="48" customFormat="1" ht="153" customHeight="1" outlineLevel="1">
      <c r="A169" s="1">
        <v>303</v>
      </c>
      <c r="B169" s="1" t="str">
        <f t="shared" si="12"/>
        <v>IVF303</v>
      </c>
      <c r="C169" s="201" t="s">
        <v>336</v>
      </c>
      <c r="D169" s="1">
        <v>60</v>
      </c>
      <c r="E169" s="46" t="s">
        <v>12</v>
      </c>
      <c r="F169" s="5">
        <v>606</v>
      </c>
      <c r="G169" s="45">
        <f>ROUND(D169*F169,0)</f>
        <v>36360</v>
      </c>
      <c r="H169" s="4">
        <f>D169</f>
        <v>60</v>
      </c>
      <c r="I169" s="3" t="s">
        <v>12</v>
      </c>
      <c r="J169" s="107">
        <f>F169</f>
        <v>606</v>
      </c>
      <c r="K169" s="45">
        <f>ROUND(H169*J169,0)</f>
        <v>36360</v>
      </c>
      <c r="L169" s="45">
        <f t="shared" si="10"/>
        <v>0</v>
      </c>
      <c r="M169" s="45">
        <f t="shared" si="11"/>
        <v>0</v>
      </c>
      <c r="N169" s="116" t="s">
        <v>478</v>
      </c>
      <c r="O169" s="48" t="s">
        <v>165</v>
      </c>
    </row>
    <row r="170" spans="1:15" s="48" customFormat="1" outlineLevel="1">
      <c r="A170" s="3"/>
      <c r="B170" s="1" t="str">
        <f t="shared" si="12"/>
        <v/>
      </c>
      <c r="C170" s="204" t="s">
        <v>26</v>
      </c>
      <c r="F170" s="43"/>
      <c r="G170" s="45"/>
      <c r="H170" s="4">
        <v>180.1</v>
      </c>
      <c r="I170" s="3" t="s">
        <v>12</v>
      </c>
      <c r="J170" s="107">
        <f>J169</f>
        <v>606</v>
      </c>
      <c r="K170" s="45">
        <f>ROUND(H170*J170,0)</f>
        <v>109141</v>
      </c>
      <c r="L170" s="45">
        <f t="shared" si="10"/>
        <v>109141</v>
      </c>
      <c r="M170" s="45">
        <f t="shared" si="11"/>
        <v>0</v>
      </c>
      <c r="N170" s="116"/>
      <c r="O170" s="48" t="s">
        <v>165</v>
      </c>
    </row>
    <row r="171" spans="1:15" s="48" customFormat="1" outlineLevel="1">
      <c r="A171" s="3"/>
      <c r="B171" s="1" t="str">
        <f t="shared" si="12"/>
        <v/>
      </c>
      <c r="C171" s="47" t="s">
        <v>247</v>
      </c>
      <c r="F171" s="43"/>
      <c r="G171" s="45"/>
      <c r="H171" s="4"/>
      <c r="I171" s="3"/>
      <c r="J171" s="107"/>
      <c r="K171" s="45"/>
      <c r="L171" s="45"/>
      <c r="M171" s="45"/>
      <c r="N171" s="116"/>
      <c r="O171" s="48" t="s">
        <v>165</v>
      </c>
    </row>
    <row r="172" spans="1:15" s="48" customFormat="1" ht="12.1" customHeight="1" outlineLevel="1">
      <c r="A172" s="3"/>
      <c r="B172" s="1" t="str">
        <f t="shared" si="12"/>
        <v/>
      </c>
      <c r="C172" s="47"/>
      <c r="F172" s="43"/>
      <c r="G172" s="45"/>
      <c r="H172" s="4"/>
      <c r="I172" s="3"/>
      <c r="J172" s="107"/>
      <c r="K172" s="45"/>
      <c r="L172" s="45"/>
      <c r="M172" s="45"/>
      <c r="N172" s="116"/>
      <c r="O172" s="48" t="s">
        <v>165</v>
      </c>
    </row>
    <row r="173" spans="1:15" s="48" customFormat="1" ht="151.5" customHeight="1" outlineLevel="1">
      <c r="A173" s="1">
        <v>304</v>
      </c>
      <c r="B173" s="1" t="str">
        <f t="shared" si="12"/>
        <v>IVF304</v>
      </c>
      <c r="C173" s="201" t="s">
        <v>337</v>
      </c>
      <c r="D173" s="1">
        <v>40</v>
      </c>
      <c r="E173" s="46" t="s">
        <v>12</v>
      </c>
      <c r="F173" s="5">
        <v>967</v>
      </c>
      <c r="G173" s="45">
        <f>ROUND(D173*F173,0)</f>
        <v>38680</v>
      </c>
      <c r="H173" s="4">
        <f>D173</f>
        <v>40</v>
      </c>
      <c r="I173" s="3" t="s">
        <v>12</v>
      </c>
      <c r="J173" s="107">
        <f>F173</f>
        <v>967</v>
      </c>
      <c r="K173" s="45">
        <f>ROUND(H173*J173,0)</f>
        <v>38680</v>
      </c>
      <c r="L173" s="45">
        <f t="shared" si="10"/>
        <v>0</v>
      </c>
      <c r="M173" s="45">
        <f t="shared" si="11"/>
        <v>0</v>
      </c>
      <c r="N173" s="116" t="s">
        <v>479</v>
      </c>
      <c r="O173" s="48" t="s">
        <v>165</v>
      </c>
    </row>
    <row r="174" spans="1:15" s="48" customFormat="1" outlineLevel="1">
      <c r="A174" s="3"/>
      <c r="B174" s="1" t="str">
        <f t="shared" si="12"/>
        <v/>
      </c>
      <c r="C174" s="204" t="s">
        <v>26</v>
      </c>
      <c r="F174" s="43"/>
      <c r="G174" s="45"/>
      <c r="H174" s="4">
        <v>244</v>
      </c>
      <c r="I174" s="3" t="s">
        <v>12</v>
      </c>
      <c r="J174" s="107">
        <f>J173</f>
        <v>967</v>
      </c>
      <c r="K174" s="45">
        <f>ROUND(H174*J174,0)</f>
        <v>235948</v>
      </c>
      <c r="L174" s="45">
        <f t="shared" si="10"/>
        <v>235948</v>
      </c>
      <c r="M174" s="45">
        <f t="shared" si="11"/>
        <v>0</v>
      </c>
      <c r="N174" s="116"/>
      <c r="O174" s="48" t="s">
        <v>165</v>
      </c>
    </row>
    <row r="175" spans="1:15" s="48" customFormat="1" outlineLevel="1">
      <c r="A175" s="3"/>
      <c r="B175" s="1" t="str">
        <f t="shared" si="12"/>
        <v/>
      </c>
      <c r="C175" s="47" t="s">
        <v>247</v>
      </c>
      <c r="F175" s="43"/>
      <c r="G175" s="45"/>
      <c r="H175" s="4"/>
      <c r="I175" s="3"/>
      <c r="J175" s="107"/>
      <c r="K175" s="45"/>
      <c r="L175" s="45"/>
      <c r="M175" s="45"/>
      <c r="N175" s="116"/>
      <c r="O175" s="48" t="s">
        <v>165</v>
      </c>
    </row>
    <row r="176" spans="1:15" s="48" customFormat="1" ht="12.1" customHeight="1" outlineLevel="1">
      <c r="A176" s="3"/>
      <c r="B176" s="1" t="str">
        <f t="shared" si="12"/>
        <v/>
      </c>
      <c r="C176" s="47"/>
      <c r="F176" s="43"/>
      <c r="G176" s="45"/>
      <c r="H176" s="4"/>
      <c r="I176" s="3"/>
      <c r="J176" s="107"/>
      <c r="K176" s="45"/>
      <c r="L176" s="45"/>
      <c r="M176" s="45"/>
      <c r="N176" s="116"/>
      <c r="O176" s="48" t="s">
        <v>165</v>
      </c>
    </row>
    <row r="177" spans="1:15" s="48" customFormat="1" ht="95.3" customHeight="1" outlineLevel="1">
      <c r="A177" s="1">
        <v>305</v>
      </c>
      <c r="B177" s="1" t="str">
        <f t="shared" si="12"/>
        <v>IVF305</v>
      </c>
      <c r="C177" s="201" t="s">
        <v>56</v>
      </c>
      <c r="D177" s="1">
        <v>5</v>
      </c>
      <c r="E177" s="46" t="s">
        <v>8</v>
      </c>
      <c r="F177" s="5">
        <v>2562</v>
      </c>
      <c r="G177" s="45">
        <f>ROUND(D177*F177,0)</f>
        <v>12810</v>
      </c>
      <c r="H177" s="4">
        <v>0</v>
      </c>
      <c r="I177" s="3" t="s">
        <v>8</v>
      </c>
      <c r="J177" s="107">
        <f>F177</f>
        <v>2562</v>
      </c>
      <c r="K177" s="45"/>
      <c r="L177" s="45">
        <f t="shared" si="10"/>
        <v>0</v>
      </c>
      <c r="M177" s="45">
        <f t="shared" si="11"/>
        <v>12810</v>
      </c>
      <c r="N177" s="116" t="s">
        <v>293</v>
      </c>
      <c r="O177" s="48" t="s">
        <v>165</v>
      </c>
    </row>
    <row r="178" spans="1:15" s="48" customFormat="1" ht="12.1" customHeight="1" outlineLevel="1">
      <c r="A178" s="3"/>
      <c r="B178" s="1" t="str">
        <f t="shared" si="12"/>
        <v/>
      </c>
      <c r="F178" s="43"/>
      <c r="G178" s="45"/>
      <c r="H178" s="4"/>
      <c r="I178" s="3"/>
      <c r="J178" s="107"/>
      <c r="K178" s="45"/>
      <c r="L178" s="45">
        <f t="shared" si="10"/>
        <v>0</v>
      </c>
      <c r="M178" s="45">
        <f t="shared" si="11"/>
        <v>0</v>
      </c>
      <c r="N178" s="116"/>
      <c r="O178" s="48" t="s">
        <v>165</v>
      </c>
    </row>
    <row r="179" spans="1:15" s="48" customFormat="1" ht="183.1" customHeight="1" outlineLevel="1">
      <c r="A179" s="1">
        <v>306</v>
      </c>
      <c r="B179" s="1" t="str">
        <f t="shared" si="12"/>
        <v>IVF306</v>
      </c>
      <c r="C179" s="201" t="s">
        <v>57</v>
      </c>
      <c r="D179" s="1">
        <v>3</v>
      </c>
      <c r="E179" s="46" t="s">
        <v>8</v>
      </c>
      <c r="F179" s="5">
        <v>18325</v>
      </c>
      <c r="G179" s="45">
        <f>ROUND(D179*F179,0)</f>
        <v>54975</v>
      </c>
      <c r="H179" s="4">
        <v>3</v>
      </c>
      <c r="I179" s="3" t="s">
        <v>8</v>
      </c>
      <c r="J179" s="107">
        <f>F179</f>
        <v>18325</v>
      </c>
      <c r="K179" s="45">
        <f>ROUND(H179*J179,0)</f>
        <v>54975</v>
      </c>
      <c r="L179" s="45">
        <f t="shared" si="10"/>
        <v>0</v>
      </c>
      <c r="M179" s="45">
        <f t="shared" si="11"/>
        <v>0</v>
      </c>
      <c r="N179" s="116" t="s">
        <v>480</v>
      </c>
      <c r="O179" s="48" t="s">
        <v>165</v>
      </c>
    </row>
    <row r="180" spans="1:15" s="48" customFormat="1" outlineLevel="1">
      <c r="A180" s="3"/>
      <c r="B180" s="1" t="str">
        <f t="shared" si="12"/>
        <v/>
      </c>
      <c r="C180" s="204" t="s">
        <v>26</v>
      </c>
      <c r="F180" s="43"/>
      <c r="G180" s="45"/>
      <c r="H180" s="4">
        <v>7</v>
      </c>
      <c r="I180" s="3" t="s">
        <v>8</v>
      </c>
      <c r="J180" s="107">
        <f>J179</f>
        <v>18325</v>
      </c>
      <c r="K180" s="45">
        <f>ROUND(H180*J180,0)</f>
        <v>128275</v>
      </c>
      <c r="L180" s="45">
        <f t="shared" si="10"/>
        <v>128275</v>
      </c>
      <c r="M180" s="45">
        <f t="shared" si="11"/>
        <v>0</v>
      </c>
      <c r="N180" s="116"/>
      <c r="O180" s="48" t="s">
        <v>165</v>
      </c>
    </row>
    <row r="181" spans="1:15" s="48" customFormat="1" outlineLevel="1">
      <c r="A181" s="3"/>
      <c r="B181" s="1" t="str">
        <f t="shared" si="12"/>
        <v/>
      </c>
      <c r="C181" s="47" t="s">
        <v>249</v>
      </c>
      <c r="F181" s="43"/>
      <c r="G181" s="45"/>
      <c r="H181" s="4"/>
      <c r="I181" s="3"/>
      <c r="J181" s="107"/>
      <c r="K181" s="45"/>
      <c r="L181" s="45"/>
      <c r="M181" s="45"/>
      <c r="N181" s="116"/>
      <c r="O181" s="48" t="s">
        <v>165</v>
      </c>
    </row>
    <row r="182" spans="1:15" s="48" customFormat="1" ht="12.1" customHeight="1" outlineLevel="1">
      <c r="A182" s="3"/>
      <c r="B182" s="1" t="str">
        <f t="shared" si="12"/>
        <v/>
      </c>
      <c r="C182" s="47"/>
      <c r="F182" s="43"/>
      <c r="G182" s="45"/>
      <c r="H182" s="4"/>
      <c r="I182" s="3"/>
      <c r="J182" s="107"/>
      <c r="K182" s="45"/>
      <c r="L182" s="45"/>
      <c r="M182" s="45"/>
      <c r="N182" s="116"/>
      <c r="O182" s="48" t="s">
        <v>165</v>
      </c>
    </row>
    <row r="183" spans="1:15" s="48" customFormat="1" ht="136.19999999999999" customHeight="1" outlineLevel="1">
      <c r="A183" s="1">
        <v>307</v>
      </c>
      <c r="B183" s="1" t="str">
        <f t="shared" si="12"/>
        <v>IVF307</v>
      </c>
      <c r="C183" s="201" t="s">
        <v>338</v>
      </c>
      <c r="D183" s="1">
        <v>2</v>
      </c>
      <c r="E183" s="46" t="s">
        <v>8</v>
      </c>
      <c r="F183" s="5">
        <v>28460</v>
      </c>
      <c r="G183" s="45">
        <f>ROUND(D183*F183,0)</f>
        <v>56920</v>
      </c>
      <c r="H183" s="4">
        <v>0</v>
      </c>
      <c r="I183" s="3" t="s">
        <v>8</v>
      </c>
      <c r="J183" s="107">
        <f>F183</f>
        <v>28460</v>
      </c>
      <c r="K183" s="45"/>
      <c r="L183" s="45">
        <f t="shared" si="10"/>
        <v>0</v>
      </c>
      <c r="M183" s="45">
        <f t="shared" si="11"/>
        <v>56920</v>
      </c>
      <c r="N183" s="116" t="s">
        <v>293</v>
      </c>
      <c r="O183" s="48" t="s">
        <v>165</v>
      </c>
    </row>
    <row r="184" spans="1:15" s="48" customFormat="1" ht="12.1" customHeight="1" outlineLevel="1">
      <c r="A184" s="3"/>
      <c r="B184" s="1" t="str">
        <f t="shared" si="12"/>
        <v/>
      </c>
      <c r="F184" s="43"/>
      <c r="G184" s="45"/>
      <c r="H184" s="4"/>
      <c r="I184" s="3"/>
      <c r="J184" s="107"/>
      <c r="K184" s="45"/>
      <c r="L184" s="45">
        <f t="shared" si="10"/>
        <v>0</v>
      </c>
      <c r="M184" s="45">
        <f t="shared" si="11"/>
        <v>0</v>
      </c>
      <c r="N184" s="116"/>
      <c r="O184" s="48" t="s">
        <v>165</v>
      </c>
    </row>
    <row r="185" spans="1:15" s="48" customFormat="1" ht="76.599999999999994" customHeight="1" outlineLevel="1">
      <c r="A185" s="1">
        <v>310</v>
      </c>
      <c r="B185" s="1" t="str">
        <f t="shared" si="12"/>
        <v>IVF310</v>
      </c>
      <c r="C185" s="201" t="s">
        <v>58</v>
      </c>
      <c r="D185" s="1">
        <v>2</v>
      </c>
      <c r="E185" s="46" t="s">
        <v>8</v>
      </c>
      <c r="F185" s="5">
        <v>3260</v>
      </c>
      <c r="G185" s="45">
        <f>ROUND(D185*F185,0)</f>
        <v>6520</v>
      </c>
      <c r="H185" s="4">
        <v>0</v>
      </c>
      <c r="I185" s="3" t="s">
        <v>8</v>
      </c>
      <c r="J185" s="107">
        <f>F185</f>
        <v>3260</v>
      </c>
      <c r="K185" s="45"/>
      <c r="L185" s="45">
        <f t="shared" si="10"/>
        <v>0</v>
      </c>
      <c r="M185" s="45">
        <f t="shared" si="11"/>
        <v>6520</v>
      </c>
      <c r="N185" s="116" t="s">
        <v>293</v>
      </c>
      <c r="O185" s="48" t="s">
        <v>165</v>
      </c>
    </row>
    <row r="186" spans="1:15" s="48" customFormat="1" ht="12.1" customHeight="1" outlineLevel="1">
      <c r="A186" s="3"/>
      <c r="B186" s="1" t="str">
        <f t="shared" si="12"/>
        <v/>
      </c>
      <c r="F186" s="43"/>
      <c r="G186" s="45"/>
      <c r="H186" s="4"/>
      <c r="I186" s="3"/>
      <c r="J186" s="107"/>
      <c r="K186" s="45"/>
      <c r="L186" s="45">
        <f t="shared" si="10"/>
        <v>0</v>
      </c>
      <c r="M186" s="45">
        <f t="shared" si="11"/>
        <v>0</v>
      </c>
      <c r="N186" s="116"/>
      <c r="O186" s="48" t="s">
        <v>165</v>
      </c>
    </row>
    <row r="187" spans="1:15" s="48" customFormat="1" ht="211.6" customHeight="1" outlineLevel="1">
      <c r="A187" s="1">
        <v>311</v>
      </c>
      <c r="B187" s="1" t="str">
        <f t="shared" si="12"/>
        <v>IVF311</v>
      </c>
      <c r="C187" s="201" t="s">
        <v>339</v>
      </c>
      <c r="D187" s="1">
        <v>50</v>
      </c>
      <c r="E187" s="46" t="s">
        <v>8</v>
      </c>
      <c r="F187" s="5">
        <v>2652</v>
      </c>
      <c r="G187" s="45">
        <f>ROUND(D187*F187,0)</f>
        <v>132600</v>
      </c>
      <c r="H187" s="4">
        <v>50</v>
      </c>
      <c r="I187" s="3" t="s">
        <v>8</v>
      </c>
      <c r="J187" s="107">
        <f>F187</f>
        <v>2652</v>
      </c>
      <c r="K187" s="45">
        <f>ROUND(H187*J187,0)</f>
        <v>132600</v>
      </c>
      <c r="L187" s="45">
        <f t="shared" si="10"/>
        <v>0</v>
      </c>
      <c r="M187" s="45">
        <f t="shared" si="11"/>
        <v>0</v>
      </c>
      <c r="N187" s="116" t="s">
        <v>481</v>
      </c>
      <c r="O187" s="48" t="s">
        <v>165</v>
      </c>
    </row>
    <row r="188" spans="1:15" s="48" customFormat="1" outlineLevel="1">
      <c r="A188" s="3"/>
      <c r="B188" s="1" t="str">
        <f t="shared" si="12"/>
        <v/>
      </c>
      <c r="C188" s="204" t="s">
        <v>26</v>
      </c>
      <c r="F188" s="43"/>
      <c r="G188" s="45"/>
      <c r="H188" s="4">
        <f>91-H187</f>
        <v>41</v>
      </c>
      <c r="I188" s="3" t="s">
        <v>8</v>
      </c>
      <c r="J188" s="107">
        <f>J187</f>
        <v>2652</v>
      </c>
      <c r="K188" s="45">
        <f>ROUND(H188*J188,0)</f>
        <v>108732</v>
      </c>
      <c r="L188" s="45">
        <f t="shared" si="10"/>
        <v>108732</v>
      </c>
      <c r="M188" s="45">
        <f t="shared" si="11"/>
        <v>0</v>
      </c>
      <c r="N188" s="116"/>
      <c r="O188" s="48" t="s">
        <v>165</v>
      </c>
    </row>
    <row r="189" spans="1:15" s="48" customFormat="1" outlineLevel="1">
      <c r="A189" s="3"/>
      <c r="B189" s="1" t="str">
        <f t="shared" si="12"/>
        <v/>
      </c>
      <c r="C189" s="47" t="s">
        <v>276</v>
      </c>
      <c r="F189" s="43"/>
      <c r="G189" s="45"/>
      <c r="H189" s="4"/>
      <c r="I189" s="3"/>
      <c r="J189" s="107"/>
      <c r="K189" s="45"/>
      <c r="L189" s="45"/>
      <c r="M189" s="45"/>
      <c r="N189" s="116"/>
      <c r="O189" s="48" t="s">
        <v>165</v>
      </c>
    </row>
    <row r="190" spans="1:15" s="48" customFormat="1" ht="12.1" customHeight="1" outlineLevel="1">
      <c r="A190" s="3"/>
      <c r="B190" s="1" t="str">
        <f t="shared" si="12"/>
        <v/>
      </c>
      <c r="C190" s="47"/>
      <c r="F190" s="43"/>
      <c r="G190" s="45"/>
      <c r="H190" s="4"/>
      <c r="I190" s="3"/>
      <c r="J190" s="107"/>
      <c r="K190" s="45"/>
      <c r="L190" s="45"/>
      <c r="M190" s="45"/>
      <c r="N190" s="116"/>
      <c r="O190" s="48" t="s">
        <v>165</v>
      </c>
    </row>
    <row r="191" spans="1:15" s="48" customFormat="1" ht="181.2" customHeight="1" outlineLevel="1">
      <c r="A191" s="1">
        <v>312</v>
      </c>
      <c r="B191" s="1" t="str">
        <f t="shared" si="12"/>
        <v>IVF312</v>
      </c>
      <c r="C191" s="201" t="s">
        <v>340</v>
      </c>
      <c r="D191" s="1">
        <v>30</v>
      </c>
      <c r="E191" s="46" t="s">
        <v>8</v>
      </c>
      <c r="F191" s="5">
        <v>4350</v>
      </c>
      <c r="G191" s="45">
        <f>ROUND(D191*F191,0)</f>
        <v>130500</v>
      </c>
      <c r="H191" s="4">
        <f>D191</f>
        <v>30</v>
      </c>
      <c r="I191" s="3" t="s">
        <v>8</v>
      </c>
      <c r="J191" s="107">
        <f>F191</f>
        <v>4350</v>
      </c>
      <c r="K191" s="45">
        <f>ROUND(H191*J191,0)</f>
        <v>130500</v>
      </c>
      <c r="L191" s="45">
        <f t="shared" si="10"/>
        <v>0</v>
      </c>
      <c r="M191" s="45">
        <f t="shared" si="11"/>
        <v>0</v>
      </c>
      <c r="N191" s="116" t="s">
        <v>481</v>
      </c>
      <c r="O191" s="48" t="s">
        <v>165</v>
      </c>
    </row>
    <row r="192" spans="1:15" s="48" customFormat="1" outlineLevel="1">
      <c r="A192" s="3"/>
      <c r="B192" s="1" t="str">
        <f t="shared" si="12"/>
        <v/>
      </c>
      <c r="C192" s="204" t="s">
        <v>26</v>
      </c>
      <c r="F192" s="43"/>
      <c r="G192" s="45"/>
      <c r="H192" s="4">
        <f>60-H191</f>
        <v>30</v>
      </c>
      <c r="I192" s="3" t="s">
        <v>8</v>
      </c>
      <c r="J192" s="107">
        <f>J191</f>
        <v>4350</v>
      </c>
      <c r="K192" s="45">
        <f>ROUND(H192*J192,0)</f>
        <v>130500</v>
      </c>
      <c r="L192" s="45">
        <f t="shared" si="10"/>
        <v>130500</v>
      </c>
      <c r="M192" s="45">
        <f t="shared" si="11"/>
        <v>0</v>
      </c>
      <c r="N192" s="116"/>
      <c r="O192" s="48" t="s">
        <v>165</v>
      </c>
    </row>
    <row r="193" spans="1:15" s="48" customFormat="1" outlineLevel="1">
      <c r="A193" s="3"/>
      <c r="B193" s="1" t="str">
        <f t="shared" si="12"/>
        <v/>
      </c>
      <c r="C193" s="47" t="s">
        <v>277</v>
      </c>
      <c r="F193" s="43"/>
      <c r="G193" s="45"/>
      <c r="H193" s="4"/>
      <c r="I193" s="3"/>
      <c r="J193" s="107"/>
      <c r="K193" s="45"/>
      <c r="L193" s="45"/>
      <c r="M193" s="45"/>
      <c r="N193" s="116"/>
      <c r="O193" s="48" t="s">
        <v>165</v>
      </c>
    </row>
    <row r="194" spans="1:15" s="48" customFormat="1" ht="12.1" customHeight="1" outlineLevel="1">
      <c r="A194" s="3"/>
      <c r="B194" s="1" t="str">
        <f t="shared" si="12"/>
        <v/>
      </c>
      <c r="C194" s="47"/>
      <c r="F194" s="43"/>
      <c r="G194" s="45"/>
      <c r="H194" s="4"/>
      <c r="I194" s="3"/>
      <c r="J194" s="107"/>
      <c r="K194" s="45"/>
      <c r="L194" s="45"/>
      <c r="M194" s="45"/>
      <c r="N194" s="116"/>
      <c r="O194" s="48" t="s">
        <v>165</v>
      </c>
    </row>
    <row r="195" spans="1:15" s="48" customFormat="1" ht="218.75" outlineLevel="1">
      <c r="A195" s="1">
        <v>313</v>
      </c>
      <c r="B195" s="1" t="str">
        <f t="shared" si="12"/>
        <v>IVF313</v>
      </c>
      <c r="C195" s="201" t="s">
        <v>341</v>
      </c>
      <c r="D195" s="1">
        <v>12</v>
      </c>
      <c r="E195" s="46" t="s">
        <v>8</v>
      </c>
      <c r="F195" s="5">
        <v>4762</v>
      </c>
      <c r="G195" s="45">
        <f>ROUND(D195*F195,0)</f>
        <v>57144</v>
      </c>
      <c r="H195" s="4">
        <v>0</v>
      </c>
      <c r="I195" s="3" t="s">
        <v>8</v>
      </c>
      <c r="J195" s="107">
        <f>F195</f>
        <v>4762</v>
      </c>
      <c r="K195" s="45"/>
      <c r="L195" s="45">
        <f t="shared" si="10"/>
        <v>0</v>
      </c>
      <c r="M195" s="45">
        <f t="shared" si="11"/>
        <v>57144</v>
      </c>
      <c r="N195" s="116" t="s">
        <v>496</v>
      </c>
      <c r="O195" s="48" t="s">
        <v>165</v>
      </c>
    </row>
    <row r="196" spans="1:15" s="48" customFormat="1" ht="12.1" customHeight="1" outlineLevel="1">
      <c r="A196" s="3"/>
      <c r="B196" s="1" t="str">
        <f t="shared" si="12"/>
        <v/>
      </c>
      <c r="F196" s="43"/>
      <c r="G196" s="45"/>
      <c r="H196" s="4"/>
      <c r="I196" s="3"/>
      <c r="J196" s="107"/>
      <c r="K196" s="45"/>
      <c r="L196" s="45">
        <f t="shared" si="10"/>
        <v>0</v>
      </c>
      <c r="M196" s="45">
        <f t="shared" si="11"/>
        <v>0</v>
      </c>
      <c r="N196" s="116"/>
      <c r="O196" s="48" t="s">
        <v>165</v>
      </c>
    </row>
    <row r="197" spans="1:15" s="48" customFormat="1" ht="109.4" outlineLevel="1">
      <c r="A197" s="1">
        <v>314</v>
      </c>
      <c r="B197" s="1" t="str">
        <f t="shared" si="12"/>
        <v>IVF314</v>
      </c>
      <c r="C197" s="201" t="s">
        <v>27</v>
      </c>
      <c r="D197" s="1">
        <v>5</v>
      </c>
      <c r="E197" s="46" t="s">
        <v>8</v>
      </c>
      <c r="F197" s="5">
        <v>184</v>
      </c>
      <c r="G197" s="45">
        <f>ROUND(D197*F197,0)</f>
        <v>920</v>
      </c>
      <c r="H197" s="4">
        <v>0</v>
      </c>
      <c r="I197" s="3" t="s">
        <v>8</v>
      </c>
      <c r="J197" s="107">
        <f>F197</f>
        <v>184</v>
      </c>
      <c r="K197" s="45"/>
      <c r="L197" s="45">
        <f t="shared" si="10"/>
        <v>0</v>
      </c>
      <c r="M197" s="45">
        <f t="shared" si="11"/>
        <v>920</v>
      </c>
      <c r="N197" s="116" t="s">
        <v>293</v>
      </c>
      <c r="O197" s="48" t="s">
        <v>165</v>
      </c>
    </row>
    <row r="198" spans="1:15" s="48" customFormat="1" ht="12.1" customHeight="1" outlineLevel="1">
      <c r="A198" s="3"/>
      <c r="B198" s="1" t="str">
        <f t="shared" si="12"/>
        <v/>
      </c>
      <c r="F198" s="43"/>
      <c r="G198" s="45"/>
      <c r="H198" s="4"/>
      <c r="I198" s="3"/>
      <c r="J198" s="107"/>
      <c r="K198" s="45"/>
      <c r="L198" s="45">
        <f t="shared" si="10"/>
        <v>0</v>
      </c>
      <c r="M198" s="45">
        <f t="shared" si="11"/>
        <v>0</v>
      </c>
      <c r="N198" s="116"/>
      <c r="O198" s="48" t="s">
        <v>165</v>
      </c>
    </row>
    <row r="199" spans="1:15" s="48" customFormat="1" ht="312.45" outlineLevel="1">
      <c r="A199" s="1">
        <v>315</v>
      </c>
      <c r="B199" s="1" t="str">
        <f t="shared" si="12"/>
        <v>IVF315</v>
      </c>
      <c r="C199" s="201" t="s">
        <v>59</v>
      </c>
      <c r="D199" s="1">
        <v>12</v>
      </c>
      <c r="E199" s="46" t="s">
        <v>8</v>
      </c>
      <c r="F199" s="5">
        <v>4090</v>
      </c>
      <c r="G199" s="45">
        <f>ROUND(D199*F199,0)</f>
        <v>49080</v>
      </c>
      <c r="H199" s="4">
        <v>0</v>
      </c>
      <c r="I199" s="3" t="s">
        <v>8</v>
      </c>
      <c r="J199" s="107">
        <f>F199</f>
        <v>4090</v>
      </c>
      <c r="K199" s="45"/>
      <c r="L199" s="45">
        <f t="shared" si="10"/>
        <v>0</v>
      </c>
      <c r="M199" s="45">
        <f t="shared" si="11"/>
        <v>49080</v>
      </c>
      <c r="N199" s="116" t="s">
        <v>495</v>
      </c>
      <c r="O199" s="48" t="s">
        <v>165</v>
      </c>
    </row>
    <row r="200" spans="1:15" s="48" customFormat="1" ht="12.1" customHeight="1" outlineLevel="1">
      <c r="A200" s="3"/>
      <c r="B200" s="1" t="str">
        <f t="shared" si="12"/>
        <v/>
      </c>
      <c r="F200" s="43"/>
      <c r="G200" s="45"/>
      <c r="H200" s="4"/>
      <c r="I200" s="3"/>
      <c r="J200" s="107"/>
      <c r="K200" s="45"/>
      <c r="L200" s="45">
        <f t="shared" si="10"/>
        <v>0</v>
      </c>
      <c r="M200" s="45">
        <f t="shared" si="11"/>
        <v>0</v>
      </c>
      <c r="N200" s="116"/>
      <c r="O200" s="48" t="s">
        <v>165</v>
      </c>
    </row>
    <row r="201" spans="1:15" s="48" customFormat="1" ht="150.80000000000001" customHeight="1" outlineLevel="1">
      <c r="A201" s="1">
        <v>316</v>
      </c>
      <c r="B201" s="1" t="str">
        <f t="shared" si="12"/>
        <v>IVF316</v>
      </c>
      <c r="C201" s="201" t="s">
        <v>60</v>
      </c>
      <c r="D201" s="1">
        <v>12</v>
      </c>
      <c r="E201" s="46" t="s">
        <v>8</v>
      </c>
      <c r="F201" s="5">
        <v>827</v>
      </c>
      <c r="G201" s="45">
        <f>ROUND(D201*F201,0)</f>
        <v>9924</v>
      </c>
      <c r="H201" s="4">
        <f>D201</f>
        <v>12</v>
      </c>
      <c r="I201" s="3" t="s">
        <v>8</v>
      </c>
      <c r="J201" s="107">
        <f>F201</f>
        <v>827</v>
      </c>
      <c r="K201" s="45">
        <f>ROUND(H201*J201,0)</f>
        <v>9924</v>
      </c>
      <c r="L201" s="45">
        <f t="shared" si="10"/>
        <v>0</v>
      </c>
      <c r="M201" s="45">
        <f t="shared" si="11"/>
        <v>0</v>
      </c>
      <c r="N201" s="116" t="s">
        <v>471</v>
      </c>
      <c r="O201" s="48" t="s">
        <v>165</v>
      </c>
    </row>
    <row r="202" spans="1:15" s="48" customFormat="1" outlineLevel="1">
      <c r="A202" s="3"/>
      <c r="B202" s="1" t="str">
        <f t="shared" si="12"/>
        <v/>
      </c>
      <c r="C202" s="204" t="s">
        <v>26</v>
      </c>
      <c r="F202" s="43"/>
      <c r="G202" s="45"/>
      <c r="H202" s="4">
        <f>28-H201</f>
        <v>16</v>
      </c>
      <c r="I202" s="3" t="s">
        <v>8</v>
      </c>
      <c r="J202" s="107">
        <f>J201</f>
        <v>827</v>
      </c>
      <c r="K202" s="45">
        <f>ROUND(H202*J202,0)</f>
        <v>13232</v>
      </c>
      <c r="L202" s="45">
        <f t="shared" si="10"/>
        <v>13232</v>
      </c>
      <c r="M202" s="45">
        <f t="shared" si="11"/>
        <v>0</v>
      </c>
      <c r="N202" s="116"/>
      <c r="O202" s="48" t="s">
        <v>165</v>
      </c>
    </row>
    <row r="203" spans="1:15" s="48" customFormat="1" outlineLevel="1">
      <c r="A203" s="3"/>
      <c r="B203" s="1" t="str">
        <f t="shared" si="12"/>
        <v/>
      </c>
      <c r="C203" s="47" t="s">
        <v>278</v>
      </c>
      <c r="F203" s="43"/>
      <c r="G203" s="45"/>
      <c r="H203" s="4"/>
      <c r="I203" s="3"/>
      <c r="J203" s="107"/>
      <c r="K203" s="45"/>
      <c r="L203" s="45"/>
      <c r="M203" s="45"/>
      <c r="N203" s="116"/>
      <c r="O203" s="48" t="s">
        <v>165</v>
      </c>
    </row>
    <row r="204" spans="1:15" s="48" customFormat="1" ht="12.1" customHeight="1" outlineLevel="1">
      <c r="A204" s="3"/>
      <c r="B204" s="1" t="str">
        <f t="shared" si="12"/>
        <v/>
      </c>
      <c r="C204" s="47"/>
      <c r="F204" s="43"/>
      <c r="G204" s="45"/>
      <c r="H204" s="4"/>
      <c r="I204" s="3"/>
      <c r="J204" s="107"/>
      <c r="K204" s="45"/>
      <c r="L204" s="45"/>
      <c r="M204" s="45"/>
      <c r="N204" s="116"/>
      <c r="O204" s="48" t="s">
        <v>165</v>
      </c>
    </row>
    <row r="205" spans="1:15" s="48" customFormat="1" ht="76.599999999999994" customHeight="1" outlineLevel="1">
      <c r="A205" s="1">
        <v>317</v>
      </c>
      <c r="B205" s="1" t="str">
        <f t="shared" si="12"/>
        <v>IVF317</v>
      </c>
      <c r="C205" s="201" t="s">
        <v>61</v>
      </c>
      <c r="D205" s="1">
        <v>6</v>
      </c>
      <c r="E205" s="46" t="s">
        <v>8</v>
      </c>
      <c r="F205" s="5">
        <v>2203</v>
      </c>
      <c r="G205" s="45">
        <f>ROUND(D205*F205,0)</f>
        <v>13218</v>
      </c>
      <c r="H205" s="4">
        <f>D205</f>
        <v>6</v>
      </c>
      <c r="I205" s="3" t="s">
        <v>8</v>
      </c>
      <c r="J205" s="107">
        <f>F205</f>
        <v>2203</v>
      </c>
      <c r="K205" s="45">
        <f>ROUND(H205*J205,0)</f>
        <v>13218</v>
      </c>
      <c r="L205" s="45">
        <f t="shared" si="10"/>
        <v>0</v>
      </c>
      <c r="M205" s="45">
        <f t="shared" si="11"/>
        <v>0</v>
      </c>
      <c r="N205" s="116" t="s">
        <v>470</v>
      </c>
      <c r="O205" s="48" t="s">
        <v>165</v>
      </c>
    </row>
    <row r="206" spans="1:15" s="48" customFormat="1" outlineLevel="1">
      <c r="A206" s="3"/>
      <c r="B206" s="1" t="str">
        <f t="shared" si="12"/>
        <v/>
      </c>
      <c r="C206" s="204" t="s">
        <v>26</v>
      </c>
      <c r="F206" s="43"/>
      <c r="G206" s="45"/>
      <c r="H206" s="4">
        <f>8-H205</f>
        <v>2</v>
      </c>
      <c r="I206" s="3" t="s">
        <v>8</v>
      </c>
      <c r="J206" s="107">
        <f>J205</f>
        <v>2203</v>
      </c>
      <c r="K206" s="45">
        <f>ROUND(H206*J206,0)</f>
        <v>4406</v>
      </c>
      <c r="L206" s="45">
        <f t="shared" si="10"/>
        <v>4406</v>
      </c>
      <c r="M206" s="45">
        <f t="shared" si="11"/>
        <v>0</v>
      </c>
      <c r="N206" s="116"/>
      <c r="O206" s="48" t="s">
        <v>165</v>
      </c>
    </row>
    <row r="207" spans="1:15" s="48" customFormat="1" outlineLevel="1">
      <c r="A207" s="3"/>
      <c r="B207" s="1" t="str">
        <f t="shared" si="12"/>
        <v/>
      </c>
      <c r="C207" s="47" t="s">
        <v>279</v>
      </c>
      <c r="F207" s="43"/>
      <c r="G207" s="45"/>
      <c r="H207" s="4"/>
      <c r="I207" s="3"/>
      <c r="J207" s="107"/>
      <c r="K207" s="45"/>
      <c r="L207" s="45"/>
      <c r="M207" s="45"/>
      <c r="N207" s="116"/>
      <c r="O207" s="48" t="s">
        <v>165</v>
      </c>
    </row>
    <row r="208" spans="1:15" s="48" customFormat="1" ht="12.1" customHeight="1" outlineLevel="1">
      <c r="A208" s="3"/>
      <c r="B208" s="1" t="str">
        <f t="shared" si="12"/>
        <v/>
      </c>
      <c r="C208" s="47"/>
      <c r="F208" s="43"/>
      <c r="G208" s="45"/>
      <c r="H208" s="4"/>
      <c r="I208" s="3"/>
      <c r="J208" s="107"/>
      <c r="K208" s="45"/>
      <c r="L208" s="45"/>
      <c r="M208" s="45"/>
      <c r="N208" s="116"/>
      <c r="O208" s="48" t="s">
        <v>165</v>
      </c>
    </row>
    <row r="209" spans="1:15" s="48" customFormat="1" ht="105.65" customHeight="1" outlineLevel="1">
      <c r="A209" s="1">
        <v>318</v>
      </c>
      <c r="B209" s="1" t="str">
        <f t="shared" si="12"/>
        <v>IVF318</v>
      </c>
      <c r="C209" s="201" t="s">
        <v>62</v>
      </c>
      <c r="D209" s="1">
        <v>70</v>
      </c>
      <c r="E209" s="46" t="s">
        <v>12</v>
      </c>
      <c r="F209" s="5">
        <v>429</v>
      </c>
      <c r="G209" s="45">
        <f>ROUND(D209*F209,0)</f>
        <v>30030</v>
      </c>
      <c r="H209" s="4">
        <v>70</v>
      </c>
      <c r="I209" s="3" t="s">
        <v>12</v>
      </c>
      <c r="J209" s="107">
        <f>F209</f>
        <v>429</v>
      </c>
      <c r="K209" s="45">
        <f>ROUND(H209*J209,0)</f>
        <v>30030</v>
      </c>
      <c r="L209" s="45">
        <f t="shared" si="10"/>
        <v>0</v>
      </c>
      <c r="M209" s="45">
        <f t="shared" si="11"/>
        <v>0</v>
      </c>
      <c r="N209" s="116" t="s">
        <v>469</v>
      </c>
      <c r="O209" s="48" t="s">
        <v>165</v>
      </c>
    </row>
    <row r="210" spans="1:15" s="48" customFormat="1" outlineLevel="1">
      <c r="A210" s="3"/>
      <c r="B210" s="1" t="str">
        <f t="shared" si="12"/>
        <v/>
      </c>
      <c r="C210" s="204" t="s">
        <v>26</v>
      </c>
      <c r="F210" s="43"/>
      <c r="G210" s="45"/>
      <c r="H210" s="4">
        <v>9</v>
      </c>
      <c r="I210" s="3" t="s">
        <v>12</v>
      </c>
      <c r="J210" s="107">
        <v>429</v>
      </c>
      <c r="K210" s="45">
        <f>ROUND(H210*J210,0)</f>
        <v>3861</v>
      </c>
      <c r="L210" s="45">
        <f t="shared" si="10"/>
        <v>3861</v>
      </c>
      <c r="M210" s="45">
        <f t="shared" si="11"/>
        <v>0</v>
      </c>
      <c r="N210" s="116"/>
      <c r="O210" s="48" t="s">
        <v>165</v>
      </c>
    </row>
    <row r="211" spans="1:15" s="48" customFormat="1" outlineLevel="1">
      <c r="A211" s="3"/>
      <c r="B211" s="1" t="str">
        <f t="shared" si="12"/>
        <v/>
      </c>
      <c r="C211" s="47" t="s">
        <v>249</v>
      </c>
      <c r="F211" s="43"/>
      <c r="G211" s="45"/>
      <c r="H211" s="4"/>
      <c r="I211" s="3"/>
      <c r="J211" s="107"/>
      <c r="K211" s="45"/>
      <c r="L211" s="45"/>
      <c r="M211" s="45"/>
      <c r="N211" s="116"/>
      <c r="O211" s="48" t="s">
        <v>165</v>
      </c>
    </row>
    <row r="212" spans="1:15" s="48" customFormat="1" ht="12.1" customHeight="1" outlineLevel="1">
      <c r="A212" s="3"/>
      <c r="B212" s="1" t="str">
        <f t="shared" si="12"/>
        <v/>
      </c>
      <c r="C212" s="47"/>
      <c r="F212" s="43"/>
      <c r="G212" s="45"/>
      <c r="H212" s="4"/>
      <c r="I212" s="3"/>
      <c r="J212" s="107"/>
      <c r="K212" s="45"/>
      <c r="L212" s="45"/>
      <c r="M212" s="45"/>
      <c r="N212" s="116"/>
      <c r="O212" s="48" t="s">
        <v>165</v>
      </c>
    </row>
    <row r="213" spans="1:15" s="48" customFormat="1" ht="120.75" customHeight="1" outlineLevel="1">
      <c r="A213" s="1">
        <v>319</v>
      </c>
      <c r="B213" s="1" t="str">
        <f t="shared" si="12"/>
        <v>IVF319</v>
      </c>
      <c r="C213" s="201" t="s">
        <v>342</v>
      </c>
      <c r="D213" s="1">
        <v>80</v>
      </c>
      <c r="E213" s="46" t="s">
        <v>12</v>
      </c>
      <c r="F213" s="5">
        <v>1310</v>
      </c>
      <c r="G213" s="45">
        <f>ROUND(D213*F213,0)</f>
        <v>104800</v>
      </c>
      <c r="H213" s="4">
        <v>80</v>
      </c>
      <c r="I213" s="3" t="s">
        <v>12</v>
      </c>
      <c r="J213" s="107">
        <f>F213</f>
        <v>1310</v>
      </c>
      <c r="K213" s="45">
        <f>ROUND(H213*J213,0)</f>
        <v>104800</v>
      </c>
      <c r="L213" s="45">
        <f t="shared" si="10"/>
        <v>0</v>
      </c>
      <c r="M213" s="45">
        <f t="shared" si="11"/>
        <v>0</v>
      </c>
      <c r="N213" s="116" t="s">
        <v>468</v>
      </c>
      <c r="O213" s="48" t="s">
        <v>165</v>
      </c>
    </row>
    <row r="214" spans="1:15" s="48" customFormat="1" outlineLevel="1">
      <c r="A214" s="3"/>
      <c r="B214" s="1" t="str">
        <f t="shared" si="12"/>
        <v/>
      </c>
      <c r="C214" s="204" t="s">
        <v>26</v>
      </c>
      <c r="F214" s="43"/>
      <c r="G214" s="45"/>
      <c r="H214" s="4">
        <v>22.5</v>
      </c>
      <c r="I214" s="3" t="s">
        <v>12</v>
      </c>
      <c r="J214" s="107">
        <f>J213</f>
        <v>1310</v>
      </c>
      <c r="K214" s="45">
        <f>ROUND(H214*J214,0)</f>
        <v>29475</v>
      </c>
      <c r="L214" s="45">
        <f t="shared" si="10"/>
        <v>29475</v>
      </c>
      <c r="M214" s="45">
        <f t="shared" si="11"/>
        <v>0</v>
      </c>
      <c r="N214" s="116"/>
      <c r="O214" s="48" t="s">
        <v>165</v>
      </c>
    </row>
    <row r="215" spans="1:15" s="48" customFormat="1" outlineLevel="1">
      <c r="A215" s="3"/>
      <c r="B215" s="1" t="str">
        <f t="shared" si="12"/>
        <v/>
      </c>
      <c r="C215" s="47" t="s">
        <v>249</v>
      </c>
      <c r="F215" s="43"/>
      <c r="G215" s="45"/>
      <c r="H215" s="4"/>
      <c r="I215" s="3"/>
      <c r="J215" s="107"/>
      <c r="K215" s="45"/>
      <c r="L215" s="45"/>
      <c r="M215" s="45"/>
      <c r="N215" s="116"/>
      <c r="O215" s="48" t="s">
        <v>165</v>
      </c>
    </row>
    <row r="216" spans="1:15" s="48" customFormat="1" ht="12.1" customHeight="1" outlineLevel="1">
      <c r="A216" s="3"/>
      <c r="B216" s="1" t="str">
        <f t="shared" si="12"/>
        <v/>
      </c>
      <c r="C216" s="47"/>
      <c r="F216" s="43"/>
      <c r="G216" s="45"/>
      <c r="H216" s="4"/>
      <c r="I216" s="3"/>
      <c r="J216" s="107"/>
      <c r="K216" s="45"/>
      <c r="L216" s="45"/>
      <c r="M216" s="45"/>
      <c r="N216" s="116"/>
      <c r="O216" s="48" t="s">
        <v>165</v>
      </c>
    </row>
    <row r="217" spans="1:15" s="48" customFormat="1" ht="194.95" customHeight="1" outlineLevel="1">
      <c r="A217" s="1">
        <v>321</v>
      </c>
      <c r="B217" s="1" t="str">
        <f t="shared" si="12"/>
        <v>IVF321</v>
      </c>
      <c r="C217" s="201" t="s">
        <v>63</v>
      </c>
      <c r="D217" s="1">
        <v>20</v>
      </c>
      <c r="E217" s="46" t="s">
        <v>8</v>
      </c>
      <c r="F217" s="5">
        <v>20584</v>
      </c>
      <c r="G217" s="45">
        <f>ROUND(D217*F217,0)</f>
        <v>411680</v>
      </c>
      <c r="H217" s="4">
        <f>D217</f>
        <v>20</v>
      </c>
      <c r="I217" s="3" t="s">
        <v>8</v>
      </c>
      <c r="J217" s="107">
        <f>F217</f>
        <v>20584</v>
      </c>
      <c r="K217" s="45">
        <f>ROUND(H217*J217,0)</f>
        <v>411680</v>
      </c>
      <c r="L217" s="45">
        <f t="shared" si="10"/>
        <v>0</v>
      </c>
      <c r="M217" s="45">
        <f t="shared" si="11"/>
        <v>0</v>
      </c>
      <c r="N217" s="371" t="s">
        <v>302</v>
      </c>
      <c r="O217" s="48" t="s">
        <v>165</v>
      </c>
    </row>
    <row r="218" spans="1:15" s="48" customFormat="1" outlineLevel="1">
      <c r="A218" s="3"/>
      <c r="B218" s="1" t="str">
        <f t="shared" si="12"/>
        <v/>
      </c>
      <c r="C218" s="204" t="s">
        <v>26</v>
      </c>
      <c r="F218" s="43"/>
      <c r="G218" s="45"/>
      <c r="H218" s="4">
        <v>12</v>
      </c>
      <c r="I218" s="3" t="s">
        <v>8</v>
      </c>
      <c r="J218" s="107">
        <f>F217</f>
        <v>20584</v>
      </c>
      <c r="K218" s="45">
        <f>ROUND(H218*J218,0)</f>
        <v>247008</v>
      </c>
      <c r="L218" s="45">
        <f t="shared" si="10"/>
        <v>247008</v>
      </c>
      <c r="M218" s="45">
        <f t="shared" si="11"/>
        <v>0</v>
      </c>
      <c r="N218" s="371"/>
      <c r="O218" s="48" t="s">
        <v>165</v>
      </c>
    </row>
    <row r="219" spans="1:15" s="48" customFormat="1" ht="12.1" customHeight="1" outlineLevel="1">
      <c r="A219" s="3"/>
      <c r="B219" s="1"/>
      <c r="C219" s="204"/>
      <c r="F219" s="43"/>
      <c r="G219" s="45"/>
      <c r="H219" s="4"/>
      <c r="I219" s="3"/>
      <c r="J219" s="107"/>
      <c r="K219" s="45"/>
      <c r="L219" s="45"/>
      <c r="M219" s="45"/>
      <c r="N219" s="116"/>
      <c r="O219" s="48" t="s">
        <v>165</v>
      </c>
    </row>
    <row r="220" spans="1:15" s="48" customFormat="1" ht="164.4" customHeight="1" outlineLevel="1">
      <c r="A220" s="1">
        <v>324</v>
      </c>
      <c r="B220" s="1" t="str">
        <f t="shared" ref="B220:B252" si="13">IF(ISBLANK(A220), "","IVF"&amp;A220)</f>
        <v>IVF324</v>
      </c>
      <c r="C220" s="201" t="s">
        <v>343</v>
      </c>
      <c r="D220" s="1">
        <v>2</v>
      </c>
      <c r="E220" s="46" t="s">
        <v>8</v>
      </c>
      <c r="F220" s="5">
        <v>22283</v>
      </c>
      <c r="G220" s="45">
        <f>ROUND(D220*F220,0)</f>
        <v>44566</v>
      </c>
      <c r="H220" s="4">
        <v>2</v>
      </c>
      <c r="I220" s="3" t="s">
        <v>8</v>
      </c>
      <c r="J220" s="107">
        <f>F220</f>
        <v>22283</v>
      </c>
      <c r="K220" s="45">
        <f>ROUND(H220*J220,0)</f>
        <v>44566</v>
      </c>
      <c r="L220" s="45">
        <f t="shared" si="10"/>
        <v>0</v>
      </c>
      <c r="M220" s="45">
        <f t="shared" si="11"/>
        <v>0</v>
      </c>
      <c r="N220" s="116" t="s">
        <v>467</v>
      </c>
      <c r="O220" s="48" t="s">
        <v>165</v>
      </c>
    </row>
    <row r="221" spans="1:15" s="48" customFormat="1" outlineLevel="1">
      <c r="A221" s="3"/>
      <c r="B221" s="1" t="str">
        <f t="shared" si="13"/>
        <v/>
      </c>
      <c r="C221" s="204" t="s">
        <v>26</v>
      </c>
      <c r="F221" s="43"/>
      <c r="G221" s="45"/>
      <c r="H221" s="4">
        <v>2</v>
      </c>
      <c r="I221" s="3" t="s">
        <v>8</v>
      </c>
      <c r="J221" s="107">
        <f>J220</f>
        <v>22283</v>
      </c>
      <c r="K221" s="45">
        <f>ROUND(H221*J221,0)</f>
        <v>44566</v>
      </c>
      <c r="L221" s="45">
        <f t="shared" si="10"/>
        <v>44566</v>
      </c>
      <c r="M221" s="45">
        <f t="shared" si="11"/>
        <v>0</v>
      </c>
      <c r="N221" s="116"/>
      <c r="O221" s="48" t="s">
        <v>165</v>
      </c>
    </row>
    <row r="222" spans="1:15" s="48" customFormat="1" outlineLevel="1">
      <c r="A222" s="3"/>
      <c r="B222" s="1" t="str">
        <f t="shared" si="13"/>
        <v/>
      </c>
      <c r="C222" s="47" t="s">
        <v>250</v>
      </c>
      <c r="F222" s="43"/>
      <c r="G222" s="45"/>
      <c r="H222" s="4"/>
      <c r="I222" s="3"/>
      <c r="J222" s="107"/>
      <c r="K222" s="45"/>
      <c r="L222" s="45"/>
      <c r="M222" s="45"/>
      <c r="N222" s="116"/>
      <c r="O222" s="48" t="s">
        <v>165</v>
      </c>
    </row>
    <row r="223" spans="1:15" s="48" customFormat="1" ht="12.1" customHeight="1" outlineLevel="1">
      <c r="A223" s="3"/>
      <c r="B223" s="1" t="str">
        <f t="shared" si="13"/>
        <v/>
      </c>
      <c r="C223" s="47"/>
      <c r="F223" s="43"/>
      <c r="G223" s="45"/>
      <c r="H223" s="4"/>
      <c r="I223" s="3"/>
      <c r="J223" s="107"/>
      <c r="K223" s="45"/>
      <c r="L223" s="45"/>
      <c r="M223" s="45"/>
      <c r="N223" s="116"/>
      <c r="O223" s="48" t="s">
        <v>165</v>
      </c>
    </row>
    <row r="224" spans="1:15" s="48" customFormat="1" ht="91.55" customHeight="1" outlineLevel="1">
      <c r="A224" s="1">
        <v>325</v>
      </c>
      <c r="B224" s="1" t="str">
        <f t="shared" si="13"/>
        <v>IVF325</v>
      </c>
      <c r="C224" s="201" t="s">
        <v>64</v>
      </c>
      <c r="D224" s="1">
        <v>200</v>
      </c>
      <c r="E224" s="46" t="s">
        <v>12</v>
      </c>
      <c r="F224" s="5">
        <v>329</v>
      </c>
      <c r="G224" s="45">
        <f>ROUND(D224*F224,0)</f>
        <v>65800</v>
      </c>
      <c r="H224" s="4">
        <v>200</v>
      </c>
      <c r="I224" s="3" t="s">
        <v>12</v>
      </c>
      <c r="J224" s="107">
        <f>F224</f>
        <v>329</v>
      </c>
      <c r="K224" s="45">
        <f>ROUND(H224*J224,0)</f>
        <v>65800</v>
      </c>
      <c r="L224" s="45">
        <f t="shared" si="10"/>
        <v>0</v>
      </c>
      <c r="M224" s="45">
        <f t="shared" si="11"/>
        <v>0</v>
      </c>
      <c r="N224" s="116" t="s">
        <v>466</v>
      </c>
      <c r="O224" s="48" t="s">
        <v>165</v>
      </c>
    </row>
    <row r="225" spans="1:15" s="48" customFormat="1" outlineLevel="1">
      <c r="A225" s="3"/>
      <c r="B225" s="1" t="str">
        <f t="shared" si="13"/>
        <v/>
      </c>
      <c r="C225" s="204" t="s">
        <v>26</v>
      </c>
      <c r="F225" s="43"/>
      <c r="G225" s="45"/>
      <c r="H225" s="4">
        <v>17.3</v>
      </c>
      <c r="I225" s="3" t="s">
        <v>12</v>
      </c>
      <c r="J225" s="107">
        <f>J224</f>
        <v>329</v>
      </c>
      <c r="K225" s="45">
        <f>ROUND(H225*J225,0)</f>
        <v>5692</v>
      </c>
      <c r="L225" s="45">
        <f t="shared" ref="L225:L251" si="14">ROUND(IF(K225&gt;G225,K225-G225,0),0)</f>
        <v>5692</v>
      </c>
      <c r="M225" s="45">
        <f t="shared" ref="M225:M251" si="15">ROUND(IF(K225&lt;G225,G225-K225,0),0)</f>
        <v>0</v>
      </c>
      <c r="N225" s="116"/>
      <c r="O225" s="48" t="s">
        <v>165</v>
      </c>
    </row>
    <row r="226" spans="1:15" s="48" customFormat="1" outlineLevel="1">
      <c r="A226" s="3"/>
      <c r="B226" s="1" t="str">
        <f t="shared" si="13"/>
        <v/>
      </c>
      <c r="C226" s="47" t="s">
        <v>249</v>
      </c>
      <c r="F226" s="43"/>
      <c r="G226" s="45"/>
      <c r="H226" s="4"/>
      <c r="I226" s="3"/>
      <c r="J226" s="107"/>
      <c r="K226" s="45"/>
      <c r="L226" s="45"/>
      <c r="M226" s="45"/>
      <c r="N226" s="116"/>
      <c r="O226" s="48" t="s">
        <v>165</v>
      </c>
    </row>
    <row r="227" spans="1:15" s="48" customFormat="1" ht="12.1" customHeight="1" outlineLevel="1">
      <c r="A227" s="3"/>
      <c r="B227" s="1" t="str">
        <f t="shared" si="13"/>
        <v/>
      </c>
      <c r="C227" s="47"/>
      <c r="F227" s="43"/>
      <c r="G227" s="45"/>
      <c r="H227" s="4"/>
      <c r="I227" s="3"/>
      <c r="J227" s="107"/>
      <c r="K227" s="45"/>
      <c r="L227" s="45"/>
      <c r="M227" s="45"/>
      <c r="N227" s="116"/>
      <c r="O227" s="48" t="s">
        <v>165</v>
      </c>
    </row>
    <row r="228" spans="1:15" s="48" customFormat="1" ht="60.8" customHeight="1" outlineLevel="1">
      <c r="A228" s="1">
        <v>326</v>
      </c>
      <c r="B228" s="1" t="str">
        <f t="shared" si="13"/>
        <v>IVF326</v>
      </c>
      <c r="C228" s="201" t="s">
        <v>65</v>
      </c>
      <c r="D228" s="1">
        <v>100</v>
      </c>
      <c r="E228" s="46" t="s">
        <v>12</v>
      </c>
      <c r="F228" s="5">
        <v>163</v>
      </c>
      <c r="G228" s="45">
        <f>ROUND(D228*F228,0)</f>
        <v>16300</v>
      </c>
      <c r="H228" s="4">
        <v>0</v>
      </c>
      <c r="I228" s="3" t="s">
        <v>12</v>
      </c>
      <c r="J228" s="107">
        <f>F228</f>
        <v>163</v>
      </c>
      <c r="K228" s="45"/>
      <c r="L228" s="45">
        <f t="shared" si="14"/>
        <v>0</v>
      </c>
      <c r="M228" s="45">
        <f t="shared" si="15"/>
        <v>16300</v>
      </c>
      <c r="N228" s="116" t="s">
        <v>293</v>
      </c>
      <c r="O228" s="48" t="s">
        <v>165</v>
      </c>
    </row>
    <row r="229" spans="1:15" s="48" customFormat="1" ht="12.1" customHeight="1" outlineLevel="1">
      <c r="A229" s="3"/>
      <c r="B229" s="1" t="str">
        <f t="shared" si="13"/>
        <v/>
      </c>
      <c r="F229" s="43"/>
      <c r="G229" s="45"/>
      <c r="H229" s="4"/>
      <c r="I229" s="3"/>
      <c r="J229" s="107"/>
      <c r="K229" s="45"/>
      <c r="L229" s="45">
        <f t="shared" si="14"/>
        <v>0</v>
      </c>
      <c r="M229" s="45">
        <f t="shared" si="15"/>
        <v>0</v>
      </c>
      <c r="N229" s="116"/>
      <c r="O229" s="48" t="s">
        <v>165</v>
      </c>
    </row>
    <row r="230" spans="1:15" s="48" customFormat="1" ht="123.8" customHeight="1" outlineLevel="1">
      <c r="A230" s="1">
        <v>327</v>
      </c>
      <c r="B230" s="1" t="str">
        <f t="shared" si="13"/>
        <v>IVF327</v>
      </c>
      <c r="C230" s="201" t="s">
        <v>66</v>
      </c>
      <c r="D230" s="1">
        <v>200</v>
      </c>
      <c r="E230" s="46" t="s">
        <v>12</v>
      </c>
      <c r="F230" s="5">
        <v>902</v>
      </c>
      <c r="G230" s="45">
        <f>ROUND(D230*F230,0)</f>
        <v>180400</v>
      </c>
      <c r="H230" s="4">
        <v>200</v>
      </c>
      <c r="I230" s="3" t="s">
        <v>12</v>
      </c>
      <c r="J230" s="107">
        <f>F230</f>
        <v>902</v>
      </c>
      <c r="K230" s="45">
        <f>ROUND(H230*J230,0)</f>
        <v>180400</v>
      </c>
      <c r="L230" s="45">
        <f t="shared" si="14"/>
        <v>0</v>
      </c>
      <c r="M230" s="45">
        <f t="shared" si="15"/>
        <v>0</v>
      </c>
      <c r="N230" s="201" t="s">
        <v>465</v>
      </c>
      <c r="O230" s="48" t="s">
        <v>165</v>
      </c>
    </row>
    <row r="231" spans="1:15" s="48" customFormat="1" outlineLevel="1">
      <c r="A231" s="3"/>
      <c r="B231" s="1" t="str">
        <f t="shared" si="13"/>
        <v/>
      </c>
      <c r="C231" s="204" t="s">
        <v>26</v>
      </c>
      <c r="F231" s="43"/>
      <c r="G231" s="45"/>
      <c r="H231" s="4">
        <f>207.3-200</f>
        <v>7.3000000000000114</v>
      </c>
      <c r="I231" s="3" t="s">
        <v>12</v>
      </c>
      <c r="J231" s="107">
        <f>J230</f>
        <v>902</v>
      </c>
      <c r="K231" s="45">
        <f>ROUND(H231*J231,0)</f>
        <v>6585</v>
      </c>
      <c r="L231" s="45">
        <f t="shared" si="14"/>
        <v>6585</v>
      </c>
      <c r="M231" s="45">
        <f t="shared" si="15"/>
        <v>0</v>
      </c>
      <c r="N231" s="201"/>
      <c r="O231" s="48" t="s">
        <v>165</v>
      </c>
    </row>
    <row r="232" spans="1:15" s="48" customFormat="1" outlineLevel="1">
      <c r="A232" s="3"/>
      <c r="B232" s="1" t="str">
        <f t="shared" si="13"/>
        <v/>
      </c>
      <c r="C232" s="47" t="s">
        <v>250</v>
      </c>
      <c r="F232" s="43"/>
      <c r="G232" s="45"/>
      <c r="H232" s="4"/>
      <c r="I232" s="3"/>
      <c r="J232" s="107"/>
      <c r="K232" s="45"/>
      <c r="L232" s="45"/>
      <c r="M232" s="45"/>
      <c r="N232" s="201"/>
      <c r="O232" s="48" t="s">
        <v>165</v>
      </c>
    </row>
    <row r="233" spans="1:15" s="48" customFormat="1" ht="12.1" customHeight="1" outlineLevel="1">
      <c r="A233" s="3"/>
      <c r="B233" s="1" t="str">
        <f t="shared" si="13"/>
        <v/>
      </c>
      <c r="C233" s="47"/>
      <c r="F233" s="43"/>
      <c r="G233" s="45"/>
      <c r="H233" s="4"/>
      <c r="I233" s="3"/>
      <c r="J233" s="107"/>
      <c r="K233" s="45"/>
      <c r="L233" s="45"/>
      <c r="M233" s="45"/>
      <c r="N233" s="201"/>
      <c r="O233" s="48" t="s">
        <v>165</v>
      </c>
    </row>
    <row r="234" spans="1:15" s="48" customFormat="1" ht="137.25" customHeight="1" outlineLevel="1">
      <c r="A234" s="1">
        <v>328</v>
      </c>
      <c r="B234" s="1" t="str">
        <f t="shared" si="13"/>
        <v>IVF328</v>
      </c>
      <c r="C234" s="201" t="s">
        <v>67</v>
      </c>
      <c r="D234" s="1">
        <v>80</v>
      </c>
      <c r="E234" s="46" t="s">
        <v>12</v>
      </c>
      <c r="F234" s="5">
        <v>83</v>
      </c>
      <c r="G234" s="45">
        <f>ROUND(D234*F234,0)</f>
        <v>6640</v>
      </c>
      <c r="H234" s="4">
        <v>80</v>
      </c>
      <c r="I234" s="3" t="s">
        <v>12</v>
      </c>
      <c r="J234" s="107">
        <f>F234</f>
        <v>83</v>
      </c>
      <c r="K234" s="45">
        <f>ROUND(H234*J234,0)</f>
        <v>6640</v>
      </c>
      <c r="L234" s="45">
        <f t="shared" si="14"/>
        <v>0</v>
      </c>
      <c r="M234" s="45">
        <f t="shared" si="15"/>
        <v>0</v>
      </c>
      <c r="N234" s="201" t="s">
        <v>464</v>
      </c>
      <c r="O234" s="48" t="s">
        <v>165</v>
      </c>
    </row>
    <row r="235" spans="1:15" s="48" customFormat="1" outlineLevel="1">
      <c r="A235" s="3"/>
      <c r="B235" s="1" t="str">
        <f t="shared" si="13"/>
        <v/>
      </c>
      <c r="C235" s="204" t="s">
        <v>26</v>
      </c>
      <c r="F235" s="43"/>
      <c r="G235" s="45"/>
      <c r="H235" s="4">
        <f>450.6-80</f>
        <v>370.6</v>
      </c>
      <c r="I235" s="3" t="s">
        <v>12</v>
      </c>
      <c r="J235" s="107">
        <f>J234</f>
        <v>83</v>
      </c>
      <c r="K235" s="45">
        <f>ROUND(H235*J235,0)</f>
        <v>30760</v>
      </c>
      <c r="L235" s="45">
        <f t="shared" si="14"/>
        <v>30760</v>
      </c>
      <c r="M235" s="45">
        <f t="shared" si="15"/>
        <v>0</v>
      </c>
      <c r="N235" s="116"/>
      <c r="O235" s="48" t="s">
        <v>165</v>
      </c>
    </row>
    <row r="236" spans="1:15" s="48" customFormat="1" outlineLevel="1">
      <c r="A236" s="3"/>
      <c r="B236" s="1" t="str">
        <f t="shared" si="13"/>
        <v/>
      </c>
      <c r="C236" s="47" t="s">
        <v>250</v>
      </c>
      <c r="F236" s="43"/>
      <c r="G236" s="45"/>
      <c r="H236" s="4"/>
      <c r="I236" s="3"/>
      <c r="J236" s="107"/>
      <c r="K236" s="45"/>
      <c r="L236" s="45"/>
      <c r="M236" s="45"/>
      <c r="N236" s="116"/>
      <c r="O236" s="48" t="s">
        <v>165</v>
      </c>
    </row>
    <row r="237" spans="1:15" s="48" customFormat="1" ht="12.1" customHeight="1" outlineLevel="1">
      <c r="A237" s="3"/>
      <c r="B237" s="1" t="str">
        <f t="shared" si="13"/>
        <v/>
      </c>
      <c r="C237" s="47"/>
      <c r="F237" s="43"/>
      <c r="G237" s="45"/>
      <c r="H237" s="4"/>
      <c r="I237" s="3"/>
      <c r="J237" s="107"/>
      <c r="K237" s="45"/>
      <c r="L237" s="45"/>
      <c r="M237" s="45"/>
      <c r="N237" s="116"/>
      <c r="O237" s="48" t="s">
        <v>165</v>
      </c>
    </row>
    <row r="238" spans="1:15" s="48" customFormat="1" ht="196.5" customHeight="1" outlineLevel="1">
      <c r="A238" s="1">
        <v>329</v>
      </c>
      <c r="B238" s="1" t="str">
        <f t="shared" si="13"/>
        <v>IVF329</v>
      </c>
      <c r="C238" s="201" t="s">
        <v>344</v>
      </c>
      <c r="D238" s="1">
        <v>120</v>
      </c>
      <c r="E238" s="46" t="s">
        <v>12</v>
      </c>
      <c r="F238" s="5">
        <v>1207</v>
      </c>
      <c r="G238" s="45">
        <f>ROUND(D238*F238,0)</f>
        <v>144840</v>
      </c>
      <c r="H238" s="4">
        <v>120</v>
      </c>
      <c r="I238" s="3" t="s">
        <v>12</v>
      </c>
      <c r="J238" s="107">
        <f>F238</f>
        <v>1207</v>
      </c>
      <c r="K238" s="45">
        <f>ROUND(H238*J238,0)</f>
        <v>144840</v>
      </c>
      <c r="L238" s="45">
        <f t="shared" si="14"/>
        <v>0</v>
      </c>
      <c r="M238" s="45">
        <f t="shared" si="15"/>
        <v>0</v>
      </c>
      <c r="N238" s="116" t="s">
        <v>482</v>
      </c>
      <c r="O238" s="48" t="s">
        <v>165</v>
      </c>
    </row>
    <row r="239" spans="1:15" s="48" customFormat="1" outlineLevel="1">
      <c r="A239" s="3"/>
      <c r="B239" s="1" t="str">
        <f t="shared" si="13"/>
        <v/>
      </c>
      <c r="C239" s="204" t="s">
        <v>26</v>
      </c>
      <c r="F239" s="43"/>
      <c r="G239" s="45"/>
      <c r="H239" s="4">
        <f>180-H238</f>
        <v>60</v>
      </c>
      <c r="I239" s="3" t="s">
        <v>12</v>
      </c>
      <c r="J239" s="107">
        <f>J238</f>
        <v>1207</v>
      </c>
      <c r="K239" s="45">
        <f>ROUND(H239*J239,0)</f>
        <v>72420</v>
      </c>
      <c r="L239" s="45">
        <f t="shared" si="14"/>
        <v>72420</v>
      </c>
      <c r="M239" s="45">
        <f t="shared" si="15"/>
        <v>0</v>
      </c>
      <c r="N239" s="116"/>
      <c r="O239" s="48" t="s">
        <v>165</v>
      </c>
    </row>
    <row r="240" spans="1:15" s="48" customFormat="1" outlineLevel="1">
      <c r="A240" s="3"/>
      <c r="B240" s="1" t="str">
        <f t="shared" si="13"/>
        <v/>
      </c>
      <c r="C240" s="47" t="s">
        <v>250</v>
      </c>
      <c r="F240" s="43"/>
      <c r="G240" s="45"/>
      <c r="H240" s="4"/>
      <c r="I240" s="3"/>
      <c r="J240" s="107"/>
      <c r="K240" s="45"/>
      <c r="L240" s="45"/>
      <c r="M240" s="45"/>
      <c r="N240" s="116"/>
      <c r="O240" s="48" t="s">
        <v>165</v>
      </c>
    </row>
    <row r="241" spans="1:15" s="48" customFormat="1" ht="12.1" customHeight="1" outlineLevel="1">
      <c r="A241" s="3"/>
      <c r="B241" s="1" t="str">
        <f t="shared" si="13"/>
        <v/>
      </c>
      <c r="C241" s="47"/>
      <c r="F241" s="43"/>
      <c r="G241" s="45"/>
      <c r="H241" s="4"/>
      <c r="I241" s="3"/>
      <c r="J241" s="107"/>
      <c r="K241" s="45"/>
      <c r="L241" s="45"/>
      <c r="M241" s="45"/>
      <c r="N241" s="116"/>
      <c r="O241" s="48" t="s">
        <v>165</v>
      </c>
    </row>
    <row r="242" spans="1:15" s="48" customFormat="1" ht="212.95" customHeight="1" outlineLevel="1">
      <c r="A242" s="1">
        <v>330</v>
      </c>
      <c r="B242" s="1" t="str">
        <f t="shared" si="13"/>
        <v>IVF330</v>
      </c>
      <c r="C242" s="201" t="s">
        <v>345</v>
      </c>
      <c r="D242" s="1">
        <v>70</v>
      </c>
      <c r="E242" s="46" t="s">
        <v>12</v>
      </c>
      <c r="F242" s="5">
        <v>722</v>
      </c>
      <c r="G242" s="45">
        <f>ROUND(D242*F242,0)</f>
        <v>50540</v>
      </c>
      <c r="H242" s="4">
        <v>70</v>
      </c>
      <c r="I242" s="3" t="s">
        <v>12</v>
      </c>
      <c r="J242" s="107">
        <f>F242</f>
        <v>722</v>
      </c>
      <c r="K242" s="45">
        <f>ROUND(H242*J242,0)</f>
        <v>50540</v>
      </c>
      <c r="L242" s="45">
        <f t="shared" si="14"/>
        <v>0</v>
      </c>
      <c r="M242" s="45">
        <f t="shared" si="15"/>
        <v>0</v>
      </c>
      <c r="N242" s="116" t="s">
        <v>482</v>
      </c>
      <c r="O242" s="48" t="s">
        <v>165</v>
      </c>
    </row>
    <row r="243" spans="1:15" s="48" customFormat="1" outlineLevel="1">
      <c r="A243" s="3"/>
      <c r="B243" s="1" t="str">
        <f t="shared" si="13"/>
        <v/>
      </c>
      <c r="C243" s="204" t="s">
        <v>26</v>
      </c>
      <c r="F243" s="43"/>
      <c r="G243" s="45"/>
      <c r="H243" s="4">
        <f>180-H242</f>
        <v>110</v>
      </c>
      <c r="I243" s="3" t="s">
        <v>12</v>
      </c>
      <c r="J243" s="107">
        <f>J242</f>
        <v>722</v>
      </c>
      <c r="K243" s="45">
        <f>ROUND(H243*J243,0)</f>
        <v>79420</v>
      </c>
      <c r="L243" s="45">
        <f t="shared" si="14"/>
        <v>79420</v>
      </c>
      <c r="M243" s="45">
        <f t="shared" si="15"/>
        <v>0</v>
      </c>
      <c r="N243" s="116"/>
      <c r="O243" s="48" t="s">
        <v>165</v>
      </c>
    </row>
    <row r="244" spans="1:15" s="48" customFormat="1" outlineLevel="1">
      <c r="A244" s="3"/>
      <c r="B244" s="1" t="str">
        <f t="shared" si="13"/>
        <v/>
      </c>
      <c r="C244" s="47" t="s">
        <v>250</v>
      </c>
      <c r="F244" s="43"/>
      <c r="G244" s="45"/>
      <c r="H244" s="4"/>
      <c r="I244" s="3"/>
      <c r="J244" s="107"/>
      <c r="K244" s="45"/>
      <c r="L244" s="45"/>
      <c r="M244" s="45"/>
      <c r="N244" s="116"/>
      <c r="O244" s="48" t="s">
        <v>165</v>
      </c>
    </row>
    <row r="245" spans="1:15" s="48" customFormat="1" ht="12.1" customHeight="1" outlineLevel="1">
      <c r="A245" s="3"/>
      <c r="B245" s="1" t="str">
        <f t="shared" si="13"/>
        <v/>
      </c>
      <c r="C245" s="47"/>
      <c r="F245" s="43"/>
      <c r="G245" s="45"/>
      <c r="H245" s="4"/>
      <c r="I245" s="3"/>
      <c r="J245" s="107"/>
      <c r="K245" s="45"/>
      <c r="L245" s="45"/>
      <c r="M245" s="45"/>
      <c r="N245" s="116"/>
      <c r="O245" s="48" t="s">
        <v>165</v>
      </c>
    </row>
    <row r="246" spans="1:15" s="48" customFormat="1" ht="210.75" customHeight="1" outlineLevel="1">
      <c r="A246" s="1">
        <v>331</v>
      </c>
      <c r="B246" s="1" t="str">
        <f t="shared" si="13"/>
        <v>IVF331</v>
      </c>
      <c r="C246" s="201" t="s">
        <v>346</v>
      </c>
      <c r="D246" s="1">
        <v>100</v>
      </c>
      <c r="E246" s="46" t="s">
        <v>12</v>
      </c>
      <c r="F246" s="5">
        <v>1483</v>
      </c>
      <c r="G246" s="45">
        <f>ROUND(D246*F246,0)</f>
        <v>148300</v>
      </c>
      <c r="H246" s="4">
        <v>100</v>
      </c>
      <c r="I246" s="3" t="s">
        <v>12</v>
      </c>
      <c r="J246" s="107">
        <f>F246</f>
        <v>1483</v>
      </c>
      <c r="K246" s="45">
        <f>ROUND(H246*J246,0)</f>
        <v>148300</v>
      </c>
      <c r="L246" s="45">
        <f t="shared" si="14"/>
        <v>0</v>
      </c>
      <c r="M246" s="45">
        <f t="shared" si="15"/>
        <v>0</v>
      </c>
      <c r="N246" s="116" t="s">
        <v>483</v>
      </c>
      <c r="O246" s="48" t="s">
        <v>165</v>
      </c>
    </row>
    <row r="247" spans="1:15" s="48" customFormat="1" outlineLevel="1">
      <c r="A247" s="3"/>
      <c r="B247" s="1" t="str">
        <f t="shared" si="13"/>
        <v/>
      </c>
      <c r="C247" s="204" t="s">
        <v>26</v>
      </c>
      <c r="F247" s="43"/>
      <c r="G247" s="45"/>
      <c r="H247" s="4">
        <f>160.4-H246</f>
        <v>60.400000000000006</v>
      </c>
      <c r="I247" s="3" t="s">
        <v>12</v>
      </c>
      <c r="J247" s="107">
        <f>J246</f>
        <v>1483</v>
      </c>
      <c r="K247" s="45">
        <f>ROUND(H247*J247,0)</f>
        <v>89573</v>
      </c>
      <c r="L247" s="45">
        <f t="shared" si="14"/>
        <v>89573</v>
      </c>
      <c r="M247" s="45">
        <f t="shared" si="15"/>
        <v>0</v>
      </c>
      <c r="N247" s="116"/>
      <c r="O247" s="48" t="s">
        <v>165</v>
      </c>
    </row>
    <row r="248" spans="1:15" s="48" customFormat="1" outlineLevel="1">
      <c r="A248" s="3"/>
      <c r="B248" s="1" t="str">
        <f t="shared" si="13"/>
        <v/>
      </c>
      <c r="C248" s="47" t="s">
        <v>251</v>
      </c>
      <c r="F248" s="43"/>
      <c r="G248" s="45"/>
      <c r="H248" s="4"/>
      <c r="I248" s="3"/>
      <c r="J248" s="107"/>
      <c r="K248" s="45"/>
      <c r="L248" s="45"/>
      <c r="M248" s="45"/>
      <c r="N248" s="116"/>
      <c r="O248" s="48" t="s">
        <v>165</v>
      </c>
    </row>
    <row r="249" spans="1:15" s="48" customFormat="1" ht="12.1" customHeight="1" outlineLevel="1">
      <c r="A249" s="3"/>
      <c r="B249" s="1" t="str">
        <f t="shared" si="13"/>
        <v/>
      </c>
      <c r="F249" s="43"/>
      <c r="G249" s="45"/>
      <c r="H249" s="4"/>
      <c r="I249" s="3"/>
      <c r="J249" s="107"/>
      <c r="K249" s="45"/>
      <c r="L249" s="45">
        <f t="shared" si="14"/>
        <v>0</v>
      </c>
      <c r="M249" s="45">
        <f t="shared" si="15"/>
        <v>0</v>
      </c>
      <c r="N249" s="116"/>
      <c r="O249" s="48" t="s">
        <v>165</v>
      </c>
    </row>
    <row r="250" spans="1:15" s="48" customFormat="1" ht="85.1" customHeight="1" outlineLevel="1">
      <c r="A250" s="1">
        <v>336</v>
      </c>
      <c r="B250" s="1" t="str">
        <f t="shared" si="13"/>
        <v>IVF336</v>
      </c>
      <c r="C250" s="201" t="s">
        <v>68</v>
      </c>
      <c r="D250" s="1">
        <v>3</v>
      </c>
      <c r="E250" s="46" t="s">
        <v>8</v>
      </c>
      <c r="F250" s="5">
        <v>1540</v>
      </c>
      <c r="G250" s="45">
        <f>ROUND(D250*F250,0)</f>
        <v>4620</v>
      </c>
      <c r="H250" s="4">
        <v>2</v>
      </c>
      <c r="I250" s="3" t="s">
        <v>8</v>
      </c>
      <c r="J250" s="107">
        <f>F250</f>
        <v>1540</v>
      </c>
      <c r="K250" s="45"/>
      <c r="L250" s="45">
        <f t="shared" si="14"/>
        <v>0</v>
      </c>
      <c r="M250" s="45">
        <f t="shared" si="15"/>
        <v>4620</v>
      </c>
      <c r="N250" s="116" t="s">
        <v>303</v>
      </c>
      <c r="O250" s="48" t="s">
        <v>165</v>
      </c>
    </row>
    <row r="251" spans="1:15" s="48" customFormat="1" ht="12.1" customHeight="1" outlineLevel="1">
      <c r="A251" s="3"/>
      <c r="B251" s="1" t="str">
        <f t="shared" si="13"/>
        <v/>
      </c>
      <c r="F251" s="43"/>
      <c r="G251" s="45"/>
      <c r="H251" s="4"/>
      <c r="I251" s="3"/>
      <c r="J251" s="107"/>
      <c r="K251" s="45"/>
      <c r="L251" s="45">
        <f t="shared" si="14"/>
        <v>0</v>
      </c>
      <c r="M251" s="45">
        <f t="shared" si="15"/>
        <v>0</v>
      </c>
      <c r="N251" s="116"/>
      <c r="O251" s="48" t="s">
        <v>165</v>
      </c>
    </row>
    <row r="252" spans="1:15" s="48" customFormat="1" ht="19.899999999999999" customHeight="1">
      <c r="A252" s="3"/>
      <c r="B252" s="1" t="str">
        <f t="shared" si="13"/>
        <v/>
      </c>
      <c r="F252" s="43"/>
      <c r="G252" s="49">
        <f>ROUND(SUM(G135:G251),0)</f>
        <v>2544537</v>
      </c>
      <c r="H252" s="4"/>
      <c r="I252" s="3"/>
      <c r="J252" s="108" t="s">
        <v>28</v>
      </c>
      <c r="K252" s="49">
        <f>ROUND(SUM(K135:K251),0)</f>
        <v>4478941</v>
      </c>
      <c r="L252" s="49">
        <f>SUM(L135:L251)</f>
        <v>2169638</v>
      </c>
      <c r="M252" s="49">
        <f>SUM(M135:M251)</f>
        <v>235234</v>
      </c>
      <c r="N252" s="216"/>
    </row>
    <row r="253" spans="1:15" s="48" customFormat="1" ht="19.899999999999999" customHeight="1">
      <c r="A253" s="3"/>
      <c r="B253" s="1" t="str">
        <f t="shared" ref="B253:B293" si="16">IF(ISBLANK(A253), "","IVF"&amp;A253)</f>
        <v/>
      </c>
      <c r="C253" s="193" t="s">
        <v>32</v>
      </c>
      <c r="F253" s="43"/>
      <c r="G253" s="44"/>
      <c r="H253" s="4"/>
      <c r="I253" s="3"/>
      <c r="J253" s="107"/>
      <c r="K253" s="44"/>
      <c r="L253" s="45"/>
      <c r="M253" s="45"/>
      <c r="N253" s="116"/>
    </row>
    <row r="254" spans="1:15" s="48" customFormat="1" ht="211.6" customHeight="1" outlineLevel="1">
      <c r="A254" s="1">
        <v>346</v>
      </c>
      <c r="B254" s="1" t="str">
        <f t="shared" si="16"/>
        <v>IVF346</v>
      </c>
      <c r="C254" s="201" t="s">
        <v>347</v>
      </c>
      <c r="D254" s="1">
        <v>1</v>
      </c>
      <c r="E254" s="46" t="s">
        <v>8</v>
      </c>
      <c r="F254" s="5">
        <v>48000</v>
      </c>
      <c r="G254" s="45">
        <f>ROUND(D254*F254,0)</f>
        <v>48000</v>
      </c>
      <c r="H254" s="4">
        <f>D254</f>
        <v>1</v>
      </c>
      <c r="I254" s="3" t="s">
        <v>8</v>
      </c>
      <c r="J254" s="107">
        <f>F254</f>
        <v>48000</v>
      </c>
      <c r="K254" s="45">
        <f>ROUND(H254*J254,0)</f>
        <v>48000</v>
      </c>
      <c r="L254" s="45">
        <f>ROUND(IF(K254&gt;G254,K254-G254,0),0)</f>
        <v>0</v>
      </c>
      <c r="M254" s="45">
        <f>ROUND(IF(K254&lt;G254,G254-K254,0),0)</f>
        <v>0</v>
      </c>
      <c r="N254" s="367" t="s">
        <v>484</v>
      </c>
      <c r="O254" s="48" t="s">
        <v>168</v>
      </c>
    </row>
    <row r="255" spans="1:15" s="48" customFormat="1" outlineLevel="1">
      <c r="A255" s="3"/>
      <c r="B255" s="1" t="str">
        <f t="shared" si="16"/>
        <v/>
      </c>
      <c r="C255" s="204" t="s">
        <v>26</v>
      </c>
      <c r="F255" s="43"/>
      <c r="G255" s="45"/>
      <c r="H255" s="4">
        <v>2</v>
      </c>
      <c r="I255" s="3" t="s">
        <v>8</v>
      </c>
      <c r="J255" s="107">
        <f>F254</f>
        <v>48000</v>
      </c>
      <c r="K255" s="45">
        <f>ROUND(H255*J255,0)</f>
        <v>96000</v>
      </c>
      <c r="L255" s="45">
        <f t="shared" ref="L255:L321" si="17">ROUND(IF(K255&gt;G255,K255-G255,0),0)</f>
        <v>96000</v>
      </c>
      <c r="M255" s="45">
        <f t="shared" ref="M255:M321" si="18">ROUND(IF(K255&lt;G255,G255-K255,0),0)</f>
        <v>0</v>
      </c>
      <c r="N255" s="367"/>
      <c r="O255" s="48" t="s">
        <v>168</v>
      </c>
    </row>
    <row r="256" spans="1:15" s="48" customFormat="1" outlineLevel="1">
      <c r="A256" s="3"/>
      <c r="B256" s="1" t="str">
        <f t="shared" si="16"/>
        <v/>
      </c>
      <c r="C256" s="47" t="s">
        <v>252</v>
      </c>
      <c r="F256" s="43"/>
      <c r="G256" s="45"/>
      <c r="H256" s="4"/>
      <c r="I256" s="3"/>
      <c r="J256" s="107"/>
      <c r="K256" s="45"/>
      <c r="L256" s="45"/>
      <c r="M256" s="45"/>
      <c r="N256" s="116"/>
      <c r="O256" s="48" t="s">
        <v>168</v>
      </c>
    </row>
    <row r="257" spans="1:15" s="48" customFormat="1" ht="12.1" customHeight="1" outlineLevel="1">
      <c r="A257" s="3"/>
      <c r="B257" s="1" t="str">
        <f t="shared" si="16"/>
        <v/>
      </c>
      <c r="C257" s="47"/>
      <c r="F257" s="43"/>
      <c r="G257" s="45"/>
      <c r="H257" s="4"/>
      <c r="I257" s="3"/>
      <c r="J257" s="107"/>
      <c r="K257" s="45"/>
      <c r="L257" s="45"/>
      <c r="M257" s="45"/>
      <c r="N257" s="116"/>
      <c r="O257" s="48" t="s">
        <v>168</v>
      </c>
    </row>
    <row r="258" spans="1:15" s="48" customFormat="1" ht="215.35" customHeight="1" outlineLevel="1">
      <c r="A258" s="1">
        <v>347</v>
      </c>
      <c r="B258" s="1" t="str">
        <f t="shared" si="16"/>
        <v>IVF347</v>
      </c>
      <c r="C258" s="201" t="s">
        <v>348</v>
      </c>
      <c r="D258" s="1">
        <v>1</v>
      </c>
      <c r="E258" s="46" t="s">
        <v>8</v>
      </c>
      <c r="F258" s="5">
        <v>40000</v>
      </c>
      <c r="G258" s="45">
        <f>ROUND(D258*F258,0)</f>
        <v>40000</v>
      </c>
      <c r="H258" s="4">
        <v>0</v>
      </c>
      <c r="I258" s="3" t="s">
        <v>8</v>
      </c>
      <c r="J258" s="107">
        <f>F258</f>
        <v>40000</v>
      </c>
      <c r="K258" s="45"/>
      <c r="L258" s="45">
        <f t="shared" si="17"/>
        <v>0</v>
      </c>
      <c r="M258" s="45">
        <f t="shared" si="18"/>
        <v>40000</v>
      </c>
      <c r="N258" s="116" t="s">
        <v>309</v>
      </c>
      <c r="O258" s="48" t="s">
        <v>168</v>
      </c>
    </row>
    <row r="259" spans="1:15" s="48" customFormat="1" ht="12.1" customHeight="1" outlineLevel="1">
      <c r="A259" s="3"/>
      <c r="B259" s="1" t="str">
        <f t="shared" si="16"/>
        <v/>
      </c>
      <c r="F259" s="43"/>
      <c r="G259" s="45"/>
      <c r="H259" s="4"/>
      <c r="I259" s="3"/>
      <c r="J259" s="107"/>
      <c r="K259" s="45"/>
      <c r="L259" s="45">
        <f t="shared" si="17"/>
        <v>0</v>
      </c>
      <c r="M259" s="45">
        <f t="shared" si="18"/>
        <v>0</v>
      </c>
      <c r="N259" s="116"/>
      <c r="O259" s="48" t="s">
        <v>168</v>
      </c>
    </row>
    <row r="260" spans="1:15" s="48" customFormat="1" ht="409.6" customHeight="1" outlineLevel="1">
      <c r="A260" s="1">
        <v>348</v>
      </c>
      <c r="B260" s="1" t="str">
        <f t="shared" si="16"/>
        <v>IVF348</v>
      </c>
      <c r="C260" s="201" t="s">
        <v>20</v>
      </c>
      <c r="D260" s="1">
        <v>1</v>
      </c>
      <c r="E260" s="46" t="s">
        <v>8</v>
      </c>
      <c r="F260" s="5">
        <v>590000</v>
      </c>
      <c r="G260" s="45">
        <f>ROUND(D260*F260,0)</f>
        <v>590000</v>
      </c>
      <c r="H260" s="4">
        <v>0</v>
      </c>
      <c r="I260" s="3" t="s">
        <v>8</v>
      </c>
      <c r="J260" s="107">
        <f>F260</f>
        <v>590000</v>
      </c>
      <c r="K260" s="45"/>
      <c r="L260" s="45">
        <f t="shared" si="17"/>
        <v>0</v>
      </c>
      <c r="M260" s="45">
        <f t="shared" si="18"/>
        <v>590000</v>
      </c>
      <c r="N260" s="116" t="s">
        <v>312</v>
      </c>
      <c r="O260" s="48" t="s">
        <v>168</v>
      </c>
    </row>
    <row r="261" spans="1:15" s="48" customFormat="1" ht="12.1" customHeight="1" outlineLevel="1">
      <c r="A261" s="3"/>
      <c r="B261" s="1" t="str">
        <f t="shared" si="16"/>
        <v/>
      </c>
      <c r="F261" s="43"/>
      <c r="G261" s="45"/>
      <c r="H261" s="4"/>
      <c r="I261" s="3"/>
      <c r="J261" s="107"/>
      <c r="K261" s="45"/>
      <c r="L261" s="45">
        <f t="shared" si="17"/>
        <v>0</v>
      </c>
      <c r="M261" s="45">
        <f t="shared" si="18"/>
        <v>0</v>
      </c>
      <c r="N261" s="116"/>
      <c r="O261" s="48" t="s">
        <v>168</v>
      </c>
    </row>
    <row r="262" spans="1:15" s="48" customFormat="1" ht="271.2" customHeight="1" outlineLevel="1">
      <c r="A262" s="1">
        <v>350</v>
      </c>
      <c r="B262" s="1" t="str">
        <f t="shared" si="16"/>
        <v>IVF350</v>
      </c>
      <c r="C262" s="201" t="s">
        <v>69</v>
      </c>
      <c r="D262" s="1">
        <v>1</v>
      </c>
      <c r="E262" s="46" t="s">
        <v>8</v>
      </c>
      <c r="F262" s="5">
        <v>182000</v>
      </c>
      <c r="G262" s="45">
        <f>ROUND(D262*F262,0)</f>
        <v>182000</v>
      </c>
      <c r="H262" s="4">
        <v>0</v>
      </c>
      <c r="I262" s="3" t="s">
        <v>8</v>
      </c>
      <c r="J262" s="107">
        <f>F262</f>
        <v>182000</v>
      </c>
      <c r="K262" s="45"/>
      <c r="L262" s="45">
        <f t="shared" si="17"/>
        <v>0</v>
      </c>
      <c r="M262" s="45">
        <f t="shared" si="18"/>
        <v>182000</v>
      </c>
      <c r="N262" s="116" t="s">
        <v>311</v>
      </c>
      <c r="O262" s="48" t="s">
        <v>168</v>
      </c>
    </row>
    <row r="263" spans="1:15" s="48" customFormat="1" ht="12.1" customHeight="1" outlineLevel="1">
      <c r="A263" s="3"/>
      <c r="B263" s="1" t="str">
        <f t="shared" si="16"/>
        <v/>
      </c>
      <c r="C263" s="47"/>
      <c r="F263" s="43"/>
      <c r="G263" s="45"/>
      <c r="H263" s="4"/>
      <c r="I263" s="3"/>
      <c r="J263" s="107"/>
      <c r="K263" s="45"/>
      <c r="L263" s="45">
        <f t="shared" si="17"/>
        <v>0</v>
      </c>
      <c r="M263" s="45">
        <f t="shared" si="18"/>
        <v>0</v>
      </c>
      <c r="N263" s="116"/>
      <c r="O263" s="48" t="s">
        <v>168</v>
      </c>
    </row>
    <row r="264" spans="1:15" s="48" customFormat="1" ht="216.7" customHeight="1" outlineLevel="1">
      <c r="A264" s="1">
        <v>352</v>
      </c>
      <c r="B264" s="1" t="str">
        <f t="shared" si="16"/>
        <v>IVF352</v>
      </c>
      <c r="C264" s="201" t="s">
        <v>349</v>
      </c>
      <c r="D264" s="1">
        <v>20</v>
      </c>
      <c r="E264" s="46" t="s">
        <v>12</v>
      </c>
      <c r="F264" s="5">
        <v>1020</v>
      </c>
      <c r="G264" s="45">
        <f>ROUND(D264*F264,0)</f>
        <v>20400</v>
      </c>
      <c r="H264" s="4">
        <v>16</v>
      </c>
      <c r="I264" s="3" t="s">
        <v>12</v>
      </c>
      <c r="J264" s="107">
        <f>F264</f>
        <v>1020</v>
      </c>
      <c r="K264" s="45">
        <f>ROUND(H264*J264,0)</f>
        <v>16320</v>
      </c>
      <c r="L264" s="45">
        <f t="shared" si="17"/>
        <v>0</v>
      </c>
      <c r="M264" s="45">
        <f t="shared" si="18"/>
        <v>4080</v>
      </c>
      <c r="N264" s="116" t="s">
        <v>310</v>
      </c>
      <c r="O264" s="48" t="s">
        <v>168</v>
      </c>
    </row>
    <row r="265" spans="1:15" s="48" customFormat="1" outlineLevel="1">
      <c r="A265" s="1"/>
      <c r="B265" s="1" t="str">
        <f t="shared" si="16"/>
        <v/>
      </c>
      <c r="C265" s="205" t="s">
        <v>270</v>
      </c>
      <c r="D265" s="1"/>
      <c r="E265" s="46"/>
      <c r="F265" s="5"/>
      <c r="G265" s="45"/>
      <c r="H265" s="4"/>
      <c r="I265" s="3"/>
      <c r="J265" s="107"/>
      <c r="K265" s="45"/>
      <c r="L265" s="45"/>
      <c r="M265" s="45"/>
      <c r="N265" s="116"/>
      <c r="O265" s="48" t="s">
        <v>168</v>
      </c>
    </row>
    <row r="266" spans="1:15" s="48" customFormat="1" ht="12.1" customHeight="1" outlineLevel="1">
      <c r="A266" s="3"/>
      <c r="B266" s="1" t="str">
        <f t="shared" si="16"/>
        <v/>
      </c>
      <c r="F266" s="43"/>
      <c r="G266" s="45"/>
      <c r="H266" s="4"/>
      <c r="I266" s="3"/>
      <c r="J266" s="107"/>
      <c r="K266" s="45"/>
      <c r="L266" s="45">
        <f t="shared" si="17"/>
        <v>0</v>
      </c>
      <c r="M266" s="45">
        <f t="shared" si="18"/>
        <v>0</v>
      </c>
      <c r="N266" s="116"/>
      <c r="O266" s="48" t="s">
        <v>168</v>
      </c>
    </row>
    <row r="267" spans="1:15" s="48" customFormat="1" ht="216" customHeight="1" outlineLevel="1">
      <c r="A267" s="1">
        <v>353</v>
      </c>
      <c r="B267" s="1" t="str">
        <f t="shared" si="16"/>
        <v>IVF353</v>
      </c>
      <c r="C267" s="201" t="s">
        <v>493</v>
      </c>
      <c r="D267" s="1">
        <v>20</v>
      </c>
      <c r="E267" s="46" t="s">
        <v>12</v>
      </c>
      <c r="F267" s="5">
        <v>1190</v>
      </c>
      <c r="G267" s="45">
        <f>ROUND(D267*F267,0)</f>
        <v>23800</v>
      </c>
      <c r="H267" s="4">
        <v>16</v>
      </c>
      <c r="I267" s="3" t="s">
        <v>12</v>
      </c>
      <c r="J267" s="107">
        <f>F267</f>
        <v>1190</v>
      </c>
      <c r="K267" s="45">
        <f>ROUND(H267*J267,0)</f>
        <v>19040</v>
      </c>
      <c r="L267" s="45">
        <f t="shared" si="17"/>
        <v>0</v>
      </c>
      <c r="M267" s="45">
        <f t="shared" si="18"/>
        <v>4760</v>
      </c>
      <c r="N267" s="116" t="s">
        <v>310</v>
      </c>
      <c r="O267" s="48" t="s">
        <v>168</v>
      </c>
    </row>
    <row r="268" spans="1:15" s="48" customFormat="1" outlineLevel="1">
      <c r="A268" s="1"/>
      <c r="B268" s="1" t="str">
        <f t="shared" si="16"/>
        <v/>
      </c>
      <c r="C268" s="205" t="s">
        <v>271</v>
      </c>
      <c r="D268" s="1"/>
      <c r="E268" s="46"/>
      <c r="F268" s="5"/>
      <c r="G268" s="45"/>
      <c r="H268" s="4"/>
      <c r="I268" s="3"/>
      <c r="J268" s="107"/>
      <c r="K268" s="45"/>
      <c r="L268" s="45"/>
      <c r="M268" s="45"/>
      <c r="N268" s="116"/>
      <c r="O268" s="48" t="s">
        <v>168</v>
      </c>
    </row>
    <row r="269" spans="1:15" s="48" customFormat="1" ht="12.1" customHeight="1" outlineLevel="1">
      <c r="A269" s="3"/>
      <c r="B269" s="1" t="str">
        <f t="shared" si="16"/>
        <v/>
      </c>
      <c r="F269" s="43"/>
      <c r="G269" s="45"/>
      <c r="H269" s="4"/>
      <c r="I269" s="3"/>
      <c r="J269" s="107"/>
      <c r="K269" s="45"/>
      <c r="L269" s="45">
        <f t="shared" si="17"/>
        <v>0</v>
      </c>
      <c r="M269" s="45">
        <f t="shared" si="18"/>
        <v>0</v>
      </c>
      <c r="N269" s="116"/>
      <c r="O269" s="48" t="s">
        <v>168</v>
      </c>
    </row>
    <row r="270" spans="1:15" s="48" customFormat="1" ht="77.3" customHeight="1" outlineLevel="1">
      <c r="A270" s="1">
        <v>354</v>
      </c>
      <c r="B270" s="1" t="str">
        <f t="shared" si="16"/>
        <v>IVF354</v>
      </c>
      <c r="C270" s="116" t="s">
        <v>70</v>
      </c>
      <c r="D270" s="1">
        <v>50</v>
      </c>
      <c r="E270" s="46" t="s">
        <v>12</v>
      </c>
      <c r="F270" s="5">
        <v>670</v>
      </c>
      <c r="G270" s="45">
        <f>ROUND(D270*F270,0)</f>
        <v>33500</v>
      </c>
      <c r="H270" s="4">
        <v>0</v>
      </c>
      <c r="I270" s="3" t="s">
        <v>12</v>
      </c>
      <c r="J270" s="107">
        <f>F270</f>
        <v>670</v>
      </c>
      <c r="K270" s="45"/>
      <c r="L270" s="45">
        <f t="shared" si="17"/>
        <v>0</v>
      </c>
      <c r="M270" s="45">
        <f t="shared" si="18"/>
        <v>33500</v>
      </c>
      <c r="N270" s="116" t="s">
        <v>287</v>
      </c>
      <c r="O270" s="48" t="s">
        <v>168</v>
      </c>
    </row>
    <row r="271" spans="1:15" s="48" customFormat="1" ht="12.1" customHeight="1" outlineLevel="1">
      <c r="A271" s="3"/>
      <c r="B271" s="1" t="str">
        <f t="shared" si="16"/>
        <v/>
      </c>
      <c r="F271" s="43"/>
      <c r="G271" s="45"/>
      <c r="H271" s="4"/>
      <c r="I271" s="3"/>
      <c r="J271" s="107"/>
      <c r="K271" s="45"/>
      <c r="L271" s="45">
        <f t="shared" si="17"/>
        <v>0</v>
      </c>
      <c r="M271" s="45">
        <f t="shared" si="18"/>
        <v>0</v>
      </c>
      <c r="N271" s="116"/>
      <c r="O271" s="48" t="s">
        <v>168</v>
      </c>
    </row>
    <row r="272" spans="1:15" s="48" customFormat="1" ht="76.95" customHeight="1" outlineLevel="1">
      <c r="A272" s="1">
        <v>355</v>
      </c>
      <c r="B272" s="1" t="str">
        <f t="shared" si="16"/>
        <v>IVF355</v>
      </c>
      <c r="C272" s="116" t="s">
        <v>71</v>
      </c>
      <c r="D272" s="1">
        <v>50</v>
      </c>
      <c r="E272" s="46" t="s">
        <v>12</v>
      </c>
      <c r="F272" s="5">
        <v>515</v>
      </c>
      <c r="G272" s="45">
        <f>ROUND(D272*F272,0)</f>
        <v>25750</v>
      </c>
      <c r="H272" s="4">
        <v>9</v>
      </c>
      <c r="I272" s="3" t="s">
        <v>12</v>
      </c>
      <c r="J272" s="107">
        <f>F272</f>
        <v>515</v>
      </c>
      <c r="K272" s="45">
        <f>ROUND(H272*J272,0)</f>
        <v>4635</v>
      </c>
      <c r="L272" s="45">
        <f t="shared" si="17"/>
        <v>0</v>
      </c>
      <c r="M272" s="45">
        <f t="shared" si="18"/>
        <v>21115</v>
      </c>
      <c r="N272" s="116" t="s">
        <v>310</v>
      </c>
      <c r="O272" s="48" t="s">
        <v>168</v>
      </c>
    </row>
    <row r="273" spans="1:15" s="48" customFormat="1" outlineLevel="1">
      <c r="A273" s="1"/>
      <c r="B273" s="1" t="str">
        <f t="shared" si="16"/>
        <v/>
      </c>
      <c r="C273" s="205" t="s">
        <v>271</v>
      </c>
      <c r="D273" s="1"/>
      <c r="E273" s="46"/>
      <c r="F273" s="5"/>
      <c r="G273" s="45"/>
      <c r="H273" s="4"/>
      <c r="I273" s="3"/>
      <c r="J273" s="107"/>
      <c r="K273" s="45"/>
      <c r="L273" s="45"/>
      <c r="M273" s="45"/>
      <c r="N273" s="116"/>
      <c r="O273" s="48" t="s">
        <v>168</v>
      </c>
    </row>
    <row r="274" spans="1:15" s="48" customFormat="1" ht="12.1" customHeight="1" outlineLevel="1">
      <c r="A274" s="3"/>
      <c r="B274" s="1" t="str">
        <f t="shared" si="16"/>
        <v/>
      </c>
      <c r="F274" s="43"/>
      <c r="G274" s="45"/>
      <c r="H274" s="4"/>
      <c r="I274" s="3"/>
      <c r="J274" s="107"/>
      <c r="K274" s="45"/>
      <c r="L274" s="45">
        <f t="shared" si="17"/>
        <v>0</v>
      </c>
      <c r="M274" s="45">
        <f t="shared" si="18"/>
        <v>0</v>
      </c>
      <c r="N274" s="116"/>
      <c r="O274" s="48" t="s">
        <v>168</v>
      </c>
    </row>
    <row r="275" spans="1:15" s="48" customFormat="1" ht="178.5" customHeight="1" outlineLevel="1">
      <c r="A275" s="1">
        <v>356</v>
      </c>
      <c r="B275" s="1" t="str">
        <f t="shared" si="16"/>
        <v>IVF356</v>
      </c>
      <c r="C275" s="201" t="s">
        <v>350</v>
      </c>
      <c r="D275" s="1">
        <v>30</v>
      </c>
      <c r="E275" s="46" t="s">
        <v>10</v>
      </c>
      <c r="F275" s="5">
        <v>2600</v>
      </c>
      <c r="G275" s="45">
        <f>ROUND(D275*F275,0)</f>
        <v>78000</v>
      </c>
      <c r="H275" s="4">
        <v>24.98</v>
      </c>
      <c r="I275" s="3" t="s">
        <v>10</v>
      </c>
      <c r="J275" s="107">
        <f>F275</f>
        <v>2600</v>
      </c>
      <c r="K275" s="45">
        <f>ROUND(H275*J275,0)</f>
        <v>64948</v>
      </c>
      <c r="L275" s="45">
        <f t="shared" si="17"/>
        <v>0</v>
      </c>
      <c r="M275" s="45">
        <f t="shared" si="18"/>
        <v>13052</v>
      </c>
      <c r="N275" s="116" t="s">
        <v>310</v>
      </c>
      <c r="O275" s="48" t="s">
        <v>168</v>
      </c>
    </row>
    <row r="276" spans="1:15" s="48" customFormat="1" outlineLevel="1">
      <c r="A276" s="1"/>
      <c r="B276" s="1" t="str">
        <f t="shared" si="16"/>
        <v/>
      </c>
      <c r="C276" s="205" t="s">
        <v>263</v>
      </c>
      <c r="D276" s="1"/>
      <c r="E276" s="46"/>
      <c r="F276" s="5"/>
      <c r="G276" s="45"/>
      <c r="H276" s="4"/>
      <c r="I276" s="3"/>
      <c r="J276" s="107"/>
      <c r="K276" s="45"/>
      <c r="L276" s="45"/>
      <c r="M276" s="45"/>
      <c r="N276" s="116"/>
      <c r="O276" s="48" t="s">
        <v>168</v>
      </c>
    </row>
    <row r="277" spans="1:15" s="48" customFormat="1" ht="12.1" customHeight="1" outlineLevel="1">
      <c r="A277" s="3"/>
      <c r="B277" s="1" t="str">
        <f t="shared" si="16"/>
        <v/>
      </c>
      <c r="F277" s="43"/>
      <c r="G277" s="45"/>
      <c r="H277" s="4"/>
      <c r="I277" s="3"/>
      <c r="J277" s="107"/>
      <c r="K277" s="45"/>
      <c r="L277" s="45">
        <f t="shared" si="17"/>
        <v>0</v>
      </c>
      <c r="M277" s="45">
        <f t="shared" si="18"/>
        <v>0</v>
      </c>
      <c r="N277" s="116"/>
      <c r="O277" s="48" t="s">
        <v>168</v>
      </c>
    </row>
    <row r="278" spans="1:15" s="48" customFormat="1" ht="176.3" customHeight="1" outlineLevel="1">
      <c r="A278" s="1">
        <v>357</v>
      </c>
      <c r="B278" s="1" t="str">
        <f t="shared" si="16"/>
        <v>IVF357</v>
      </c>
      <c r="C278" s="201" t="s">
        <v>351</v>
      </c>
      <c r="D278" s="1">
        <v>250</v>
      </c>
      <c r="E278" s="46" t="s">
        <v>10</v>
      </c>
      <c r="F278" s="5">
        <v>2325</v>
      </c>
      <c r="G278" s="45">
        <f>ROUND(D278*F278,0)</f>
        <v>581250</v>
      </c>
      <c r="H278" s="4">
        <v>232.64</v>
      </c>
      <c r="I278" s="3" t="s">
        <v>10</v>
      </c>
      <c r="J278" s="107">
        <f>F278</f>
        <v>2325</v>
      </c>
      <c r="K278" s="45">
        <f>ROUND(H278*J278,0)</f>
        <v>540888</v>
      </c>
      <c r="L278" s="45">
        <f t="shared" si="17"/>
        <v>0</v>
      </c>
      <c r="M278" s="45">
        <f t="shared" si="18"/>
        <v>40362</v>
      </c>
      <c r="N278" s="116" t="s">
        <v>310</v>
      </c>
      <c r="O278" s="48" t="s">
        <v>168</v>
      </c>
    </row>
    <row r="279" spans="1:15" s="48" customFormat="1" outlineLevel="1">
      <c r="A279" s="1"/>
      <c r="B279" s="1" t="str">
        <f t="shared" si="16"/>
        <v/>
      </c>
      <c r="C279" s="205" t="s">
        <v>264</v>
      </c>
      <c r="D279" s="1"/>
      <c r="E279" s="46"/>
      <c r="F279" s="5"/>
      <c r="G279" s="45"/>
      <c r="H279" s="4"/>
      <c r="I279" s="3"/>
      <c r="J279" s="107"/>
      <c r="K279" s="45"/>
      <c r="L279" s="45"/>
      <c r="M279" s="45"/>
      <c r="N279" s="116"/>
      <c r="O279" s="48" t="s">
        <v>168</v>
      </c>
    </row>
    <row r="280" spans="1:15" s="48" customFormat="1" ht="12.1" customHeight="1" outlineLevel="1">
      <c r="A280" s="3"/>
      <c r="B280" s="1" t="str">
        <f t="shared" si="16"/>
        <v/>
      </c>
      <c r="C280" s="47"/>
      <c r="F280" s="43"/>
      <c r="G280" s="45"/>
      <c r="H280" s="4"/>
      <c r="I280" s="3"/>
      <c r="J280" s="107"/>
      <c r="K280" s="45"/>
      <c r="L280" s="45">
        <f t="shared" si="17"/>
        <v>0</v>
      </c>
      <c r="M280" s="45">
        <f t="shared" si="18"/>
        <v>0</v>
      </c>
      <c r="N280" s="116"/>
      <c r="O280" s="48" t="s">
        <v>168</v>
      </c>
    </row>
    <row r="281" spans="1:15" s="48" customFormat="1" ht="61.5" customHeight="1" outlineLevel="1">
      <c r="A281" s="1">
        <v>358</v>
      </c>
      <c r="B281" s="1" t="str">
        <f t="shared" si="16"/>
        <v>IVF358</v>
      </c>
      <c r="C281" s="201" t="s">
        <v>72</v>
      </c>
      <c r="D281" s="1">
        <v>2</v>
      </c>
      <c r="E281" s="46" t="s">
        <v>10</v>
      </c>
      <c r="F281" s="5">
        <v>15800</v>
      </c>
      <c r="G281" s="45">
        <f>ROUND(D281*F281,0)</f>
        <v>31600</v>
      </c>
      <c r="H281" s="4">
        <v>0.8</v>
      </c>
      <c r="I281" s="3" t="s">
        <v>10</v>
      </c>
      <c r="J281" s="107">
        <f>F281</f>
        <v>15800</v>
      </c>
      <c r="K281" s="45">
        <f>ROUND(H281*J281,0)</f>
        <v>12640</v>
      </c>
      <c r="L281" s="45">
        <f t="shared" si="17"/>
        <v>0</v>
      </c>
      <c r="M281" s="45">
        <f t="shared" si="18"/>
        <v>18960</v>
      </c>
      <c r="N281" s="116" t="s">
        <v>310</v>
      </c>
      <c r="O281" s="48" t="s">
        <v>168</v>
      </c>
    </row>
    <row r="282" spans="1:15" s="48" customFormat="1" ht="12.1" customHeight="1" outlineLevel="1">
      <c r="A282" s="3"/>
      <c r="B282" s="1" t="str">
        <f t="shared" si="16"/>
        <v/>
      </c>
      <c r="F282" s="43"/>
      <c r="G282" s="45"/>
      <c r="H282" s="4"/>
      <c r="I282" s="3"/>
      <c r="J282" s="107"/>
      <c r="K282" s="45"/>
      <c r="L282" s="45">
        <f t="shared" si="17"/>
        <v>0</v>
      </c>
      <c r="M282" s="45">
        <f t="shared" si="18"/>
        <v>0</v>
      </c>
      <c r="N282" s="116"/>
      <c r="O282" s="48" t="s">
        <v>168</v>
      </c>
    </row>
    <row r="283" spans="1:15" s="48" customFormat="1" ht="60.8" customHeight="1" outlineLevel="1">
      <c r="A283" s="1">
        <v>359</v>
      </c>
      <c r="B283" s="1" t="str">
        <f t="shared" si="16"/>
        <v>IVF359</v>
      </c>
      <c r="C283" s="201" t="s">
        <v>73</v>
      </c>
      <c r="D283" s="1">
        <v>2</v>
      </c>
      <c r="E283" s="46" t="s">
        <v>10</v>
      </c>
      <c r="F283" s="5">
        <v>25900</v>
      </c>
      <c r="G283" s="45">
        <f>ROUND(D283*F283,0)</f>
        <v>51800</v>
      </c>
      <c r="H283" s="4">
        <v>0.8</v>
      </c>
      <c r="I283" s="3" t="s">
        <v>10</v>
      </c>
      <c r="J283" s="107">
        <f>F283</f>
        <v>25900</v>
      </c>
      <c r="K283" s="45">
        <f>ROUND(H283*J283,0)</f>
        <v>20720</v>
      </c>
      <c r="L283" s="45">
        <f t="shared" si="17"/>
        <v>0</v>
      </c>
      <c r="M283" s="45">
        <f t="shared" si="18"/>
        <v>31080</v>
      </c>
      <c r="N283" s="116" t="s">
        <v>310</v>
      </c>
      <c r="O283" s="48" t="s">
        <v>168</v>
      </c>
    </row>
    <row r="284" spans="1:15" s="48" customFormat="1" ht="12.1" customHeight="1" outlineLevel="1">
      <c r="A284" s="3"/>
      <c r="B284" s="1" t="str">
        <f t="shared" si="16"/>
        <v/>
      </c>
      <c r="F284" s="43"/>
      <c r="G284" s="45"/>
      <c r="H284" s="4"/>
      <c r="I284" s="3"/>
      <c r="J284" s="107"/>
      <c r="K284" s="45"/>
      <c r="L284" s="45">
        <f t="shared" si="17"/>
        <v>0</v>
      </c>
      <c r="M284" s="45">
        <f t="shared" si="18"/>
        <v>0</v>
      </c>
      <c r="N284" s="116"/>
      <c r="O284" s="48" t="s">
        <v>168</v>
      </c>
    </row>
    <row r="285" spans="1:15" s="48" customFormat="1" ht="59.95" customHeight="1" outlineLevel="1">
      <c r="A285" s="1">
        <v>360</v>
      </c>
      <c r="B285" s="1" t="str">
        <f t="shared" si="16"/>
        <v>IVF360</v>
      </c>
      <c r="C285" s="201" t="s">
        <v>74</v>
      </c>
      <c r="D285" s="1">
        <v>2</v>
      </c>
      <c r="E285" s="46" t="s">
        <v>10</v>
      </c>
      <c r="F285" s="5">
        <v>26300</v>
      </c>
      <c r="G285" s="45">
        <f>ROUND(D285*F285,0)</f>
        <v>52600</v>
      </c>
      <c r="H285" s="4">
        <v>1.59</v>
      </c>
      <c r="I285" s="3" t="s">
        <v>10</v>
      </c>
      <c r="J285" s="107">
        <f>F285</f>
        <v>26300</v>
      </c>
      <c r="K285" s="45">
        <f>ROUND(H285*J285,0)</f>
        <v>41817</v>
      </c>
      <c r="L285" s="45">
        <f t="shared" si="17"/>
        <v>0</v>
      </c>
      <c r="M285" s="45">
        <f t="shared" si="18"/>
        <v>10783</v>
      </c>
      <c r="N285" s="116" t="s">
        <v>310</v>
      </c>
      <c r="O285" s="48" t="s">
        <v>168</v>
      </c>
    </row>
    <row r="286" spans="1:15" s="48" customFormat="1" ht="12.1" customHeight="1" outlineLevel="1">
      <c r="A286" s="3"/>
      <c r="B286" s="1" t="str">
        <f t="shared" si="16"/>
        <v/>
      </c>
      <c r="F286" s="43"/>
      <c r="G286" s="45"/>
      <c r="H286" s="4"/>
      <c r="I286" s="3"/>
      <c r="J286" s="107"/>
      <c r="K286" s="45"/>
      <c r="L286" s="45">
        <f t="shared" si="17"/>
        <v>0</v>
      </c>
      <c r="M286" s="45">
        <f t="shared" si="18"/>
        <v>0</v>
      </c>
      <c r="N286" s="116"/>
      <c r="O286" s="48" t="s">
        <v>168</v>
      </c>
    </row>
    <row r="287" spans="1:15" s="48" customFormat="1" ht="63" customHeight="1" outlineLevel="1">
      <c r="A287" s="1">
        <v>362</v>
      </c>
      <c r="B287" s="1" t="str">
        <f t="shared" si="16"/>
        <v>IVF362</v>
      </c>
      <c r="C287" s="201" t="s">
        <v>75</v>
      </c>
      <c r="D287" s="1">
        <v>1</v>
      </c>
      <c r="E287" s="46" t="s">
        <v>10</v>
      </c>
      <c r="F287" s="5">
        <v>7550</v>
      </c>
      <c r="G287" s="45">
        <f>ROUND(D287*F287,0)</f>
        <v>7550</v>
      </c>
      <c r="H287" s="4">
        <v>0.76</v>
      </c>
      <c r="I287" s="3" t="s">
        <v>10</v>
      </c>
      <c r="J287" s="107">
        <f>F287</f>
        <v>7550</v>
      </c>
      <c r="K287" s="45">
        <f>ROUND(H287*J287,0)</f>
        <v>5738</v>
      </c>
      <c r="L287" s="45">
        <f t="shared" si="17"/>
        <v>0</v>
      </c>
      <c r="M287" s="45">
        <f t="shared" si="18"/>
        <v>1812</v>
      </c>
      <c r="N287" s="116" t="s">
        <v>310</v>
      </c>
      <c r="O287" s="48" t="s">
        <v>168</v>
      </c>
    </row>
    <row r="288" spans="1:15" s="48" customFormat="1" ht="12.1" customHeight="1" outlineLevel="1">
      <c r="A288" s="3"/>
      <c r="B288" s="1" t="str">
        <f t="shared" si="16"/>
        <v/>
      </c>
      <c r="F288" s="43"/>
      <c r="G288" s="45"/>
      <c r="H288" s="4"/>
      <c r="I288" s="3"/>
      <c r="J288" s="107"/>
      <c r="K288" s="45"/>
      <c r="L288" s="45">
        <f t="shared" si="17"/>
        <v>0</v>
      </c>
      <c r="M288" s="45">
        <f t="shared" si="18"/>
        <v>0</v>
      </c>
      <c r="N288" s="116"/>
      <c r="O288" s="48" t="s">
        <v>168</v>
      </c>
    </row>
    <row r="289" spans="1:15" s="48" customFormat="1" ht="64.2" customHeight="1" outlineLevel="1">
      <c r="A289" s="1">
        <v>363</v>
      </c>
      <c r="B289" s="1" t="str">
        <f t="shared" si="16"/>
        <v>IVF363</v>
      </c>
      <c r="C289" s="201" t="s">
        <v>19</v>
      </c>
      <c r="D289" s="1">
        <v>2</v>
      </c>
      <c r="E289" s="46" t="s">
        <v>8</v>
      </c>
      <c r="F289" s="5">
        <v>10500</v>
      </c>
      <c r="G289" s="45">
        <f>ROUND(D289*F289,0)</f>
        <v>21000</v>
      </c>
      <c r="H289" s="4">
        <f>D289</f>
        <v>2</v>
      </c>
      <c r="I289" s="3" t="s">
        <v>8</v>
      </c>
      <c r="J289" s="107">
        <f>F289</f>
        <v>10500</v>
      </c>
      <c r="K289" s="45">
        <f>ROUND(H289*J289,0)</f>
        <v>21000</v>
      </c>
      <c r="L289" s="45">
        <f t="shared" si="17"/>
        <v>0</v>
      </c>
      <c r="M289" s="45">
        <f t="shared" si="18"/>
        <v>0</v>
      </c>
      <c r="N289" s="367" t="s">
        <v>304</v>
      </c>
      <c r="O289" s="48" t="s">
        <v>168</v>
      </c>
    </row>
    <row r="290" spans="1:15" s="48" customFormat="1" outlineLevel="1">
      <c r="A290" s="3"/>
      <c r="B290" s="1" t="str">
        <f t="shared" si="16"/>
        <v/>
      </c>
      <c r="C290" s="204" t="s">
        <v>26</v>
      </c>
      <c r="F290" s="43"/>
      <c r="G290" s="45"/>
      <c r="H290" s="4">
        <v>1</v>
      </c>
      <c r="I290" s="3" t="s">
        <v>8</v>
      </c>
      <c r="J290" s="107">
        <f>F289</f>
        <v>10500</v>
      </c>
      <c r="K290" s="45">
        <f>ROUND(H290*J290,0)</f>
        <v>10500</v>
      </c>
      <c r="L290" s="45">
        <f t="shared" si="17"/>
        <v>10500</v>
      </c>
      <c r="M290" s="45">
        <f t="shared" si="18"/>
        <v>0</v>
      </c>
      <c r="N290" s="367"/>
      <c r="O290" s="48" t="s">
        <v>168</v>
      </c>
    </row>
    <row r="291" spans="1:15" s="48" customFormat="1" ht="12.1" customHeight="1" outlineLevel="1">
      <c r="A291" s="3"/>
      <c r="B291" s="1" t="str">
        <f t="shared" si="16"/>
        <v/>
      </c>
      <c r="F291" s="43"/>
      <c r="G291" s="45"/>
      <c r="H291" s="4"/>
      <c r="I291" s="3"/>
      <c r="J291" s="107"/>
      <c r="K291" s="45"/>
      <c r="L291" s="45">
        <f t="shared" si="17"/>
        <v>0</v>
      </c>
      <c r="M291" s="45">
        <f t="shared" si="18"/>
        <v>0</v>
      </c>
      <c r="N291" s="116"/>
      <c r="O291" s="48" t="s">
        <v>168</v>
      </c>
    </row>
    <row r="292" spans="1:15" s="48" customFormat="1" ht="50.95" customHeight="1" outlineLevel="1">
      <c r="A292" s="1">
        <v>365</v>
      </c>
      <c r="B292" s="1" t="str">
        <f t="shared" si="16"/>
        <v>IVF365</v>
      </c>
      <c r="C292" s="201" t="s">
        <v>76</v>
      </c>
      <c r="D292" s="1">
        <v>1</v>
      </c>
      <c r="E292" s="46" t="s">
        <v>10</v>
      </c>
      <c r="F292" s="5">
        <v>10300</v>
      </c>
      <c r="G292" s="45">
        <f>ROUND(D292*F292,0)</f>
        <v>10300</v>
      </c>
      <c r="H292" s="4">
        <f>D292</f>
        <v>1</v>
      </c>
      <c r="I292" s="3" t="s">
        <v>10</v>
      </c>
      <c r="J292" s="107">
        <f>F292</f>
        <v>10300</v>
      </c>
      <c r="K292" s="45">
        <f>ROUND(H292*J292,0)</f>
        <v>10300</v>
      </c>
      <c r="L292" s="45">
        <f t="shared" si="17"/>
        <v>0</v>
      </c>
      <c r="M292" s="45">
        <f t="shared" si="18"/>
        <v>0</v>
      </c>
      <c r="N292" s="367" t="s">
        <v>304</v>
      </c>
      <c r="O292" s="48" t="s">
        <v>168</v>
      </c>
    </row>
    <row r="293" spans="1:15" s="48" customFormat="1" outlineLevel="1">
      <c r="A293" s="3"/>
      <c r="B293" s="1" t="str">
        <f t="shared" si="16"/>
        <v/>
      </c>
      <c r="C293" s="204" t="s">
        <v>26</v>
      </c>
      <c r="F293" s="43"/>
      <c r="G293" s="45"/>
      <c r="H293" s="4">
        <v>0.8</v>
      </c>
      <c r="I293" s="3" t="s">
        <v>10</v>
      </c>
      <c r="J293" s="107">
        <f>J292</f>
        <v>10300</v>
      </c>
      <c r="K293" s="45">
        <f>ROUND(H293*J293,0)</f>
        <v>8240</v>
      </c>
      <c r="L293" s="45">
        <f>ROUND(IF(K293&gt;G293,K293-G293,0),0)</f>
        <v>8240</v>
      </c>
      <c r="M293" s="45">
        <f>ROUND(IF(K293&lt;G293,G293-K293,0),0)</f>
        <v>0</v>
      </c>
      <c r="N293" s="367"/>
      <c r="O293" s="48" t="s">
        <v>168</v>
      </c>
    </row>
    <row r="294" spans="1:15" s="48" customFormat="1" ht="81.7" customHeight="1" outlineLevel="1">
      <c r="A294" s="1">
        <v>366</v>
      </c>
      <c r="B294" s="1" t="str">
        <f t="shared" ref="B294:B329" si="19">IF(ISBLANK(A294), "","IVF"&amp;A294)</f>
        <v>IVF366</v>
      </c>
      <c r="C294" s="116" t="s">
        <v>77</v>
      </c>
      <c r="D294" s="1">
        <v>130</v>
      </c>
      <c r="E294" s="46" t="s">
        <v>10</v>
      </c>
      <c r="F294" s="5">
        <v>1225</v>
      </c>
      <c r="G294" s="45">
        <f>ROUND(D294*F294,0)</f>
        <v>159250</v>
      </c>
      <c r="H294" s="4">
        <v>45.79</v>
      </c>
      <c r="I294" s="3" t="s">
        <v>10</v>
      </c>
      <c r="J294" s="107">
        <f>F294</f>
        <v>1225</v>
      </c>
      <c r="K294" s="45">
        <f>ROUND(H294*J294,0)</f>
        <v>56093</v>
      </c>
      <c r="L294" s="45">
        <f t="shared" si="17"/>
        <v>0</v>
      </c>
      <c r="M294" s="45">
        <f t="shared" si="18"/>
        <v>103157</v>
      </c>
      <c r="N294" s="116" t="s">
        <v>310</v>
      </c>
      <c r="O294" s="48" t="s">
        <v>168</v>
      </c>
    </row>
    <row r="295" spans="1:15" s="48" customFormat="1" outlineLevel="1">
      <c r="A295" s="1"/>
      <c r="B295" s="1" t="str">
        <f t="shared" si="19"/>
        <v/>
      </c>
      <c r="C295" s="205" t="s">
        <v>268</v>
      </c>
      <c r="D295" s="1"/>
      <c r="E295" s="46"/>
      <c r="F295" s="5"/>
      <c r="G295" s="45"/>
      <c r="H295" s="4"/>
      <c r="I295" s="3"/>
      <c r="J295" s="107"/>
      <c r="K295" s="45"/>
      <c r="L295" s="45"/>
      <c r="M295" s="45"/>
      <c r="N295" s="116"/>
      <c r="O295" s="48" t="s">
        <v>168</v>
      </c>
    </row>
    <row r="296" spans="1:15" s="48" customFormat="1" ht="12.1" customHeight="1" outlineLevel="1">
      <c r="A296" s="3"/>
      <c r="B296" s="1" t="str">
        <f t="shared" si="19"/>
        <v/>
      </c>
      <c r="F296" s="43"/>
      <c r="G296" s="45"/>
      <c r="H296" s="4"/>
      <c r="I296" s="3"/>
      <c r="J296" s="107"/>
      <c r="K296" s="45"/>
      <c r="L296" s="45">
        <f t="shared" si="17"/>
        <v>0</v>
      </c>
      <c r="M296" s="45">
        <f t="shared" si="18"/>
        <v>0</v>
      </c>
      <c r="N296" s="116"/>
      <c r="O296" s="48" t="s">
        <v>168</v>
      </c>
    </row>
    <row r="297" spans="1:15" s="48" customFormat="1" ht="75.099999999999994" customHeight="1" outlineLevel="1">
      <c r="A297" s="1">
        <v>367</v>
      </c>
      <c r="B297" s="1" t="str">
        <f t="shared" si="19"/>
        <v>IVF367</v>
      </c>
      <c r="C297" s="116" t="s">
        <v>78</v>
      </c>
      <c r="D297" s="1">
        <v>130</v>
      </c>
      <c r="E297" s="46" t="s">
        <v>10</v>
      </c>
      <c r="F297" s="5">
        <v>1075</v>
      </c>
      <c r="G297" s="45">
        <f>ROUND(D297*F297,0)</f>
        <v>139750</v>
      </c>
      <c r="H297" s="4">
        <v>103.32</v>
      </c>
      <c r="I297" s="3" t="s">
        <v>10</v>
      </c>
      <c r="J297" s="107">
        <f>F297</f>
        <v>1075</v>
      </c>
      <c r="K297" s="45">
        <f>ROUND(H297*J297,0)</f>
        <v>111069</v>
      </c>
      <c r="L297" s="45">
        <f t="shared" si="17"/>
        <v>0</v>
      </c>
      <c r="M297" s="45">
        <f t="shared" si="18"/>
        <v>28681</v>
      </c>
      <c r="N297" s="116" t="s">
        <v>310</v>
      </c>
      <c r="O297" s="48" t="s">
        <v>168</v>
      </c>
    </row>
    <row r="298" spans="1:15" s="48" customFormat="1" outlineLevel="1">
      <c r="A298" s="1"/>
      <c r="B298" s="1" t="str">
        <f t="shared" si="19"/>
        <v/>
      </c>
      <c r="C298" s="205" t="s">
        <v>267</v>
      </c>
      <c r="D298" s="1"/>
      <c r="E298" s="46"/>
      <c r="F298" s="5"/>
      <c r="G298" s="45"/>
      <c r="H298" s="4"/>
      <c r="I298" s="3"/>
      <c r="J298" s="107"/>
      <c r="K298" s="45"/>
      <c r="L298" s="45"/>
      <c r="M298" s="45"/>
      <c r="N298" s="116"/>
      <c r="O298" s="48" t="s">
        <v>168</v>
      </c>
    </row>
    <row r="299" spans="1:15" s="48" customFormat="1" ht="12.1" customHeight="1" outlineLevel="1">
      <c r="A299" s="3"/>
      <c r="B299" s="1" t="str">
        <f t="shared" si="19"/>
        <v/>
      </c>
      <c r="C299" s="47"/>
      <c r="F299" s="43"/>
      <c r="G299" s="45"/>
      <c r="H299" s="4"/>
      <c r="I299" s="3"/>
      <c r="J299" s="107"/>
      <c r="K299" s="45"/>
      <c r="L299" s="45">
        <f t="shared" si="17"/>
        <v>0</v>
      </c>
      <c r="M299" s="45">
        <f t="shared" si="18"/>
        <v>0</v>
      </c>
      <c r="N299" s="116"/>
      <c r="O299" s="48" t="s">
        <v>168</v>
      </c>
    </row>
    <row r="300" spans="1:15" s="48" customFormat="1" ht="123.8" customHeight="1" outlineLevel="1">
      <c r="A300" s="1">
        <v>368</v>
      </c>
      <c r="B300" s="1" t="str">
        <f t="shared" si="19"/>
        <v>IVF368</v>
      </c>
      <c r="C300" s="116" t="s">
        <v>79</v>
      </c>
      <c r="D300" s="1">
        <v>40</v>
      </c>
      <c r="E300" s="46" t="s">
        <v>10</v>
      </c>
      <c r="F300" s="5">
        <v>785</v>
      </c>
      <c r="G300" s="45">
        <f>ROUND(D300*F300,0)</f>
        <v>31400</v>
      </c>
      <c r="H300" s="4">
        <f>D300</f>
        <v>40</v>
      </c>
      <c r="I300" s="3" t="s">
        <v>10</v>
      </c>
      <c r="J300" s="107">
        <f>F300</f>
        <v>785</v>
      </c>
      <c r="K300" s="45">
        <f>ROUND(H300*J300,0)</f>
        <v>31400</v>
      </c>
      <c r="L300" s="45">
        <f t="shared" si="17"/>
        <v>0</v>
      </c>
      <c r="M300" s="45">
        <f t="shared" si="18"/>
        <v>0</v>
      </c>
      <c r="N300" s="367" t="s">
        <v>485</v>
      </c>
      <c r="O300" s="48" t="s">
        <v>168</v>
      </c>
    </row>
    <row r="301" spans="1:15" s="48" customFormat="1" outlineLevel="1">
      <c r="A301" s="3"/>
      <c r="B301" s="1" t="str">
        <f t="shared" si="19"/>
        <v/>
      </c>
      <c r="C301" s="204" t="s">
        <v>26</v>
      </c>
      <c r="F301" s="43"/>
      <c r="G301" s="45"/>
      <c r="H301" s="4">
        <f>76.7-H300</f>
        <v>36.700000000000003</v>
      </c>
      <c r="I301" s="3" t="s">
        <v>10</v>
      </c>
      <c r="J301" s="107">
        <f>J300</f>
        <v>785</v>
      </c>
      <c r="K301" s="45">
        <f>ROUND(H301*J301,0)</f>
        <v>28810</v>
      </c>
      <c r="L301" s="45">
        <f t="shared" si="17"/>
        <v>28810</v>
      </c>
      <c r="M301" s="45">
        <f t="shared" si="18"/>
        <v>0</v>
      </c>
      <c r="N301" s="367"/>
      <c r="O301" s="48" t="s">
        <v>168</v>
      </c>
    </row>
    <row r="302" spans="1:15" s="48" customFormat="1" outlineLevel="1">
      <c r="A302" s="3"/>
      <c r="B302" s="1" t="str">
        <f t="shared" si="19"/>
        <v/>
      </c>
      <c r="C302" s="47" t="s">
        <v>266</v>
      </c>
      <c r="F302" s="43"/>
      <c r="G302" s="45"/>
      <c r="H302" s="4"/>
      <c r="I302" s="3"/>
      <c r="J302" s="107"/>
      <c r="K302" s="45"/>
      <c r="L302" s="45"/>
      <c r="M302" s="45"/>
      <c r="N302" s="116"/>
      <c r="O302" s="48" t="s">
        <v>168</v>
      </c>
    </row>
    <row r="303" spans="1:15" s="48" customFormat="1" ht="12.1" customHeight="1" outlineLevel="1">
      <c r="A303" s="3"/>
      <c r="B303" s="1" t="str">
        <f t="shared" si="19"/>
        <v/>
      </c>
      <c r="C303" s="47"/>
      <c r="F303" s="43"/>
      <c r="G303" s="45"/>
      <c r="H303" s="4"/>
      <c r="I303" s="3"/>
      <c r="J303" s="107"/>
      <c r="K303" s="45"/>
      <c r="L303" s="45"/>
      <c r="M303" s="45"/>
      <c r="N303" s="116"/>
      <c r="O303" s="48" t="s">
        <v>168</v>
      </c>
    </row>
    <row r="304" spans="1:15" s="48" customFormat="1" ht="125.35" customHeight="1" outlineLevel="1">
      <c r="A304" s="1">
        <v>369</v>
      </c>
      <c r="B304" s="1" t="str">
        <f t="shared" si="19"/>
        <v>IVF369</v>
      </c>
      <c r="C304" s="116" t="s">
        <v>80</v>
      </c>
      <c r="D304" s="1">
        <v>40</v>
      </c>
      <c r="E304" s="46" t="s">
        <v>10</v>
      </c>
      <c r="F304" s="5">
        <v>660</v>
      </c>
      <c r="G304" s="45">
        <f>ROUND(D304*F304,0)</f>
        <v>26400</v>
      </c>
      <c r="H304" s="4">
        <v>40</v>
      </c>
      <c r="I304" s="3" t="s">
        <v>10</v>
      </c>
      <c r="J304" s="107">
        <f>F304</f>
        <v>660</v>
      </c>
      <c r="K304" s="45">
        <f>ROUND(H304*J304,0)</f>
        <v>26400</v>
      </c>
      <c r="L304" s="45">
        <f t="shared" si="17"/>
        <v>0</v>
      </c>
      <c r="M304" s="45">
        <f t="shared" si="18"/>
        <v>0</v>
      </c>
      <c r="N304" s="367" t="s">
        <v>485</v>
      </c>
      <c r="O304" s="48" t="s">
        <v>168</v>
      </c>
    </row>
    <row r="305" spans="1:15" s="48" customFormat="1" outlineLevel="1">
      <c r="A305" s="3"/>
      <c r="B305" s="1" t="str">
        <f t="shared" si="19"/>
        <v/>
      </c>
      <c r="C305" s="204" t="s">
        <v>26</v>
      </c>
      <c r="F305" s="43"/>
      <c r="G305" s="45"/>
      <c r="H305" s="4">
        <f>97.49-H304</f>
        <v>57.489999999999995</v>
      </c>
      <c r="I305" s="3" t="s">
        <v>10</v>
      </c>
      <c r="J305" s="107">
        <f>J304</f>
        <v>660</v>
      </c>
      <c r="K305" s="45">
        <f>ROUND(H305*J305,0)</f>
        <v>37943</v>
      </c>
      <c r="L305" s="45">
        <f t="shared" si="17"/>
        <v>37943</v>
      </c>
      <c r="M305" s="45">
        <f t="shared" si="18"/>
        <v>0</v>
      </c>
      <c r="N305" s="367"/>
      <c r="O305" s="48" t="s">
        <v>168</v>
      </c>
    </row>
    <row r="306" spans="1:15" s="48" customFormat="1" outlineLevel="1">
      <c r="A306" s="3"/>
      <c r="B306" s="1" t="str">
        <f t="shared" si="19"/>
        <v/>
      </c>
      <c r="C306" s="47" t="s">
        <v>265</v>
      </c>
      <c r="F306" s="43"/>
      <c r="G306" s="45"/>
      <c r="H306" s="4"/>
      <c r="I306" s="3"/>
      <c r="J306" s="107"/>
      <c r="K306" s="45"/>
      <c r="L306" s="45"/>
      <c r="M306" s="45"/>
      <c r="N306" s="116"/>
      <c r="O306" s="48" t="s">
        <v>168</v>
      </c>
    </row>
    <row r="307" spans="1:15" s="48" customFormat="1" ht="12.1" customHeight="1" outlineLevel="1">
      <c r="A307" s="3"/>
      <c r="B307" s="1" t="str">
        <f t="shared" si="19"/>
        <v/>
      </c>
      <c r="C307" s="47"/>
      <c r="F307" s="43"/>
      <c r="G307" s="45"/>
      <c r="H307" s="4"/>
      <c r="I307" s="3"/>
      <c r="J307" s="107"/>
      <c r="K307" s="45"/>
      <c r="L307" s="45"/>
      <c r="M307" s="45"/>
      <c r="N307" s="116"/>
      <c r="O307" s="48" t="s">
        <v>168</v>
      </c>
    </row>
    <row r="308" spans="1:15" s="48" customFormat="1" ht="409.6" customHeight="1" outlineLevel="1">
      <c r="A308" s="1">
        <v>370</v>
      </c>
      <c r="B308" s="1" t="str">
        <f t="shared" si="19"/>
        <v>IVF370</v>
      </c>
      <c r="C308" s="201" t="s">
        <v>352</v>
      </c>
      <c r="D308" s="1">
        <v>1</v>
      </c>
      <c r="E308" s="46" t="s">
        <v>16</v>
      </c>
      <c r="F308" s="5">
        <v>371875</v>
      </c>
      <c r="G308" s="45">
        <f>ROUND(D308*F308,0)</f>
        <v>371875</v>
      </c>
      <c r="H308" s="4">
        <v>0</v>
      </c>
      <c r="I308" s="3" t="s">
        <v>16</v>
      </c>
      <c r="J308" s="107">
        <f>F308</f>
        <v>371875</v>
      </c>
      <c r="K308" s="45"/>
      <c r="L308" s="45">
        <f t="shared" si="17"/>
        <v>0</v>
      </c>
      <c r="M308" s="45">
        <f t="shared" si="18"/>
        <v>371875</v>
      </c>
      <c r="N308" s="116" t="s">
        <v>489</v>
      </c>
      <c r="O308" s="48" t="s">
        <v>168</v>
      </c>
    </row>
    <row r="309" spans="1:15" s="48" customFormat="1" ht="12.1" customHeight="1" outlineLevel="1">
      <c r="A309" s="3"/>
      <c r="B309" s="1" t="str">
        <f t="shared" si="19"/>
        <v/>
      </c>
      <c r="F309" s="43"/>
      <c r="G309" s="45"/>
      <c r="H309" s="4"/>
      <c r="I309" s="3"/>
      <c r="J309" s="107"/>
      <c r="K309" s="45"/>
      <c r="L309" s="45">
        <f t="shared" si="17"/>
        <v>0</v>
      </c>
      <c r="M309" s="45">
        <f t="shared" si="18"/>
        <v>0</v>
      </c>
      <c r="N309" s="116"/>
      <c r="O309" s="48" t="s">
        <v>168</v>
      </c>
    </row>
    <row r="310" spans="1:15" s="48" customFormat="1" ht="179" customHeight="1" outlineLevel="1">
      <c r="A310" s="1">
        <v>372</v>
      </c>
      <c r="B310" s="1" t="str">
        <f t="shared" si="19"/>
        <v>IVF372</v>
      </c>
      <c r="C310" s="201" t="s">
        <v>353</v>
      </c>
      <c r="D310" s="1">
        <v>3</v>
      </c>
      <c r="E310" s="46" t="s">
        <v>8</v>
      </c>
      <c r="F310" s="5">
        <v>30700</v>
      </c>
      <c r="G310" s="45">
        <f>ROUND(D310*F310,0)</f>
        <v>92100</v>
      </c>
      <c r="H310" s="4">
        <f>D310</f>
        <v>3</v>
      </c>
      <c r="I310" s="3" t="s">
        <v>8</v>
      </c>
      <c r="J310" s="107">
        <f>F310</f>
        <v>30700</v>
      </c>
      <c r="K310" s="45">
        <f>ROUND(H310*J310,0)</f>
        <v>92100</v>
      </c>
      <c r="L310" s="45">
        <f t="shared" si="17"/>
        <v>0</v>
      </c>
      <c r="M310" s="45">
        <f t="shared" si="18"/>
        <v>0</v>
      </c>
      <c r="N310" s="367" t="s">
        <v>488</v>
      </c>
      <c r="O310" s="48" t="s">
        <v>168</v>
      </c>
    </row>
    <row r="311" spans="1:15" s="48" customFormat="1" outlineLevel="1">
      <c r="A311" s="3"/>
      <c r="B311" s="1" t="str">
        <f t="shared" si="19"/>
        <v/>
      </c>
      <c r="C311" s="204" t="s">
        <v>26</v>
      </c>
      <c r="F311" s="43"/>
      <c r="G311" s="45"/>
      <c r="H311" s="4">
        <v>3</v>
      </c>
      <c r="I311" s="3" t="s">
        <v>8</v>
      </c>
      <c r="J311" s="107">
        <f>F310</f>
        <v>30700</v>
      </c>
      <c r="K311" s="45">
        <f>ROUND(H311*J311,0)</f>
        <v>92100</v>
      </c>
      <c r="L311" s="45">
        <f t="shared" si="17"/>
        <v>92100</v>
      </c>
      <c r="M311" s="45">
        <f t="shared" si="18"/>
        <v>0</v>
      </c>
      <c r="N311" s="367"/>
      <c r="O311" s="48" t="s">
        <v>168</v>
      </c>
    </row>
    <row r="312" spans="1:15" s="48" customFormat="1" outlineLevel="1">
      <c r="A312" s="3"/>
      <c r="B312" s="1" t="str">
        <f t="shared" si="19"/>
        <v/>
      </c>
      <c r="C312" s="47" t="s">
        <v>253</v>
      </c>
      <c r="F312" s="43"/>
      <c r="G312" s="45"/>
      <c r="H312" s="4"/>
      <c r="I312" s="3"/>
      <c r="J312" s="107"/>
      <c r="K312" s="45"/>
      <c r="L312" s="45"/>
      <c r="M312" s="45"/>
      <c r="N312" s="116"/>
      <c r="O312" s="48" t="s">
        <v>168</v>
      </c>
    </row>
    <row r="313" spans="1:15" s="48" customFormat="1" ht="12.1" customHeight="1" outlineLevel="1">
      <c r="A313" s="3"/>
      <c r="B313" s="1" t="str">
        <f t="shared" si="19"/>
        <v/>
      </c>
      <c r="C313" s="47"/>
      <c r="F313" s="43"/>
      <c r="G313" s="45"/>
      <c r="H313" s="4"/>
      <c r="I313" s="3"/>
      <c r="J313" s="107"/>
      <c r="K313" s="45"/>
      <c r="L313" s="45"/>
      <c r="M313" s="45"/>
      <c r="N313" s="116"/>
      <c r="O313" s="48" t="s">
        <v>168</v>
      </c>
    </row>
    <row r="314" spans="1:15" s="48" customFormat="1" ht="194.95" customHeight="1" outlineLevel="1">
      <c r="A314" s="1">
        <v>373</v>
      </c>
      <c r="B314" s="1" t="str">
        <f t="shared" si="19"/>
        <v>IVF373</v>
      </c>
      <c r="C314" s="201" t="s">
        <v>354</v>
      </c>
      <c r="D314" s="1">
        <v>4</v>
      </c>
      <c r="E314" s="46" t="s">
        <v>8</v>
      </c>
      <c r="F314" s="5">
        <v>35000</v>
      </c>
      <c r="G314" s="45">
        <f>ROUND(D314*F314,0)</f>
        <v>140000</v>
      </c>
      <c r="H314" s="4">
        <f>D314</f>
        <v>4</v>
      </c>
      <c r="I314" s="3" t="s">
        <v>8</v>
      </c>
      <c r="J314" s="107">
        <f>F314</f>
        <v>35000</v>
      </c>
      <c r="K314" s="45">
        <f>ROUND(H314*J314,0)</f>
        <v>140000</v>
      </c>
      <c r="L314" s="45">
        <f t="shared" si="17"/>
        <v>0</v>
      </c>
      <c r="M314" s="45">
        <f t="shared" si="18"/>
        <v>0</v>
      </c>
      <c r="N314" s="367" t="s">
        <v>487</v>
      </c>
      <c r="O314" s="48" t="s">
        <v>168</v>
      </c>
    </row>
    <row r="315" spans="1:15" s="48" customFormat="1" outlineLevel="1">
      <c r="A315" s="3"/>
      <c r="B315" s="1" t="str">
        <f t="shared" si="19"/>
        <v/>
      </c>
      <c r="C315" s="204" t="s">
        <v>26</v>
      </c>
      <c r="F315" s="43"/>
      <c r="G315" s="45"/>
      <c r="H315" s="4">
        <v>2</v>
      </c>
      <c r="I315" s="3" t="s">
        <v>8</v>
      </c>
      <c r="J315" s="107">
        <f>F314</f>
        <v>35000</v>
      </c>
      <c r="K315" s="45">
        <f>ROUND(H315*J315,0)</f>
        <v>70000</v>
      </c>
      <c r="L315" s="45">
        <f t="shared" si="17"/>
        <v>70000</v>
      </c>
      <c r="M315" s="45">
        <f t="shared" si="18"/>
        <v>0</v>
      </c>
      <c r="N315" s="367"/>
      <c r="O315" s="48" t="s">
        <v>168</v>
      </c>
    </row>
    <row r="316" spans="1:15" s="48" customFormat="1" outlineLevel="1">
      <c r="A316" s="3"/>
      <c r="B316" s="1" t="str">
        <f t="shared" si="19"/>
        <v/>
      </c>
      <c r="C316" s="47" t="s">
        <v>253</v>
      </c>
      <c r="F316" s="43"/>
      <c r="G316" s="45"/>
      <c r="H316" s="4"/>
      <c r="I316" s="3"/>
      <c r="J316" s="107"/>
      <c r="K316" s="45"/>
      <c r="L316" s="45"/>
      <c r="M316" s="45"/>
      <c r="N316" s="116"/>
      <c r="O316" s="48" t="s">
        <v>168</v>
      </c>
    </row>
    <row r="317" spans="1:15" s="48" customFormat="1" ht="12.1" customHeight="1" outlineLevel="1">
      <c r="A317" s="3"/>
      <c r="B317" s="1" t="str">
        <f t="shared" si="19"/>
        <v/>
      </c>
      <c r="C317" s="47"/>
      <c r="F317" s="43"/>
      <c r="G317" s="45"/>
      <c r="H317" s="4"/>
      <c r="I317" s="3"/>
      <c r="J317" s="107"/>
      <c r="K317" s="45"/>
      <c r="L317" s="45"/>
      <c r="M317" s="45"/>
      <c r="N317" s="116"/>
      <c r="O317" s="48" t="s">
        <v>168</v>
      </c>
    </row>
    <row r="318" spans="1:15" s="48" customFormat="1" ht="198" customHeight="1" outlineLevel="1">
      <c r="A318" s="1">
        <v>374</v>
      </c>
      <c r="B318" s="1" t="str">
        <f t="shared" si="19"/>
        <v>IVF374</v>
      </c>
      <c r="C318" s="201" t="s">
        <v>355</v>
      </c>
      <c r="D318" s="1">
        <v>2</v>
      </c>
      <c r="E318" s="46" t="s">
        <v>8</v>
      </c>
      <c r="F318" s="5">
        <v>50000</v>
      </c>
      <c r="G318" s="45">
        <f>ROUND(D318*F318,0)</f>
        <v>100000</v>
      </c>
      <c r="H318" s="4">
        <v>0</v>
      </c>
      <c r="I318" s="3" t="s">
        <v>8</v>
      </c>
      <c r="J318" s="107">
        <f>F318</f>
        <v>50000</v>
      </c>
      <c r="K318" s="45"/>
      <c r="L318" s="45">
        <f t="shared" si="17"/>
        <v>0</v>
      </c>
      <c r="M318" s="45">
        <f t="shared" si="18"/>
        <v>100000</v>
      </c>
      <c r="N318" s="116" t="s">
        <v>486</v>
      </c>
      <c r="O318" s="48" t="s">
        <v>168</v>
      </c>
    </row>
    <row r="319" spans="1:15" s="48" customFormat="1" ht="12.1" customHeight="1" outlineLevel="1">
      <c r="A319" s="3"/>
      <c r="B319" s="1" t="str">
        <f t="shared" si="19"/>
        <v/>
      </c>
      <c r="F319" s="43"/>
      <c r="G319" s="45"/>
      <c r="H319" s="4"/>
      <c r="I319" s="3"/>
      <c r="J319" s="107"/>
      <c r="K319" s="45"/>
      <c r="L319" s="45">
        <f t="shared" si="17"/>
        <v>0</v>
      </c>
      <c r="M319" s="45">
        <f t="shared" si="18"/>
        <v>0</v>
      </c>
      <c r="N319" s="116"/>
      <c r="O319" s="48" t="s">
        <v>168</v>
      </c>
    </row>
    <row r="320" spans="1:15" s="48" customFormat="1" ht="74.400000000000006" customHeight="1" outlineLevel="1">
      <c r="A320" s="1">
        <v>376</v>
      </c>
      <c r="B320" s="1" t="str">
        <f t="shared" si="19"/>
        <v>IVF376</v>
      </c>
      <c r="C320" s="201" t="s">
        <v>81</v>
      </c>
      <c r="D320" s="1">
        <v>10</v>
      </c>
      <c r="E320" s="46" t="s">
        <v>16</v>
      </c>
      <c r="F320" s="5">
        <v>6191</v>
      </c>
      <c r="G320" s="45">
        <f>ROUND(D320*F320,0)</f>
        <v>61910</v>
      </c>
      <c r="H320" s="4">
        <f>D320</f>
        <v>10</v>
      </c>
      <c r="I320" s="3" t="s">
        <v>16</v>
      </c>
      <c r="J320" s="107">
        <f>F320</f>
        <v>6191</v>
      </c>
      <c r="K320" s="45">
        <f>ROUND(H320*J320,0)</f>
        <v>61910</v>
      </c>
      <c r="L320" s="45">
        <f t="shared" si="17"/>
        <v>0</v>
      </c>
      <c r="M320" s="45">
        <f t="shared" si="18"/>
        <v>0</v>
      </c>
      <c r="N320" s="367" t="s">
        <v>490</v>
      </c>
      <c r="O320" s="48" t="s">
        <v>168</v>
      </c>
    </row>
    <row r="321" spans="1:15" s="48" customFormat="1" outlineLevel="1">
      <c r="A321" s="3"/>
      <c r="B321" s="1" t="str">
        <f t="shared" si="19"/>
        <v/>
      </c>
      <c r="C321" s="204" t="s">
        <v>26</v>
      </c>
      <c r="F321" s="43"/>
      <c r="G321" s="45"/>
      <c r="H321" s="4">
        <v>5</v>
      </c>
      <c r="I321" s="3" t="s">
        <v>16</v>
      </c>
      <c r="J321" s="107">
        <f>F320</f>
        <v>6191</v>
      </c>
      <c r="K321" s="45">
        <f>ROUND(H321*J321,0)</f>
        <v>30955</v>
      </c>
      <c r="L321" s="45">
        <f t="shared" si="17"/>
        <v>30955</v>
      </c>
      <c r="M321" s="45">
        <f t="shared" si="18"/>
        <v>0</v>
      </c>
      <c r="N321" s="367"/>
      <c r="O321" s="48" t="s">
        <v>168</v>
      </c>
    </row>
    <row r="322" spans="1:15" s="48" customFormat="1" outlineLevel="1">
      <c r="A322" s="3"/>
      <c r="B322" s="1" t="str">
        <f t="shared" si="19"/>
        <v/>
      </c>
      <c r="C322" s="47" t="s">
        <v>254</v>
      </c>
      <c r="F322" s="43"/>
      <c r="G322" s="45"/>
      <c r="H322" s="4"/>
      <c r="I322" s="3"/>
      <c r="J322" s="107"/>
      <c r="K322" s="45"/>
      <c r="L322" s="45"/>
      <c r="M322" s="45"/>
      <c r="N322" s="116"/>
      <c r="O322" s="48" t="s">
        <v>168</v>
      </c>
    </row>
    <row r="323" spans="1:15" s="48" customFormat="1" ht="12.1" customHeight="1" outlineLevel="1">
      <c r="A323" s="3"/>
      <c r="B323" s="1" t="str">
        <f t="shared" si="19"/>
        <v/>
      </c>
      <c r="C323" s="47"/>
      <c r="F323" s="43"/>
      <c r="G323" s="45"/>
      <c r="H323" s="4"/>
      <c r="I323" s="3"/>
      <c r="J323" s="107"/>
      <c r="K323" s="45"/>
      <c r="L323" s="45"/>
      <c r="M323" s="45"/>
      <c r="N323" s="116"/>
      <c r="O323" s="48" t="s">
        <v>168</v>
      </c>
    </row>
    <row r="324" spans="1:15" s="48" customFormat="1" ht="19.899999999999999" customHeight="1">
      <c r="A324" s="3"/>
      <c r="B324" s="1" t="str">
        <f t="shared" si="19"/>
        <v/>
      </c>
      <c r="F324" s="43"/>
      <c r="G324" s="49">
        <f>ROUND(SUM(G254:G323),0)</f>
        <v>2920235</v>
      </c>
      <c r="H324" s="4"/>
      <c r="I324" s="3"/>
      <c r="J324" s="108" t="s">
        <v>28</v>
      </c>
      <c r="K324" s="49">
        <f>ROUND(SUM(K254:K323),0)</f>
        <v>1699566</v>
      </c>
      <c r="L324" s="49">
        <f>SUM(L254:L323)</f>
        <v>374548</v>
      </c>
      <c r="M324" s="49">
        <f>SUM(M254:M323)</f>
        <v>1595217</v>
      </c>
      <c r="N324" s="216"/>
    </row>
    <row r="325" spans="1:15" s="48" customFormat="1" ht="19.899999999999999" customHeight="1">
      <c r="A325" s="3"/>
      <c r="B325" s="1" t="str">
        <f t="shared" si="19"/>
        <v/>
      </c>
      <c r="C325" s="193" t="s">
        <v>33</v>
      </c>
      <c r="F325" s="43"/>
      <c r="G325" s="44"/>
      <c r="H325" s="4"/>
      <c r="I325" s="3"/>
      <c r="J325" s="107"/>
      <c r="K325" s="44"/>
      <c r="L325" s="45"/>
      <c r="M325" s="45"/>
      <c r="N325" s="116"/>
    </row>
    <row r="326" spans="1:15" s="48" customFormat="1" ht="93.1" customHeight="1" outlineLevel="1">
      <c r="A326" s="1">
        <v>384</v>
      </c>
      <c r="B326" s="1" t="str">
        <f t="shared" si="19"/>
        <v>IVF384</v>
      </c>
      <c r="C326" s="201" t="s">
        <v>82</v>
      </c>
      <c r="D326" s="1">
        <v>1</v>
      </c>
      <c r="E326" s="46" t="s">
        <v>16</v>
      </c>
      <c r="F326" s="5">
        <v>20750</v>
      </c>
      <c r="G326" s="45">
        <f>ROUND(D326*F326,0)</f>
        <v>20750</v>
      </c>
      <c r="H326" s="4">
        <v>1</v>
      </c>
      <c r="I326" s="3" t="s">
        <v>16</v>
      </c>
      <c r="J326" s="107">
        <f>F326</f>
        <v>20750</v>
      </c>
      <c r="K326" s="45">
        <f>ROUND(H326*J326,0)</f>
        <v>20750</v>
      </c>
      <c r="L326" s="45">
        <f t="shared" ref="L326:L342" si="20">ROUND(IF(K326&gt;G326,K326-G326,0),0)</f>
        <v>0</v>
      </c>
      <c r="M326" s="45">
        <f t="shared" ref="M326:M342" si="21">ROUND(IF(K326&lt;G326,G326-K326,0),0)</f>
        <v>0</v>
      </c>
      <c r="N326" s="367" t="s">
        <v>491</v>
      </c>
      <c r="O326" s="48" t="s">
        <v>169</v>
      </c>
    </row>
    <row r="327" spans="1:15" s="48" customFormat="1" outlineLevel="1">
      <c r="A327" s="1"/>
      <c r="B327" s="1" t="str">
        <f t="shared" si="19"/>
        <v/>
      </c>
      <c r="C327" s="41" t="s">
        <v>26</v>
      </c>
      <c r="D327" s="1"/>
      <c r="E327" s="46"/>
      <c r="F327" s="5"/>
      <c r="G327" s="45"/>
      <c r="H327" s="4">
        <v>1</v>
      </c>
      <c r="I327" s="3" t="s">
        <v>16</v>
      </c>
      <c r="J327" s="107">
        <f>J326</f>
        <v>20750</v>
      </c>
      <c r="K327" s="45">
        <f>ROUND(H327*J327,0)</f>
        <v>20750</v>
      </c>
      <c r="L327" s="45">
        <f>ROUND(IF(K327&gt;G327,K327-G327,0),0)</f>
        <v>20750</v>
      </c>
      <c r="M327" s="45">
        <f>ROUND(IF(K327&lt;G327,G327-K327,0),0)</f>
        <v>0</v>
      </c>
      <c r="N327" s="367"/>
      <c r="O327" s="48" t="s">
        <v>169</v>
      </c>
    </row>
    <row r="328" spans="1:15" s="48" customFormat="1" outlineLevel="1">
      <c r="A328" s="1"/>
      <c r="B328" s="1" t="str">
        <f t="shared" si="19"/>
        <v/>
      </c>
      <c r="C328" s="203" t="s">
        <v>285</v>
      </c>
      <c r="D328" s="1"/>
      <c r="E328" s="46"/>
      <c r="F328" s="5"/>
      <c r="G328" s="45"/>
      <c r="H328" s="4"/>
      <c r="I328" s="3"/>
      <c r="J328" s="107"/>
      <c r="K328" s="45"/>
      <c r="L328" s="45"/>
      <c r="M328" s="45"/>
      <c r="N328" s="116"/>
      <c r="O328" s="48" t="s">
        <v>169</v>
      </c>
    </row>
    <row r="329" spans="1:15" s="48" customFormat="1" ht="12.1" customHeight="1" outlineLevel="1">
      <c r="A329" s="3"/>
      <c r="B329" s="1" t="str">
        <f t="shared" si="19"/>
        <v/>
      </c>
      <c r="F329" s="43"/>
      <c r="G329" s="45"/>
      <c r="H329" s="4"/>
      <c r="I329" s="3"/>
      <c r="J329" s="107"/>
      <c r="K329" s="45"/>
      <c r="L329" s="45">
        <f t="shared" si="20"/>
        <v>0</v>
      </c>
      <c r="M329" s="45">
        <f t="shared" si="21"/>
        <v>0</v>
      </c>
      <c r="N329" s="116"/>
      <c r="O329" s="48" t="s">
        <v>169</v>
      </c>
    </row>
    <row r="330" spans="1:15" s="48" customFormat="1" ht="62.35" customHeight="1" outlineLevel="1">
      <c r="A330" s="1">
        <v>386</v>
      </c>
      <c r="B330" s="1" t="str">
        <f t="shared" ref="B330:B342" si="22">IF(ISBLANK(A330), "","IVF"&amp;A330)</f>
        <v>IVF386</v>
      </c>
      <c r="C330" s="201" t="s">
        <v>83</v>
      </c>
      <c r="D330" s="1">
        <v>24</v>
      </c>
      <c r="E330" s="46" t="s">
        <v>12</v>
      </c>
      <c r="F330" s="5">
        <v>642</v>
      </c>
      <c r="G330" s="45">
        <f>ROUND(D330*F330,0)</f>
        <v>15408</v>
      </c>
      <c r="H330" s="4">
        <v>21.7</v>
      </c>
      <c r="I330" s="3" t="s">
        <v>12</v>
      </c>
      <c r="J330" s="107">
        <f>F330</f>
        <v>642</v>
      </c>
      <c r="K330" s="45">
        <f>ROUND(H330*J330,0)</f>
        <v>13931</v>
      </c>
      <c r="L330" s="45">
        <f t="shared" si="20"/>
        <v>0</v>
      </c>
      <c r="M330" s="45">
        <f t="shared" si="21"/>
        <v>1477</v>
      </c>
      <c r="N330" s="116" t="s">
        <v>310</v>
      </c>
      <c r="O330" s="48" t="s">
        <v>169</v>
      </c>
    </row>
    <row r="331" spans="1:15" s="48" customFormat="1" outlineLevel="1">
      <c r="A331" s="1"/>
      <c r="B331" s="1" t="str">
        <f t="shared" si="22"/>
        <v/>
      </c>
      <c r="C331" s="203" t="s">
        <v>286</v>
      </c>
      <c r="D331" s="1"/>
      <c r="E331" s="46"/>
      <c r="F331" s="5"/>
      <c r="G331" s="45"/>
      <c r="H331" s="4"/>
      <c r="I331" s="3"/>
      <c r="J331" s="107"/>
      <c r="K331" s="45"/>
      <c r="L331" s="45"/>
      <c r="M331" s="45"/>
      <c r="N331" s="116"/>
      <c r="O331" s="48" t="s">
        <v>169</v>
      </c>
    </row>
    <row r="332" spans="1:15" s="48" customFormat="1" ht="12.1" customHeight="1" outlineLevel="1">
      <c r="A332" s="3"/>
      <c r="B332" s="1" t="str">
        <f t="shared" si="22"/>
        <v/>
      </c>
      <c r="F332" s="43"/>
      <c r="G332" s="45"/>
      <c r="H332" s="4"/>
      <c r="I332" s="3"/>
      <c r="J332" s="107"/>
      <c r="K332" s="45"/>
      <c r="L332" s="45">
        <f t="shared" si="20"/>
        <v>0</v>
      </c>
      <c r="M332" s="45">
        <f t="shared" si="21"/>
        <v>0</v>
      </c>
      <c r="N332" s="116"/>
      <c r="O332" s="48" t="s">
        <v>169</v>
      </c>
    </row>
    <row r="333" spans="1:15" s="48" customFormat="1" ht="73.55" customHeight="1" outlineLevel="1">
      <c r="A333" s="1">
        <v>387</v>
      </c>
      <c r="B333" s="1" t="str">
        <f t="shared" si="22"/>
        <v>IVF387</v>
      </c>
      <c r="C333" s="201" t="s">
        <v>84</v>
      </c>
      <c r="D333" s="1">
        <v>114</v>
      </c>
      <c r="E333" s="46" t="s">
        <v>12</v>
      </c>
      <c r="F333" s="5">
        <v>824</v>
      </c>
      <c r="G333" s="45">
        <f>ROUND(D333*F333,0)</f>
        <v>93936</v>
      </c>
      <c r="H333" s="4">
        <v>114</v>
      </c>
      <c r="I333" s="3" t="s">
        <v>12</v>
      </c>
      <c r="J333" s="107">
        <f>F333</f>
        <v>824</v>
      </c>
      <c r="K333" s="45">
        <f>ROUND(H333*J333,0)</f>
        <v>93936</v>
      </c>
      <c r="L333" s="45">
        <f t="shared" si="20"/>
        <v>0</v>
      </c>
      <c r="M333" s="45">
        <f t="shared" si="21"/>
        <v>0</v>
      </c>
      <c r="N333" s="116" t="s">
        <v>220</v>
      </c>
      <c r="O333" s="48" t="s">
        <v>169</v>
      </c>
    </row>
    <row r="334" spans="1:15" s="48" customFormat="1" outlineLevel="1">
      <c r="A334" s="3"/>
      <c r="B334" s="1" t="str">
        <f t="shared" si="22"/>
        <v/>
      </c>
      <c r="C334" s="204" t="s">
        <v>26</v>
      </c>
      <c r="F334" s="43"/>
      <c r="G334" s="45"/>
      <c r="H334" s="4">
        <f>201.23-H333</f>
        <v>87.22999999999999</v>
      </c>
      <c r="I334" s="3" t="s">
        <v>12</v>
      </c>
      <c r="J334" s="107">
        <f>J333</f>
        <v>824</v>
      </c>
      <c r="K334" s="45">
        <f>ROUND(H334*J334,0)</f>
        <v>71878</v>
      </c>
      <c r="L334" s="45">
        <f t="shared" si="20"/>
        <v>71878</v>
      </c>
      <c r="M334" s="45">
        <f t="shared" si="21"/>
        <v>0</v>
      </c>
      <c r="N334" s="116"/>
      <c r="O334" s="48" t="s">
        <v>169</v>
      </c>
    </row>
    <row r="335" spans="1:15" s="48" customFormat="1" outlineLevel="1">
      <c r="A335" s="3"/>
      <c r="B335" s="1" t="str">
        <f t="shared" si="22"/>
        <v/>
      </c>
      <c r="C335" s="47" t="s">
        <v>286</v>
      </c>
      <c r="F335" s="43"/>
      <c r="G335" s="45"/>
      <c r="H335" s="4"/>
      <c r="I335" s="3"/>
      <c r="J335" s="107"/>
      <c r="K335" s="45"/>
      <c r="L335" s="45"/>
      <c r="M335" s="45"/>
      <c r="N335" s="116"/>
      <c r="O335" s="48" t="s">
        <v>169</v>
      </c>
    </row>
    <row r="336" spans="1:15" s="48" customFormat="1" ht="12.1" customHeight="1" outlineLevel="1">
      <c r="A336" s="3"/>
      <c r="B336" s="1" t="str">
        <f t="shared" si="22"/>
        <v/>
      </c>
      <c r="C336" s="47"/>
      <c r="F336" s="43"/>
      <c r="G336" s="45"/>
      <c r="H336" s="4"/>
      <c r="I336" s="3"/>
      <c r="J336" s="107"/>
      <c r="K336" s="45"/>
      <c r="L336" s="45"/>
      <c r="M336" s="45"/>
      <c r="N336" s="116"/>
      <c r="O336" s="48" t="s">
        <v>169</v>
      </c>
    </row>
    <row r="337" spans="1:17" s="48" customFormat="1" ht="78.150000000000006" outlineLevel="1">
      <c r="A337" s="1">
        <v>388</v>
      </c>
      <c r="B337" s="1" t="str">
        <f t="shared" si="22"/>
        <v>IVF388</v>
      </c>
      <c r="C337" s="201" t="s">
        <v>85</v>
      </c>
      <c r="D337" s="1">
        <v>36</v>
      </c>
      <c r="E337" s="46" t="s">
        <v>12</v>
      </c>
      <c r="F337" s="5">
        <v>1191</v>
      </c>
      <c r="G337" s="45">
        <f>ROUND(D337*F337,0)</f>
        <v>42876</v>
      </c>
      <c r="H337" s="4">
        <v>36</v>
      </c>
      <c r="I337" s="3" t="s">
        <v>12</v>
      </c>
      <c r="J337" s="107">
        <f>F337</f>
        <v>1191</v>
      </c>
      <c r="K337" s="45">
        <f>ROUND(H337*J337,0)</f>
        <v>42876</v>
      </c>
      <c r="L337" s="45">
        <f t="shared" si="20"/>
        <v>0</v>
      </c>
      <c r="M337" s="45">
        <f t="shared" si="21"/>
        <v>0</v>
      </c>
      <c r="N337" s="116" t="s">
        <v>220</v>
      </c>
      <c r="O337" s="48" t="s">
        <v>169</v>
      </c>
    </row>
    <row r="338" spans="1:17" s="48" customFormat="1" outlineLevel="1">
      <c r="A338" s="3"/>
      <c r="B338" s="1" t="str">
        <f t="shared" si="22"/>
        <v/>
      </c>
      <c r="C338" s="204" t="s">
        <v>26</v>
      </c>
      <c r="F338" s="43"/>
      <c r="G338" s="45"/>
      <c r="H338" s="4">
        <f>78.65-H337</f>
        <v>42.650000000000006</v>
      </c>
      <c r="I338" s="3" t="s">
        <v>12</v>
      </c>
      <c r="J338" s="107">
        <f>J337</f>
        <v>1191</v>
      </c>
      <c r="K338" s="45">
        <f>ROUND(H338*J338,0)</f>
        <v>50796</v>
      </c>
      <c r="L338" s="45">
        <f t="shared" si="20"/>
        <v>50796</v>
      </c>
      <c r="M338" s="45">
        <f t="shared" si="21"/>
        <v>0</v>
      </c>
      <c r="N338" s="116"/>
      <c r="O338" s="48" t="s">
        <v>169</v>
      </c>
    </row>
    <row r="339" spans="1:17" s="48" customFormat="1" outlineLevel="1">
      <c r="A339" s="3"/>
      <c r="B339" s="1" t="str">
        <f t="shared" si="22"/>
        <v/>
      </c>
      <c r="C339" s="47" t="s">
        <v>286</v>
      </c>
      <c r="F339" s="43"/>
      <c r="G339" s="45"/>
      <c r="H339" s="4"/>
      <c r="I339" s="3"/>
      <c r="J339" s="107"/>
      <c r="K339" s="45"/>
      <c r="L339" s="45"/>
      <c r="M339" s="45"/>
      <c r="N339" s="116"/>
      <c r="O339" s="48" t="s">
        <v>169</v>
      </c>
    </row>
    <row r="340" spans="1:17" s="48" customFormat="1" ht="12.1" customHeight="1" outlineLevel="1">
      <c r="A340" s="3"/>
      <c r="B340" s="1" t="str">
        <f t="shared" si="22"/>
        <v/>
      </c>
      <c r="C340" s="47"/>
      <c r="F340" s="43"/>
      <c r="G340" s="45"/>
      <c r="H340" s="4"/>
      <c r="I340" s="3"/>
      <c r="J340" s="107"/>
      <c r="K340" s="45"/>
      <c r="L340" s="45"/>
      <c r="M340" s="45"/>
      <c r="N340" s="116"/>
      <c r="O340" s="48" t="s">
        <v>169</v>
      </c>
    </row>
    <row r="341" spans="1:17" s="48" customFormat="1" ht="46.9" outlineLevel="1">
      <c r="A341" s="1">
        <v>389</v>
      </c>
      <c r="B341" s="1" t="str">
        <f t="shared" si="22"/>
        <v>IVF389</v>
      </c>
      <c r="C341" s="201" t="s">
        <v>86</v>
      </c>
      <c r="D341" s="1">
        <v>18</v>
      </c>
      <c r="E341" s="46" t="s">
        <v>12</v>
      </c>
      <c r="F341" s="5">
        <v>1473</v>
      </c>
      <c r="G341" s="45">
        <f>ROUND(D341*F341,0)</f>
        <v>26514</v>
      </c>
      <c r="H341" s="4">
        <v>0</v>
      </c>
      <c r="I341" s="3" t="s">
        <v>12</v>
      </c>
      <c r="J341" s="107">
        <f>F341</f>
        <v>1473</v>
      </c>
      <c r="K341" s="45"/>
      <c r="L341" s="45">
        <f t="shared" si="20"/>
        <v>0</v>
      </c>
      <c r="M341" s="45">
        <f t="shared" si="21"/>
        <v>26514</v>
      </c>
      <c r="N341" s="116" t="s">
        <v>293</v>
      </c>
      <c r="O341" s="48" t="s">
        <v>169</v>
      </c>
    </row>
    <row r="342" spans="1:17" s="48" customFormat="1" ht="12.1" customHeight="1" outlineLevel="1">
      <c r="A342" s="3"/>
      <c r="B342" s="1" t="str">
        <f t="shared" si="22"/>
        <v/>
      </c>
      <c r="F342" s="43"/>
      <c r="G342" s="45"/>
      <c r="H342" s="4"/>
      <c r="I342" s="3"/>
      <c r="J342" s="107"/>
      <c r="K342" s="45"/>
      <c r="L342" s="45">
        <f t="shared" si="20"/>
        <v>0</v>
      </c>
      <c r="M342" s="45">
        <f t="shared" si="21"/>
        <v>0</v>
      </c>
      <c r="N342" s="116"/>
      <c r="O342" s="48" t="s">
        <v>169</v>
      </c>
    </row>
    <row r="343" spans="1:17" s="47" customFormat="1" ht="30.6" customHeight="1">
      <c r="A343" s="53"/>
      <c r="F343" s="52"/>
      <c r="G343" s="49">
        <f>ROUND(SUM(G326:G342),0)</f>
        <v>199484</v>
      </c>
      <c r="H343" s="53"/>
      <c r="I343" s="53"/>
      <c r="J343" s="108" t="s">
        <v>28</v>
      </c>
      <c r="K343" s="49">
        <f>ROUND(SUM(K326:K342),0)</f>
        <v>314917</v>
      </c>
      <c r="L343" s="49">
        <f>SUM(L326:L342)</f>
        <v>143424</v>
      </c>
      <c r="M343" s="49">
        <f>SUM(M326:M342)</f>
        <v>27991</v>
      </c>
      <c r="N343" s="217"/>
    </row>
    <row r="344" spans="1:17" s="48" customFormat="1" ht="26" customHeight="1">
      <c r="A344" s="3"/>
      <c r="C344" s="49" t="e">
        <f>G344*1.18</f>
        <v>#REF!</v>
      </c>
      <c r="F344" s="43"/>
      <c r="G344" s="49" t="e">
        <f>ROUND((G343+G324+#REF!+#REF!+G252+G133+G113+G7),0)</f>
        <v>#REF!</v>
      </c>
      <c r="H344" s="53"/>
      <c r="I344" s="53"/>
      <c r="J344" s="107"/>
      <c r="K344" s="49" t="e">
        <f>ROUND((K343+K324+#REF!+#REF!+K252+K133+K113+K7),0)</f>
        <v>#REF!</v>
      </c>
      <c r="L344" s="49" t="e">
        <f>L343+L324+#REF!+#REF!+L252+L133+L113+L7</f>
        <v>#REF!</v>
      </c>
      <c r="M344" s="49" t="e">
        <f>M343+M324+#REF!+#REF!+M252+M133+M113+M7</f>
        <v>#REF!</v>
      </c>
      <c r="N344" s="218"/>
      <c r="Q344" s="48">
        <f>395*0.9</f>
        <v>355.5</v>
      </c>
    </row>
    <row r="345" spans="1:17" s="48" customFormat="1" ht="29.4" customHeight="1">
      <c r="A345" s="3"/>
      <c r="C345" s="194" t="s">
        <v>356</v>
      </c>
      <c r="D345" s="194"/>
      <c r="E345" s="194"/>
      <c r="F345" s="194"/>
      <c r="G345" s="194"/>
      <c r="H345" s="57"/>
      <c r="I345" s="54"/>
      <c r="J345" s="107"/>
      <c r="K345" s="44"/>
      <c r="L345" s="44"/>
      <c r="M345" s="44"/>
      <c r="N345" s="116"/>
    </row>
    <row r="346" spans="1:17" s="48" customFormat="1" ht="260.35000000000002" customHeight="1" outlineLevel="1">
      <c r="A346" s="54">
        <v>1</v>
      </c>
      <c r="C346" s="201" t="s">
        <v>110</v>
      </c>
      <c r="D346" s="54">
        <v>0</v>
      </c>
      <c r="E346" s="46" t="s">
        <v>34</v>
      </c>
      <c r="F346" s="55"/>
      <c r="G346" s="56"/>
      <c r="H346" s="57">
        <v>1</v>
      </c>
      <c r="I346" s="54" t="s">
        <v>96</v>
      </c>
      <c r="J346" s="109">
        <v>97000</v>
      </c>
      <c r="K346" s="45">
        <f t="shared" ref="K346:K351" si="23">ROUND(H346*J346,0)</f>
        <v>97000</v>
      </c>
      <c r="L346" s="45">
        <f>ROUND(IF(K346&gt;G346,K346-G346,0),0)</f>
        <v>97000</v>
      </c>
      <c r="M346" s="45">
        <f>ROUND(IF(K346&lt;G346,G346-K346,0),0)</f>
        <v>0</v>
      </c>
      <c r="N346" s="116" t="s">
        <v>313</v>
      </c>
      <c r="O346" s="48" t="s">
        <v>171</v>
      </c>
    </row>
    <row r="347" spans="1:17" s="48" customFormat="1" ht="168.8" customHeight="1" outlineLevel="1">
      <c r="A347" s="54">
        <v>2</v>
      </c>
      <c r="C347" s="201" t="s">
        <v>357</v>
      </c>
      <c r="D347" s="54">
        <v>0</v>
      </c>
      <c r="E347" s="46" t="s">
        <v>96</v>
      </c>
      <c r="F347" s="55"/>
      <c r="G347" s="56"/>
      <c r="H347" s="57">
        <v>1</v>
      </c>
      <c r="I347" s="54" t="s">
        <v>96</v>
      </c>
      <c r="J347" s="109">
        <v>46000</v>
      </c>
      <c r="K347" s="45">
        <f t="shared" si="23"/>
        <v>46000</v>
      </c>
      <c r="L347" s="45">
        <f t="shared" ref="L347:L352" si="24">ROUND(IF(K347&gt;G347,K347-G347,0),0)</f>
        <v>46000</v>
      </c>
      <c r="M347" s="45">
        <f t="shared" ref="M347:M352" si="25">ROUND(IF(K347&lt;G347,G347-K347,0),0)</f>
        <v>0</v>
      </c>
      <c r="N347" s="116" t="s">
        <v>314</v>
      </c>
      <c r="O347" s="48" t="s">
        <v>171</v>
      </c>
    </row>
    <row r="348" spans="1:17" s="48" customFormat="1" ht="137.25" customHeight="1" outlineLevel="1">
      <c r="A348" s="54">
        <v>3</v>
      </c>
      <c r="C348" s="201" t="s">
        <v>358</v>
      </c>
      <c r="D348" s="54">
        <v>0</v>
      </c>
      <c r="E348" s="46" t="s">
        <v>96</v>
      </c>
      <c r="F348" s="55"/>
      <c r="G348" s="56"/>
      <c r="H348" s="57">
        <v>2</v>
      </c>
      <c r="I348" s="54" t="s">
        <v>96</v>
      </c>
      <c r="J348" s="109">
        <v>16300</v>
      </c>
      <c r="K348" s="45">
        <f t="shared" si="23"/>
        <v>32600</v>
      </c>
      <c r="L348" s="45">
        <f t="shared" si="24"/>
        <v>32600</v>
      </c>
      <c r="M348" s="45">
        <f t="shared" si="25"/>
        <v>0</v>
      </c>
      <c r="N348" s="116" t="s">
        <v>375</v>
      </c>
      <c r="O348" s="48" t="s">
        <v>171</v>
      </c>
    </row>
    <row r="349" spans="1:17" s="48" customFormat="1" ht="134.5" customHeight="1" outlineLevel="1">
      <c r="A349" s="54">
        <v>4</v>
      </c>
      <c r="C349" s="201" t="s">
        <v>361</v>
      </c>
      <c r="D349" s="54">
        <v>0</v>
      </c>
      <c r="E349" s="46" t="s">
        <v>96</v>
      </c>
      <c r="F349" s="55"/>
      <c r="G349" s="56"/>
      <c r="H349" s="57">
        <v>1</v>
      </c>
      <c r="I349" s="54" t="s">
        <v>96</v>
      </c>
      <c r="J349" s="109">
        <v>14500</v>
      </c>
      <c r="K349" s="45">
        <f t="shared" si="23"/>
        <v>14500</v>
      </c>
      <c r="L349" s="45">
        <f t="shared" si="24"/>
        <v>14500</v>
      </c>
      <c r="M349" s="45">
        <f t="shared" si="25"/>
        <v>0</v>
      </c>
      <c r="N349" s="116" t="s">
        <v>375</v>
      </c>
      <c r="O349" s="48" t="s">
        <v>171</v>
      </c>
    </row>
    <row r="350" spans="1:17" s="48" customFormat="1" ht="136.55000000000001" customHeight="1" outlineLevel="1">
      <c r="A350" s="54">
        <v>5</v>
      </c>
      <c r="C350" s="201" t="s">
        <v>360</v>
      </c>
      <c r="D350" s="54">
        <v>0</v>
      </c>
      <c r="E350" s="46" t="s">
        <v>96</v>
      </c>
      <c r="F350" s="55"/>
      <c r="G350" s="56"/>
      <c r="H350" s="57">
        <v>1</v>
      </c>
      <c r="I350" s="54" t="s">
        <v>96</v>
      </c>
      <c r="J350" s="109">
        <v>15100</v>
      </c>
      <c r="K350" s="45">
        <f t="shared" si="23"/>
        <v>15100</v>
      </c>
      <c r="L350" s="45">
        <f t="shared" si="24"/>
        <v>15100</v>
      </c>
      <c r="M350" s="45">
        <f t="shared" si="25"/>
        <v>0</v>
      </c>
      <c r="N350" s="116" t="s">
        <v>375</v>
      </c>
      <c r="O350" s="48" t="s">
        <v>171</v>
      </c>
    </row>
    <row r="351" spans="1:17" s="48" customFormat="1" ht="130.94999999999999" customHeight="1" outlineLevel="1">
      <c r="A351" s="54">
        <v>6</v>
      </c>
      <c r="C351" s="201" t="s">
        <v>359</v>
      </c>
      <c r="D351" s="54">
        <v>0</v>
      </c>
      <c r="E351" s="46" t="s">
        <v>96</v>
      </c>
      <c r="F351" s="44"/>
      <c r="G351" s="44"/>
      <c r="H351" s="4">
        <v>1</v>
      </c>
      <c r="I351" s="54" t="s">
        <v>96</v>
      </c>
      <c r="J351" s="109">
        <v>15800</v>
      </c>
      <c r="K351" s="45">
        <f t="shared" si="23"/>
        <v>15800</v>
      </c>
      <c r="L351" s="45">
        <f t="shared" si="24"/>
        <v>15800</v>
      </c>
      <c r="M351" s="45">
        <f t="shared" si="25"/>
        <v>0</v>
      </c>
      <c r="N351" s="116" t="s">
        <v>375</v>
      </c>
      <c r="O351" s="48" t="s">
        <v>171</v>
      </c>
    </row>
    <row r="352" spans="1:17" s="48" customFormat="1" ht="29.4" customHeight="1">
      <c r="A352" s="3"/>
      <c r="C352" s="201"/>
      <c r="D352" s="54"/>
      <c r="E352" s="46"/>
      <c r="F352" s="44"/>
      <c r="G352" s="44"/>
      <c r="H352" s="4"/>
      <c r="I352" s="54"/>
      <c r="J352" s="110" t="s">
        <v>122</v>
      </c>
      <c r="K352" s="59">
        <f>SUM(K346:K351)</f>
        <v>221000</v>
      </c>
      <c r="L352" s="59">
        <f t="shared" si="24"/>
        <v>221000</v>
      </c>
      <c r="M352" s="44">
        <f t="shared" si="25"/>
        <v>0</v>
      </c>
      <c r="N352" s="116"/>
    </row>
    <row r="353" spans="1:15" s="48" customFormat="1" ht="22.95" customHeight="1">
      <c r="A353" s="3"/>
      <c r="C353" s="194" t="s">
        <v>362</v>
      </c>
      <c r="D353" s="195"/>
      <c r="E353" s="195"/>
      <c r="F353" s="195"/>
      <c r="G353" s="195"/>
      <c r="H353" s="3"/>
      <c r="I353" s="3"/>
      <c r="J353" s="107"/>
      <c r="K353" s="44"/>
      <c r="L353" s="44"/>
      <c r="M353" s="44"/>
      <c r="N353" s="116"/>
    </row>
    <row r="354" spans="1:15" s="48" customFormat="1" ht="155.25" customHeight="1" outlineLevel="1">
      <c r="A354" s="3">
        <v>7</v>
      </c>
      <c r="C354" s="206" t="s">
        <v>162</v>
      </c>
      <c r="D354" s="80">
        <v>0</v>
      </c>
      <c r="E354" s="48" t="s">
        <v>10</v>
      </c>
      <c r="F354" s="60"/>
      <c r="G354" s="60"/>
      <c r="H354" s="61">
        <f>251.59+37.55</f>
        <v>289.14</v>
      </c>
      <c r="I354" s="61" t="s">
        <v>10</v>
      </c>
      <c r="J354" s="107">
        <v>13</v>
      </c>
      <c r="K354" s="45">
        <f>ROUND(H354*J354,0)</f>
        <v>3759</v>
      </c>
      <c r="L354" s="45">
        <f>ROUND(IF(K354&gt;G354,K354-G354,0),0)</f>
        <v>3759</v>
      </c>
      <c r="M354" s="45">
        <f>ROUND(IF(K354&lt;G354,G354-K354,0),0)</f>
        <v>0</v>
      </c>
      <c r="N354" s="116" t="s">
        <v>221</v>
      </c>
      <c r="O354" s="48" t="s">
        <v>172</v>
      </c>
    </row>
    <row r="355" spans="1:15" s="48" customFormat="1" ht="31.25" outlineLevel="1">
      <c r="A355" s="3"/>
      <c r="C355" s="206" t="s">
        <v>244</v>
      </c>
      <c r="D355" s="80"/>
      <c r="F355" s="60"/>
      <c r="G355" s="60"/>
      <c r="H355" s="60"/>
      <c r="I355" s="60"/>
      <c r="J355" s="107"/>
      <c r="K355" s="45"/>
      <c r="L355" s="45"/>
      <c r="M355" s="45"/>
      <c r="N355" s="116"/>
      <c r="O355" s="48" t="s">
        <v>172</v>
      </c>
    </row>
    <row r="356" spans="1:15" s="48" customFormat="1" ht="12.1" customHeight="1" outlineLevel="1">
      <c r="A356" s="3"/>
      <c r="F356" s="43"/>
      <c r="G356" s="44"/>
      <c r="H356" s="3"/>
      <c r="I356" s="3"/>
      <c r="J356" s="107"/>
      <c r="K356" s="45"/>
      <c r="L356" s="45">
        <f t="shared" ref="L356:L376" si="26">ROUND(IF(K356&gt;G356,K356-G356,0),0)</f>
        <v>0</v>
      </c>
      <c r="M356" s="45">
        <f t="shared" ref="M356:M376" si="27">ROUND(IF(K356&lt;G356,G356-K356,0),0)</f>
        <v>0</v>
      </c>
      <c r="N356" s="116"/>
      <c r="O356" s="48" t="s">
        <v>172</v>
      </c>
    </row>
    <row r="357" spans="1:15" s="48" customFormat="1" ht="150.80000000000001" customHeight="1" outlineLevel="1">
      <c r="A357" s="3">
        <v>8</v>
      </c>
      <c r="C357" s="206" t="s">
        <v>163</v>
      </c>
      <c r="D357" s="80">
        <v>0</v>
      </c>
      <c r="E357" s="48" t="s">
        <v>9</v>
      </c>
      <c r="F357" s="43"/>
      <c r="G357" s="44"/>
      <c r="H357" s="3">
        <v>0.59</v>
      </c>
      <c r="I357" s="3" t="s">
        <v>9</v>
      </c>
      <c r="J357" s="107">
        <v>4424</v>
      </c>
      <c r="K357" s="45">
        <f>ROUND(H357*J357,0)</f>
        <v>2610</v>
      </c>
      <c r="L357" s="45">
        <f t="shared" si="26"/>
        <v>2610</v>
      </c>
      <c r="M357" s="45">
        <f t="shared" si="27"/>
        <v>0</v>
      </c>
      <c r="N357" s="116" t="s">
        <v>221</v>
      </c>
      <c r="O357" s="48" t="s">
        <v>172</v>
      </c>
    </row>
    <row r="358" spans="1:15" s="48" customFormat="1" ht="31.25" outlineLevel="1">
      <c r="A358" s="3"/>
      <c r="C358" s="206" t="s">
        <v>244</v>
      </c>
      <c r="D358" s="80"/>
      <c r="F358" s="43"/>
      <c r="G358" s="44"/>
      <c r="H358" s="3"/>
      <c r="I358" s="3"/>
      <c r="J358" s="107"/>
      <c r="K358" s="45"/>
      <c r="L358" s="45"/>
      <c r="M358" s="45"/>
      <c r="N358" s="116"/>
      <c r="O358" s="48" t="s">
        <v>172</v>
      </c>
    </row>
    <row r="359" spans="1:15" s="48" customFormat="1" ht="12.1" customHeight="1" outlineLevel="1">
      <c r="A359" s="3"/>
      <c r="C359" s="206"/>
      <c r="F359" s="43"/>
      <c r="G359" s="44"/>
      <c r="H359" s="3"/>
      <c r="I359" s="3"/>
      <c r="J359" s="107"/>
      <c r="K359" s="45"/>
      <c r="L359" s="45">
        <f t="shared" si="26"/>
        <v>0</v>
      </c>
      <c r="M359" s="45">
        <f t="shared" si="27"/>
        <v>0</v>
      </c>
      <c r="N359" s="116"/>
      <c r="O359" s="48" t="s">
        <v>172</v>
      </c>
    </row>
    <row r="360" spans="1:15" s="48" customFormat="1" ht="226.55" customHeight="1" outlineLevel="1">
      <c r="A360" s="3">
        <v>9</v>
      </c>
      <c r="C360" s="116" t="s">
        <v>92</v>
      </c>
      <c r="D360" s="62">
        <v>0</v>
      </c>
      <c r="E360" s="63" t="s">
        <v>10</v>
      </c>
      <c r="F360" s="63"/>
      <c r="G360" s="63"/>
      <c r="H360" s="117">
        <v>11.3</v>
      </c>
      <c r="I360" s="3" t="s">
        <v>10</v>
      </c>
      <c r="J360" s="107">
        <v>9055</v>
      </c>
      <c r="K360" s="45">
        <f>ROUND(H360*J360,0)</f>
        <v>102322</v>
      </c>
      <c r="L360" s="45">
        <f t="shared" si="26"/>
        <v>102322</v>
      </c>
      <c r="M360" s="45">
        <f t="shared" si="27"/>
        <v>0</v>
      </c>
      <c r="N360" s="116" t="s">
        <v>223</v>
      </c>
      <c r="O360" s="48" t="s">
        <v>172</v>
      </c>
    </row>
    <row r="361" spans="1:15" s="48" customFormat="1" outlineLevel="1">
      <c r="A361" s="3"/>
      <c r="C361" s="47" t="s">
        <v>260</v>
      </c>
      <c r="F361" s="43"/>
      <c r="G361" s="44"/>
      <c r="H361" s="3"/>
      <c r="I361" s="3"/>
      <c r="J361" s="107"/>
      <c r="K361" s="45"/>
      <c r="L361" s="45">
        <f t="shared" si="26"/>
        <v>0</v>
      </c>
      <c r="M361" s="45">
        <f t="shared" si="27"/>
        <v>0</v>
      </c>
      <c r="N361" s="116"/>
      <c r="O361" s="48" t="s">
        <v>172</v>
      </c>
    </row>
    <row r="362" spans="1:15" s="48" customFormat="1" ht="12.1" customHeight="1" outlineLevel="1">
      <c r="A362" s="3"/>
      <c r="F362" s="43"/>
      <c r="G362" s="44"/>
      <c r="H362" s="3"/>
      <c r="I362" s="3"/>
      <c r="J362" s="107"/>
      <c r="K362" s="45"/>
      <c r="L362" s="45">
        <f t="shared" si="26"/>
        <v>0</v>
      </c>
      <c r="M362" s="45">
        <f t="shared" si="27"/>
        <v>0</v>
      </c>
      <c r="N362" s="116"/>
      <c r="O362" s="48" t="s">
        <v>172</v>
      </c>
    </row>
    <row r="363" spans="1:15" s="48" customFormat="1" ht="270.7" customHeight="1" outlineLevel="1">
      <c r="A363" s="3">
        <v>10</v>
      </c>
      <c r="C363" s="116" t="s">
        <v>95</v>
      </c>
      <c r="D363" s="64">
        <v>0</v>
      </c>
      <c r="E363" s="3" t="s">
        <v>10</v>
      </c>
      <c r="F363" s="63"/>
      <c r="G363" s="63"/>
      <c r="H363" s="63">
        <v>13.7</v>
      </c>
      <c r="I363" s="3" t="s">
        <v>10</v>
      </c>
      <c r="J363" s="107">
        <v>1625</v>
      </c>
      <c r="K363" s="45">
        <f>ROUND(H363*J363,0)</f>
        <v>22263</v>
      </c>
      <c r="L363" s="45">
        <f t="shared" si="26"/>
        <v>22263</v>
      </c>
      <c r="M363" s="45">
        <f t="shared" si="27"/>
        <v>0</v>
      </c>
      <c r="N363" s="116" t="s">
        <v>225</v>
      </c>
      <c r="O363" s="48" t="s">
        <v>172</v>
      </c>
    </row>
    <row r="364" spans="1:15" s="48" customFormat="1" outlineLevel="1">
      <c r="A364" s="3"/>
      <c r="C364" s="47" t="s">
        <v>272</v>
      </c>
      <c r="F364" s="43"/>
      <c r="G364" s="44"/>
      <c r="H364" s="3"/>
      <c r="I364" s="3"/>
      <c r="J364" s="107"/>
      <c r="K364" s="45"/>
      <c r="L364" s="45">
        <f t="shared" si="26"/>
        <v>0</v>
      </c>
      <c r="M364" s="45">
        <f t="shared" si="27"/>
        <v>0</v>
      </c>
      <c r="N364" s="116"/>
      <c r="O364" s="48" t="s">
        <v>172</v>
      </c>
    </row>
    <row r="365" spans="1:15" s="48" customFormat="1" ht="12.1" customHeight="1" outlineLevel="1">
      <c r="A365" s="117"/>
      <c r="B365" s="63"/>
      <c r="C365" s="116"/>
      <c r="D365" s="63"/>
      <c r="E365" s="63"/>
      <c r="F365" s="63"/>
      <c r="G365" s="44"/>
      <c r="J365" s="107"/>
      <c r="K365" s="45"/>
      <c r="L365" s="45">
        <f t="shared" si="26"/>
        <v>0</v>
      </c>
      <c r="M365" s="45">
        <f t="shared" si="27"/>
        <v>0</v>
      </c>
      <c r="N365" s="116"/>
      <c r="O365" s="48" t="s">
        <v>172</v>
      </c>
    </row>
    <row r="366" spans="1:15" s="48" customFormat="1" ht="257.3" customHeight="1" outlineLevel="1">
      <c r="A366" s="117">
        <v>11</v>
      </c>
      <c r="B366" s="63"/>
      <c r="C366" s="116" t="s">
        <v>129</v>
      </c>
      <c r="D366" s="64">
        <v>0</v>
      </c>
      <c r="E366" s="3" t="s">
        <v>96</v>
      </c>
      <c r="F366" s="63"/>
      <c r="G366" s="63"/>
      <c r="H366" s="3">
        <v>1</v>
      </c>
      <c r="I366" s="3" t="s">
        <v>96</v>
      </c>
      <c r="J366" s="111">
        <v>55000</v>
      </c>
      <c r="K366" s="45">
        <f>ROUND(H366*J366,0)</f>
        <v>55000</v>
      </c>
      <c r="L366" s="45">
        <f t="shared" si="26"/>
        <v>55000</v>
      </c>
      <c r="M366" s="45">
        <f t="shared" si="27"/>
        <v>0</v>
      </c>
      <c r="N366" s="116" t="s">
        <v>223</v>
      </c>
      <c r="O366" s="48" t="s">
        <v>172</v>
      </c>
    </row>
    <row r="367" spans="1:15" s="48" customFormat="1" outlineLevel="1">
      <c r="A367" s="117"/>
      <c r="B367" s="63"/>
      <c r="C367" s="205" t="s">
        <v>254</v>
      </c>
      <c r="D367" s="63"/>
      <c r="E367" s="63"/>
      <c r="F367" s="63"/>
      <c r="G367" s="44"/>
      <c r="J367" s="107"/>
      <c r="K367" s="45"/>
      <c r="L367" s="45">
        <f t="shared" si="26"/>
        <v>0</v>
      </c>
      <c r="M367" s="45">
        <f t="shared" si="27"/>
        <v>0</v>
      </c>
      <c r="N367" s="116"/>
      <c r="O367" s="48" t="s">
        <v>172</v>
      </c>
    </row>
    <row r="368" spans="1:15" s="48" customFormat="1" ht="12.1" customHeight="1" outlineLevel="1">
      <c r="A368" s="117"/>
      <c r="B368" s="63"/>
      <c r="C368" s="116"/>
      <c r="D368" s="63"/>
      <c r="E368" s="63"/>
      <c r="F368" s="63"/>
      <c r="G368" s="44"/>
      <c r="H368" s="3"/>
      <c r="I368" s="3"/>
      <c r="J368" s="107"/>
      <c r="K368" s="45"/>
      <c r="L368" s="45">
        <f t="shared" si="26"/>
        <v>0</v>
      </c>
      <c r="M368" s="45">
        <f t="shared" si="27"/>
        <v>0</v>
      </c>
      <c r="N368" s="116"/>
      <c r="O368" s="48" t="s">
        <v>172</v>
      </c>
    </row>
    <row r="369" spans="1:30" s="48" customFormat="1" ht="409.6" customHeight="1" outlineLevel="1">
      <c r="A369" s="368">
        <v>12</v>
      </c>
      <c r="B369" s="368"/>
      <c r="C369" s="367" t="s">
        <v>97</v>
      </c>
      <c r="D369" s="369">
        <v>0</v>
      </c>
      <c r="E369" s="370" t="s">
        <v>10</v>
      </c>
      <c r="F369" s="368"/>
      <c r="G369" s="368"/>
      <c r="H369" s="368">
        <v>32.08</v>
      </c>
      <c r="I369" s="370" t="s">
        <v>10</v>
      </c>
      <c r="J369" s="372">
        <v>9241</v>
      </c>
      <c r="K369" s="366">
        <f>ROUND(H369*J369,0)</f>
        <v>296451</v>
      </c>
      <c r="L369" s="366">
        <f t="shared" si="26"/>
        <v>296451</v>
      </c>
      <c r="M369" s="366">
        <f t="shared" si="27"/>
        <v>0</v>
      </c>
      <c r="N369" s="367" t="s">
        <v>226</v>
      </c>
      <c r="O369" s="48" t="s">
        <v>172</v>
      </c>
    </row>
    <row r="370" spans="1:30" s="48" customFormat="1" ht="41.95" customHeight="1" outlineLevel="1">
      <c r="A370" s="368"/>
      <c r="B370" s="368"/>
      <c r="C370" s="367"/>
      <c r="D370" s="369"/>
      <c r="E370" s="370"/>
      <c r="F370" s="368"/>
      <c r="G370" s="368"/>
      <c r="H370" s="368"/>
      <c r="I370" s="370"/>
      <c r="J370" s="372"/>
      <c r="K370" s="366"/>
      <c r="L370" s="366"/>
      <c r="M370" s="366"/>
      <c r="N370" s="367"/>
      <c r="O370" s="48" t="s">
        <v>172</v>
      </c>
    </row>
    <row r="371" spans="1:30" s="48" customFormat="1" outlineLevel="1">
      <c r="A371" s="117"/>
      <c r="B371" s="63"/>
      <c r="C371" s="205" t="s">
        <v>284</v>
      </c>
      <c r="D371" s="64"/>
      <c r="E371" s="3"/>
      <c r="F371" s="63"/>
      <c r="G371" s="63"/>
      <c r="H371" s="63"/>
      <c r="I371" s="3"/>
      <c r="J371" s="112"/>
      <c r="K371" s="45"/>
      <c r="L371" s="45"/>
      <c r="M371" s="45"/>
      <c r="N371" s="116"/>
      <c r="O371" s="48" t="s">
        <v>172</v>
      </c>
    </row>
    <row r="372" spans="1:30" s="48" customFormat="1" ht="12.1" customHeight="1" outlineLevel="1">
      <c r="A372" s="117"/>
      <c r="B372" s="63"/>
      <c r="C372" s="116"/>
      <c r="D372" s="64"/>
      <c r="E372" s="3"/>
      <c r="F372" s="63"/>
      <c r="G372" s="63"/>
      <c r="H372" s="63"/>
      <c r="I372" s="3"/>
      <c r="J372" s="112"/>
      <c r="K372" s="45"/>
      <c r="L372" s="45"/>
      <c r="M372" s="45"/>
      <c r="N372" s="116"/>
      <c r="O372" s="48" t="s">
        <v>172</v>
      </c>
    </row>
    <row r="373" spans="1:30" s="48" customFormat="1" ht="409.6" customHeight="1" outlineLevel="1">
      <c r="A373" s="368">
        <v>13</v>
      </c>
      <c r="B373" s="368"/>
      <c r="C373" s="371" t="s">
        <v>123</v>
      </c>
      <c r="D373" s="369">
        <v>0</v>
      </c>
      <c r="E373" s="368" t="s">
        <v>10</v>
      </c>
      <c r="F373" s="368"/>
      <c r="G373" s="370"/>
      <c r="H373" s="370">
        <v>9.2100000000000009</v>
      </c>
      <c r="I373" s="370" t="s">
        <v>10</v>
      </c>
      <c r="J373" s="372">
        <v>6734</v>
      </c>
      <c r="K373" s="373">
        <f>ROUND(H373*J373,0)</f>
        <v>62020</v>
      </c>
      <c r="L373" s="373">
        <f t="shared" si="26"/>
        <v>62020</v>
      </c>
      <c r="M373" s="366">
        <f t="shared" si="27"/>
        <v>0</v>
      </c>
      <c r="N373" s="367" t="s">
        <v>227</v>
      </c>
      <c r="O373" s="48" t="s">
        <v>172</v>
      </c>
    </row>
    <row r="374" spans="1:30" s="48" customFormat="1" ht="72.7" customHeight="1" outlineLevel="1">
      <c r="A374" s="368"/>
      <c r="B374" s="368"/>
      <c r="C374" s="371"/>
      <c r="D374" s="369"/>
      <c r="E374" s="368"/>
      <c r="F374" s="368"/>
      <c r="G374" s="370"/>
      <c r="H374" s="370"/>
      <c r="I374" s="370"/>
      <c r="J374" s="372"/>
      <c r="K374" s="373"/>
      <c r="L374" s="373"/>
      <c r="M374" s="366"/>
      <c r="N374" s="367"/>
      <c r="O374" s="48" t="s">
        <v>172</v>
      </c>
    </row>
    <row r="375" spans="1:30" s="48" customFormat="1" ht="12.1" customHeight="1" outlineLevel="1">
      <c r="A375" s="117"/>
      <c r="B375" s="63"/>
      <c r="C375" s="201"/>
      <c r="D375" s="63"/>
      <c r="E375" s="63"/>
      <c r="F375" s="63"/>
      <c r="G375" s="44"/>
      <c r="H375" s="3"/>
      <c r="I375" s="3"/>
      <c r="J375" s="111"/>
      <c r="K375" s="87"/>
      <c r="L375" s="87">
        <f t="shared" si="26"/>
        <v>0</v>
      </c>
      <c r="M375" s="45">
        <f t="shared" si="27"/>
        <v>0</v>
      </c>
      <c r="N375" s="116"/>
      <c r="O375" s="48" t="s">
        <v>172</v>
      </c>
    </row>
    <row r="376" spans="1:30" s="48" customFormat="1" ht="215.35" customHeight="1" outlineLevel="1">
      <c r="A376" s="117">
        <v>14</v>
      </c>
      <c r="B376" s="63"/>
      <c r="C376" s="201" t="s">
        <v>128</v>
      </c>
      <c r="D376" s="117">
        <v>0</v>
      </c>
      <c r="E376" s="117" t="s">
        <v>96</v>
      </c>
      <c r="F376" s="63"/>
      <c r="G376" s="44"/>
      <c r="H376" s="4">
        <v>1</v>
      </c>
      <c r="I376" s="3" t="s">
        <v>96</v>
      </c>
      <c r="J376" s="111">
        <v>75000</v>
      </c>
      <c r="K376" s="87">
        <f>ROUND(H376*J376,0)</f>
        <v>75000</v>
      </c>
      <c r="L376" s="87">
        <f t="shared" si="26"/>
        <v>75000</v>
      </c>
      <c r="M376" s="45">
        <f t="shared" si="27"/>
        <v>0</v>
      </c>
      <c r="N376" s="116" t="s">
        <v>315</v>
      </c>
      <c r="O376" s="48" t="s">
        <v>172</v>
      </c>
    </row>
    <row r="377" spans="1:30" s="48" customFormat="1" ht="196.5" customHeight="1" outlineLevel="1">
      <c r="A377" s="338">
        <f>A376+1</f>
        <v>15</v>
      </c>
      <c r="B377" s="338"/>
      <c r="C377" s="207" t="s">
        <v>295</v>
      </c>
      <c r="D377" s="335"/>
      <c r="E377" s="338"/>
      <c r="F377" s="339"/>
      <c r="G377" s="339"/>
      <c r="H377" s="103">
        <v>48</v>
      </c>
      <c r="I377" s="340" t="s">
        <v>10</v>
      </c>
      <c r="J377" s="341">
        <v>381</v>
      </c>
      <c r="K377" s="342">
        <f>ROUND(H377*J377,0)</f>
        <v>18288</v>
      </c>
      <c r="L377" s="342">
        <f>ROUND(IF(K377&gt;G377,K377-G377,0),0)</f>
        <v>18288</v>
      </c>
      <c r="M377" s="343"/>
      <c r="N377" s="219" t="s">
        <v>492</v>
      </c>
      <c r="O377" s="48" t="s">
        <v>172</v>
      </c>
      <c r="Q377" s="3"/>
      <c r="U377" s="86"/>
      <c r="V377" s="86"/>
      <c r="W377" s="86"/>
    </row>
    <row r="378" spans="1:30" s="48" customFormat="1" ht="81" customHeight="1" outlineLevel="1">
      <c r="A378" s="338">
        <f t="shared" ref="A378:A381" si="28">A377+1</f>
        <v>16</v>
      </c>
      <c r="B378" s="3"/>
      <c r="C378" s="201" t="s">
        <v>298</v>
      </c>
      <c r="D378" s="117"/>
      <c r="E378" s="3"/>
      <c r="F378" s="67"/>
      <c r="G378" s="67"/>
      <c r="H378" s="64">
        <v>15</v>
      </c>
      <c r="I378" s="69" t="s">
        <v>96</v>
      </c>
      <c r="J378" s="113">
        <v>2819</v>
      </c>
      <c r="K378" s="87">
        <f t="shared" ref="K378:K383" si="29">ROUND(H378*J378,0)</f>
        <v>42285</v>
      </c>
      <c r="L378" s="87">
        <f t="shared" ref="L378:L383" si="30">ROUND(IF(K378&gt;G378,K378-G378,0),0)</f>
        <v>42285</v>
      </c>
      <c r="M378" s="81"/>
      <c r="N378" s="202" t="s">
        <v>223</v>
      </c>
      <c r="O378" s="48" t="s">
        <v>172</v>
      </c>
      <c r="Q378" s="3"/>
      <c r="U378" s="86"/>
      <c r="V378" s="86"/>
      <c r="W378" s="86"/>
    </row>
    <row r="379" spans="1:30" s="48" customFormat="1" ht="85.6" customHeight="1" outlineLevel="1">
      <c r="A379" s="338">
        <f t="shared" si="28"/>
        <v>17</v>
      </c>
      <c r="B379" s="89"/>
      <c r="C379" s="207" t="s">
        <v>296</v>
      </c>
      <c r="D379" s="88"/>
      <c r="E379" s="89"/>
      <c r="F379" s="97"/>
      <c r="G379" s="97"/>
      <c r="H379" s="98">
        <v>5</v>
      </c>
      <c r="I379" s="93" t="s">
        <v>96</v>
      </c>
      <c r="J379" s="341">
        <v>510</v>
      </c>
      <c r="K379" s="342">
        <f t="shared" si="29"/>
        <v>2550</v>
      </c>
      <c r="L379" s="342">
        <f t="shared" si="30"/>
        <v>2550</v>
      </c>
      <c r="M379" s="94"/>
      <c r="N379" s="202" t="s">
        <v>223</v>
      </c>
      <c r="O379" s="48" t="s">
        <v>172</v>
      </c>
      <c r="Q379" s="3"/>
      <c r="U379" s="86"/>
      <c r="V379" s="86"/>
      <c r="W379" s="86"/>
    </row>
    <row r="380" spans="1:30" s="48" customFormat="1" ht="87.8" customHeight="1" outlineLevel="1">
      <c r="A380" s="338">
        <f t="shared" si="28"/>
        <v>18</v>
      </c>
      <c r="B380" s="89"/>
      <c r="C380" s="207" t="s">
        <v>297</v>
      </c>
      <c r="D380" s="88"/>
      <c r="E380" s="89"/>
      <c r="F380" s="97"/>
      <c r="G380" s="97"/>
      <c r="H380" s="98">
        <v>5</v>
      </c>
      <c r="I380" s="93" t="s">
        <v>96</v>
      </c>
      <c r="J380" s="341">
        <v>1775</v>
      </c>
      <c r="K380" s="342">
        <f t="shared" si="29"/>
        <v>8875</v>
      </c>
      <c r="L380" s="342">
        <f t="shared" si="30"/>
        <v>8875</v>
      </c>
      <c r="M380" s="94"/>
      <c r="N380" s="202" t="s">
        <v>223</v>
      </c>
      <c r="O380" s="48" t="s">
        <v>172</v>
      </c>
      <c r="Q380" s="3"/>
      <c r="U380" s="86"/>
      <c r="V380" s="86"/>
      <c r="W380" s="86"/>
    </row>
    <row r="381" spans="1:30" s="48" customFormat="1" ht="86.3" customHeight="1" outlineLevel="1">
      <c r="A381" s="338">
        <f t="shared" si="28"/>
        <v>19</v>
      </c>
      <c r="B381" s="89"/>
      <c r="C381" s="207" t="s">
        <v>299</v>
      </c>
      <c r="D381" s="88"/>
      <c r="E381" s="89"/>
      <c r="F381" s="97"/>
      <c r="G381" s="97"/>
      <c r="H381" s="98">
        <v>38</v>
      </c>
      <c r="I381" s="93" t="s">
        <v>96</v>
      </c>
      <c r="J381" s="341">
        <v>600</v>
      </c>
      <c r="K381" s="342">
        <f t="shared" si="29"/>
        <v>22800</v>
      </c>
      <c r="L381" s="342">
        <f t="shared" si="30"/>
        <v>22800</v>
      </c>
      <c r="M381" s="94"/>
      <c r="N381" s="202" t="s">
        <v>223</v>
      </c>
      <c r="O381" s="48" t="s">
        <v>172</v>
      </c>
      <c r="Q381" s="3"/>
      <c r="U381" s="86"/>
      <c r="V381" s="86"/>
      <c r="W381" s="86"/>
    </row>
    <row r="382" spans="1:30" s="91" customFormat="1" ht="126" customHeight="1" outlineLevel="1">
      <c r="A382" s="338">
        <f>A383+1</f>
        <v>21</v>
      </c>
      <c r="B382" s="92"/>
      <c r="C382" s="344" t="s">
        <v>374</v>
      </c>
      <c r="D382" s="345"/>
      <c r="E382" s="92"/>
      <c r="F382" s="346"/>
      <c r="G382" s="346"/>
      <c r="H382" s="347">
        <v>0.74</v>
      </c>
      <c r="I382" s="340" t="s">
        <v>10</v>
      </c>
      <c r="J382" s="341">
        <v>6473</v>
      </c>
      <c r="K382" s="342">
        <f>ROUND(H382*J382,0)</f>
        <v>4790</v>
      </c>
      <c r="L382" s="342">
        <f>ROUND(IF(K382&gt;G382,K382-G382,0),0)</f>
        <v>4790</v>
      </c>
      <c r="M382" s="94">
        <v>0</v>
      </c>
      <c r="N382" s="220" t="s">
        <v>228</v>
      </c>
      <c r="O382" s="48" t="s">
        <v>172</v>
      </c>
      <c r="Q382" s="92"/>
      <c r="R382" s="95"/>
      <c r="S382" s="95"/>
      <c r="T382" s="95"/>
      <c r="U382" s="96"/>
      <c r="V382" s="96"/>
      <c r="W382" s="96"/>
      <c r="X382" s="95"/>
      <c r="Y382" s="95"/>
      <c r="Z382" s="95"/>
      <c r="AA382" s="95"/>
      <c r="AB382" s="95"/>
      <c r="AC382" s="95"/>
      <c r="AD382" s="95"/>
    </row>
    <row r="383" spans="1:30" s="48" customFormat="1" ht="165.75" customHeight="1" outlineLevel="1">
      <c r="A383" s="338">
        <f>A381+1</f>
        <v>20</v>
      </c>
      <c r="B383" s="63"/>
      <c r="C383" s="201" t="s">
        <v>300</v>
      </c>
      <c r="D383" s="63"/>
      <c r="E383" s="63"/>
      <c r="F383" s="63"/>
      <c r="G383" s="44"/>
      <c r="H383" s="3">
        <v>1</v>
      </c>
      <c r="I383" s="69" t="s">
        <v>15</v>
      </c>
      <c r="J383" s="107">
        <v>300000</v>
      </c>
      <c r="K383" s="87">
        <f t="shared" si="29"/>
        <v>300000</v>
      </c>
      <c r="L383" s="87">
        <f t="shared" si="30"/>
        <v>300000</v>
      </c>
      <c r="M383" s="81"/>
      <c r="N383" s="116" t="s">
        <v>223</v>
      </c>
      <c r="O383" s="48" t="s">
        <v>172</v>
      </c>
    </row>
    <row r="384" spans="1:30" s="100" customFormat="1" ht="24.8" customHeight="1" outlineLevel="1">
      <c r="A384" s="89"/>
      <c r="B384" s="89"/>
      <c r="C384" s="199" t="s">
        <v>363</v>
      </c>
      <c r="D384" s="199"/>
      <c r="E384" s="199"/>
      <c r="F384" s="199"/>
      <c r="G384" s="199"/>
      <c r="H384" s="98"/>
      <c r="I384" s="93"/>
      <c r="J384" s="114"/>
      <c r="K384" s="90"/>
      <c r="L384" s="90"/>
      <c r="M384" s="94"/>
      <c r="N384" s="200"/>
      <c r="O384" s="48" t="s">
        <v>172</v>
      </c>
      <c r="Q384" s="99"/>
      <c r="U384" s="101"/>
      <c r="V384" s="101"/>
      <c r="W384" s="101"/>
    </row>
    <row r="385" spans="1:15" s="48" customFormat="1" ht="297.7" customHeight="1" outlineLevel="1">
      <c r="A385" s="89">
        <v>22</v>
      </c>
      <c r="B385" s="91"/>
      <c r="C385" s="208" t="s">
        <v>164</v>
      </c>
      <c r="D385" s="104">
        <v>0</v>
      </c>
      <c r="E385" s="105" t="s">
        <v>11</v>
      </c>
      <c r="F385" s="105"/>
      <c r="G385" s="105"/>
      <c r="H385" s="105">
        <v>0.3</v>
      </c>
      <c r="I385" s="89" t="s">
        <v>11</v>
      </c>
      <c r="J385" s="115">
        <f>'Civil Data'!G23</f>
        <v>95386</v>
      </c>
      <c r="K385" s="90">
        <f>ROUND(H385*J385,0)</f>
        <v>28616</v>
      </c>
      <c r="L385" s="90">
        <f>ROUND(IF(K385&gt;G385,K385-G385,0),0)</f>
        <v>28616</v>
      </c>
      <c r="M385" s="90">
        <f>ROUND(IF(K385&lt;G385,G385-K385,0),0)</f>
        <v>0</v>
      </c>
      <c r="N385" s="221" t="s">
        <v>222</v>
      </c>
      <c r="O385" s="48" t="s">
        <v>172</v>
      </c>
    </row>
    <row r="386" spans="1:15" s="48" customFormat="1" outlineLevel="1">
      <c r="A386" s="89"/>
      <c r="B386" s="91"/>
      <c r="C386" s="208" t="s">
        <v>242</v>
      </c>
      <c r="D386" s="104"/>
      <c r="E386" s="105"/>
      <c r="F386" s="105"/>
      <c r="G386" s="105"/>
      <c r="H386" s="105"/>
      <c r="I386" s="89"/>
      <c r="J386" s="115"/>
      <c r="K386" s="90"/>
      <c r="L386" s="90"/>
      <c r="M386" s="90"/>
      <c r="N386" s="221"/>
      <c r="O386" s="48" t="s">
        <v>172</v>
      </c>
    </row>
    <row r="387" spans="1:15" s="48" customFormat="1" ht="191.25" customHeight="1" outlineLevel="1">
      <c r="A387" s="89">
        <v>23</v>
      </c>
      <c r="B387" s="223"/>
      <c r="C387" s="222" t="s">
        <v>127</v>
      </c>
      <c r="D387" s="98">
        <v>0</v>
      </c>
      <c r="E387" s="88" t="s">
        <v>10</v>
      </c>
      <c r="F387" s="223"/>
      <c r="G387" s="224"/>
      <c r="H387" s="89">
        <v>39.78</v>
      </c>
      <c r="I387" s="89" t="s">
        <v>10</v>
      </c>
      <c r="J387" s="115">
        <f>'Civil Data'!I46</f>
        <v>1791</v>
      </c>
      <c r="K387" s="90">
        <f>ROUND(H387*J387,0)</f>
        <v>71246</v>
      </c>
      <c r="L387" s="90">
        <f>ROUND(IF(K387&gt;G387,K387-G387,0),0)</f>
        <v>71246</v>
      </c>
      <c r="M387" s="90">
        <f>ROUND(IF(K387&lt;G387,G387-K387,0),0)</f>
        <v>0</v>
      </c>
      <c r="N387" s="221" t="s">
        <v>228</v>
      </c>
      <c r="O387" s="48" t="s">
        <v>172</v>
      </c>
    </row>
    <row r="388" spans="1:15" s="48" customFormat="1" ht="312.45" outlineLevel="1">
      <c r="A388" s="88">
        <v>24</v>
      </c>
      <c r="B388" s="91"/>
      <c r="C388" s="208" t="s">
        <v>368</v>
      </c>
      <c r="D388" s="104">
        <v>0</v>
      </c>
      <c r="E388" s="105" t="s">
        <v>9</v>
      </c>
      <c r="F388" s="105"/>
      <c r="G388" s="105"/>
      <c r="H388" s="105">
        <v>0.75</v>
      </c>
      <c r="I388" s="89" t="s">
        <v>9</v>
      </c>
      <c r="J388" s="115">
        <f>'Civil Data'!G81</f>
        <v>14683</v>
      </c>
      <c r="K388" s="90">
        <f>ROUND(H388*J388,0)</f>
        <v>11012</v>
      </c>
      <c r="L388" s="90">
        <f>ROUND(IF(K388&gt;G388,K388-G388,0),0)</f>
        <v>11012</v>
      </c>
      <c r="M388" s="90">
        <f>ROUND(IF(K388&lt;G388,G388-K388,0),0)</f>
        <v>0</v>
      </c>
      <c r="N388" s="221" t="s">
        <v>222</v>
      </c>
      <c r="O388" s="48" t="s">
        <v>172</v>
      </c>
    </row>
    <row r="389" spans="1:15" s="48" customFormat="1" outlineLevel="1">
      <c r="A389" s="89"/>
      <c r="B389" s="91"/>
      <c r="C389" s="208" t="s">
        <v>242</v>
      </c>
      <c r="D389" s="104"/>
      <c r="E389" s="105"/>
      <c r="F389" s="105"/>
      <c r="G389" s="105"/>
      <c r="H389" s="105"/>
      <c r="I389" s="89"/>
      <c r="J389" s="115"/>
      <c r="K389" s="90"/>
      <c r="L389" s="90"/>
      <c r="M389" s="90"/>
      <c r="N389" s="221"/>
      <c r="O389" s="48" t="s">
        <v>172</v>
      </c>
    </row>
    <row r="390" spans="1:15" s="48" customFormat="1" ht="265.60000000000002" outlineLevel="1">
      <c r="A390" s="89">
        <v>25</v>
      </c>
      <c r="B390" s="91"/>
      <c r="C390" s="222" t="s">
        <v>91</v>
      </c>
      <c r="D390" s="225">
        <v>0</v>
      </c>
      <c r="E390" s="226" t="s">
        <v>12</v>
      </c>
      <c r="F390" s="226"/>
      <c r="G390" s="226"/>
      <c r="H390" s="226">
        <v>174.5</v>
      </c>
      <c r="I390" s="89" t="s">
        <v>12</v>
      </c>
      <c r="J390" s="115">
        <f>'Civil Data'!G107</f>
        <v>151</v>
      </c>
      <c r="K390" s="90">
        <f>ROUND(H390*J390,0)</f>
        <v>26350</v>
      </c>
      <c r="L390" s="90">
        <f>ROUND(IF(K390&gt;G390,K390-G390,0),0)</f>
        <v>26350</v>
      </c>
      <c r="M390" s="90">
        <f>ROUND(IF(K390&lt;G390,G390-K390,0),0)</f>
        <v>0</v>
      </c>
      <c r="N390" s="221" t="s">
        <v>223</v>
      </c>
      <c r="O390" s="48" t="s">
        <v>172</v>
      </c>
    </row>
    <row r="391" spans="1:15" s="48" customFormat="1" outlineLevel="1">
      <c r="A391" s="89"/>
      <c r="B391" s="91"/>
      <c r="C391" s="208" t="s">
        <v>245</v>
      </c>
      <c r="D391" s="225"/>
      <c r="E391" s="226"/>
      <c r="F391" s="226"/>
      <c r="G391" s="226"/>
      <c r="H391" s="226"/>
      <c r="I391" s="89"/>
      <c r="J391" s="115"/>
      <c r="K391" s="90"/>
      <c r="L391" s="90"/>
      <c r="M391" s="90"/>
      <c r="N391" s="221"/>
      <c r="O391" s="48" t="s">
        <v>172</v>
      </c>
    </row>
    <row r="392" spans="1:15" s="48" customFormat="1" ht="12.1" customHeight="1" outlineLevel="1">
      <c r="A392" s="3"/>
      <c r="F392" s="43"/>
      <c r="G392" s="44"/>
      <c r="H392" s="3"/>
      <c r="I392" s="3"/>
      <c r="J392" s="107"/>
      <c r="K392" s="45"/>
      <c r="L392" s="45">
        <f>ROUND(IF(K392&gt;G392,K392-G392,0),0)</f>
        <v>0</v>
      </c>
      <c r="M392" s="45">
        <f>ROUND(IF(K392&lt;G392,G392-K392,0),0)</f>
        <v>0</v>
      </c>
      <c r="N392" s="116"/>
      <c r="O392" s="48" t="s">
        <v>172</v>
      </c>
    </row>
    <row r="393" spans="1:15" s="48" customFormat="1" ht="30.1" customHeight="1">
      <c r="A393" s="117"/>
      <c r="B393" s="63"/>
      <c r="C393" s="201"/>
      <c r="D393" s="63"/>
      <c r="E393" s="63"/>
      <c r="F393" s="63"/>
      <c r="G393" s="44"/>
      <c r="H393" s="3"/>
      <c r="I393" s="3"/>
      <c r="J393" s="110" t="s">
        <v>122</v>
      </c>
      <c r="K393" s="59">
        <f>SUM(K354:K391)</f>
        <v>1156237</v>
      </c>
      <c r="L393" s="59">
        <f>SUM(L354:L391)</f>
        <v>1156237</v>
      </c>
      <c r="M393" s="59">
        <f>SUM(M354:M391)</f>
        <v>0</v>
      </c>
      <c r="N393" s="116"/>
    </row>
    <row r="394" spans="1:15" s="48" customFormat="1" ht="26.5" customHeight="1">
      <c r="A394" s="3"/>
      <c r="C394" s="194" t="s">
        <v>364</v>
      </c>
      <c r="D394" s="194"/>
      <c r="E394" s="194"/>
      <c r="F394" s="194"/>
      <c r="G394" s="194"/>
      <c r="H394" s="64"/>
      <c r="I394" s="54"/>
      <c r="J394" s="109"/>
      <c r="K394" s="65"/>
      <c r="L394" s="66"/>
      <c r="M394" s="65"/>
      <c r="N394" s="202"/>
    </row>
    <row r="395" spans="1:15" s="48" customFormat="1" ht="202.95" customHeight="1" outlineLevel="1">
      <c r="A395" s="89">
        <v>26</v>
      </c>
      <c r="B395" s="91"/>
      <c r="C395" s="207" t="s">
        <v>316</v>
      </c>
      <c r="D395" s="98">
        <v>0</v>
      </c>
      <c r="E395" s="88" t="s">
        <v>12</v>
      </c>
      <c r="F395" s="97"/>
      <c r="G395" s="97"/>
      <c r="H395" s="103">
        <v>15</v>
      </c>
      <c r="I395" s="93" t="s">
        <v>12</v>
      </c>
      <c r="J395" s="114">
        <v>599</v>
      </c>
      <c r="K395" s="90">
        <f>ROUND(H395*J395,0)</f>
        <v>8985</v>
      </c>
      <c r="L395" s="90">
        <f>ROUND(IF(K395&gt;G395,K395-G395,0),0)</f>
        <v>8985</v>
      </c>
      <c r="M395" s="90">
        <f>ROUND(IF(K395&lt;G395,G395-K395,0),0)</f>
        <v>0</v>
      </c>
      <c r="N395" s="200" t="s">
        <v>229</v>
      </c>
      <c r="O395" s="48" t="s">
        <v>173</v>
      </c>
    </row>
    <row r="396" spans="1:15" s="48" customFormat="1" ht="24.8" customHeight="1">
      <c r="A396" s="3"/>
      <c r="C396" s="201"/>
      <c r="D396" s="64"/>
      <c r="E396" s="117"/>
      <c r="F396" s="67"/>
      <c r="G396" s="67"/>
      <c r="H396" s="68"/>
      <c r="I396" s="69"/>
      <c r="J396" s="110" t="s">
        <v>122</v>
      </c>
      <c r="K396" s="59">
        <f>SUM(K395:K395)</f>
        <v>8985</v>
      </c>
      <c r="L396" s="59">
        <f>SUM(L395:L395)</f>
        <v>8985</v>
      </c>
      <c r="M396" s="58"/>
      <c r="N396" s="202"/>
    </row>
    <row r="397" spans="1:15" s="48" customFormat="1" ht="23.95" customHeight="1">
      <c r="A397" s="3"/>
      <c r="C397" s="351" t="s">
        <v>365</v>
      </c>
      <c r="D397" s="352"/>
      <c r="E397" s="352"/>
      <c r="F397" s="352"/>
      <c r="G397" s="353"/>
      <c r="H397" s="3"/>
      <c r="I397" s="3"/>
      <c r="J397" s="107"/>
      <c r="M397" s="44"/>
      <c r="N397" s="116"/>
    </row>
    <row r="398" spans="1:15" s="48" customFormat="1" ht="158.94999999999999" customHeight="1" outlineLevel="1">
      <c r="A398" s="3">
        <v>27</v>
      </c>
      <c r="C398" s="209" t="s">
        <v>98</v>
      </c>
      <c r="D398" s="64">
        <v>0</v>
      </c>
      <c r="E398" s="70" t="s">
        <v>96</v>
      </c>
      <c r="F398" s="82"/>
      <c r="G398" s="82"/>
      <c r="H398" s="70">
        <v>12</v>
      </c>
      <c r="I398" s="70" t="s">
        <v>96</v>
      </c>
      <c r="J398" s="107">
        <v>17241</v>
      </c>
      <c r="K398" s="45">
        <f>ROUND(H398*J398,0)</f>
        <v>206892</v>
      </c>
      <c r="L398" s="45">
        <f>ROUND(IF(K398&gt;G398,K398-G398,0),0)</f>
        <v>206892</v>
      </c>
      <c r="M398" s="45">
        <f>ROUND(IF(K398&lt;G398,G398-K398,0),0)</f>
        <v>0</v>
      </c>
      <c r="N398" s="116" t="s">
        <v>305</v>
      </c>
      <c r="O398" s="48" t="s">
        <v>174</v>
      </c>
    </row>
    <row r="399" spans="1:15" s="48" customFormat="1" outlineLevel="1">
      <c r="A399" s="3"/>
      <c r="C399" s="210" t="s">
        <v>279</v>
      </c>
      <c r="D399" s="64"/>
      <c r="E399" s="70"/>
      <c r="F399" s="82"/>
      <c r="G399" s="82"/>
      <c r="H399" s="70"/>
      <c r="I399" s="70"/>
      <c r="J399" s="107"/>
      <c r="K399" s="45"/>
      <c r="L399" s="45"/>
      <c r="M399" s="45"/>
      <c r="N399" s="116"/>
      <c r="O399" s="48" t="s">
        <v>174</v>
      </c>
    </row>
    <row r="400" spans="1:15" s="48" customFormat="1" ht="12.1" customHeight="1" outlineLevel="1">
      <c r="A400" s="3"/>
      <c r="F400" s="43"/>
      <c r="G400" s="44"/>
      <c r="H400" s="3"/>
      <c r="I400" s="3"/>
      <c r="J400" s="107"/>
      <c r="K400" s="45"/>
      <c r="L400" s="45">
        <f t="shared" ref="L400:L427" si="31">ROUND(IF(K400&gt;G400,K400-G400,0),0)</f>
        <v>0</v>
      </c>
      <c r="M400" s="45">
        <f t="shared" ref="M400:M427" si="32">ROUND(IF(K400&lt;G400,G400-K400,0),0)</f>
        <v>0</v>
      </c>
      <c r="N400" s="116"/>
      <c r="O400" s="48" t="s">
        <v>174</v>
      </c>
    </row>
    <row r="401" spans="1:15" s="48" customFormat="1" ht="183.6" customHeight="1" outlineLevel="1">
      <c r="A401" s="3">
        <v>28</v>
      </c>
      <c r="C401" s="201" t="s">
        <v>99</v>
      </c>
      <c r="D401" s="64">
        <v>0</v>
      </c>
      <c r="E401" s="46" t="s">
        <v>96</v>
      </c>
      <c r="F401" s="83"/>
      <c r="G401" s="83"/>
      <c r="H401" s="46">
        <v>28</v>
      </c>
      <c r="I401" s="46" t="s">
        <v>96</v>
      </c>
      <c r="J401" s="107">
        <v>4317</v>
      </c>
      <c r="K401" s="45">
        <f>ROUND(H401*J401,0)</f>
        <v>120876</v>
      </c>
      <c r="L401" s="45">
        <f t="shared" si="31"/>
        <v>120876</v>
      </c>
      <c r="M401" s="45">
        <f t="shared" si="32"/>
        <v>0</v>
      </c>
      <c r="N401" s="116" t="s">
        <v>306</v>
      </c>
      <c r="O401" s="48" t="s">
        <v>174</v>
      </c>
    </row>
    <row r="402" spans="1:15" s="48" customFormat="1" outlineLevel="1">
      <c r="A402" s="3"/>
      <c r="C402" s="203" t="s">
        <v>280</v>
      </c>
      <c r="D402" s="64"/>
      <c r="E402" s="46"/>
      <c r="F402" s="83"/>
      <c r="G402" s="83"/>
      <c r="H402" s="46"/>
      <c r="I402" s="46"/>
      <c r="J402" s="107"/>
      <c r="K402" s="45"/>
      <c r="L402" s="45"/>
      <c r="M402" s="45"/>
      <c r="N402" s="116"/>
      <c r="O402" s="48" t="s">
        <v>174</v>
      </c>
    </row>
    <row r="403" spans="1:15" s="48" customFormat="1" ht="12.1" customHeight="1" outlineLevel="1">
      <c r="A403" s="3"/>
      <c r="F403" s="43"/>
      <c r="G403" s="44"/>
      <c r="H403" s="3"/>
      <c r="I403" s="3"/>
      <c r="J403" s="107"/>
      <c r="K403" s="45"/>
      <c r="L403" s="45">
        <f t="shared" si="31"/>
        <v>0</v>
      </c>
      <c r="M403" s="45">
        <f t="shared" si="32"/>
        <v>0</v>
      </c>
      <c r="N403" s="116"/>
      <c r="O403" s="48" t="s">
        <v>174</v>
      </c>
    </row>
    <row r="404" spans="1:15" s="48" customFormat="1" ht="123.8" customHeight="1" outlineLevel="1">
      <c r="A404" s="3">
        <v>29</v>
      </c>
      <c r="C404" s="201" t="s">
        <v>100</v>
      </c>
      <c r="D404" s="64">
        <v>0</v>
      </c>
      <c r="E404" s="46" t="s">
        <v>96</v>
      </c>
      <c r="F404" s="83"/>
      <c r="G404" s="83"/>
      <c r="H404" s="46">
        <v>28</v>
      </c>
      <c r="I404" s="46" t="s">
        <v>96</v>
      </c>
      <c r="J404" s="107">
        <v>185</v>
      </c>
      <c r="K404" s="45">
        <f>ROUND(H404*J404,0)</f>
        <v>5180</v>
      </c>
      <c r="L404" s="45">
        <f t="shared" si="31"/>
        <v>5180</v>
      </c>
      <c r="M404" s="45">
        <f t="shared" si="32"/>
        <v>0</v>
      </c>
      <c r="N404" s="116" t="s">
        <v>371</v>
      </c>
      <c r="O404" s="48" t="s">
        <v>174</v>
      </c>
    </row>
    <row r="405" spans="1:15" s="48" customFormat="1" outlineLevel="1">
      <c r="A405" s="3"/>
      <c r="C405" s="203" t="s">
        <v>281</v>
      </c>
      <c r="D405" s="64"/>
      <c r="E405" s="46"/>
      <c r="F405" s="83"/>
      <c r="G405" s="83"/>
      <c r="H405" s="46"/>
      <c r="I405" s="46"/>
      <c r="J405" s="107"/>
      <c r="K405" s="45"/>
      <c r="L405" s="45"/>
      <c r="M405" s="45"/>
      <c r="N405" s="116"/>
      <c r="O405" s="48" t="s">
        <v>174</v>
      </c>
    </row>
    <row r="406" spans="1:15" s="48" customFormat="1" ht="12.1" customHeight="1" outlineLevel="1">
      <c r="A406" s="3"/>
      <c r="F406" s="43"/>
      <c r="G406" s="44"/>
      <c r="H406" s="3"/>
      <c r="I406" s="3"/>
      <c r="J406" s="107"/>
      <c r="K406" s="45"/>
      <c r="L406" s="45">
        <f t="shared" si="31"/>
        <v>0</v>
      </c>
      <c r="M406" s="45">
        <f t="shared" si="32"/>
        <v>0</v>
      </c>
      <c r="N406" s="116"/>
      <c r="O406" s="48" t="s">
        <v>174</v>
      </c>
    </row>
    <row r="407" spans="1:15" s="48" customFormat="1" ht="75.599999999999994" customHeight="1" outlineLevel="1">
      <c r="A407" s="3">
        <v>30</v>
      </c>
      <c r="C407" s="209" t="s">
        <v>101</v>
      </c>
      <c r="D407" s="64">
        <v>0</v>
      </c>
      <c r="E407" s="46" t="s">
        <v>96</v>
      </c>
      <c r="F407" s="82"/>
      <c r="G407" s="82"/>
      <c r="H407" s="70">
        <v>20</v>
      </c>
      <c r="I407" s="70" t="s">
        <v>96</v>
      </c>
      <c r="J407" s="107">
        <v>1178</v>
      </c>
      <c r="K407" s="45">
        <f>ROUND(H407*J407,0)</f>
        <v>23560</v>
      </c>
      <c r="L407" s="45">
        <f t="shared" si="31"/>
        <v>23560</v>
      </c>
      <c r="M407" s="45">
        <f t="shared" si="32"/>
        <v>0</v>
      </c>
      <c r="N407" s="116" t="s">
        <v>230</v>
      </c>
      <c r="O407" s="48" t="s">
        <v>174</v>
      </c>
    </row>
    <row r="408" spans="1:15" s="48" customFormat="1" outlineLevel="1">
      <c r="A408" s="3"/>
      <c r="C408" s="210" t="s">
        <v>282</v>
      </c>
      <c r="D408" s="64"/>
      <c r="E408" s="46"/>
      <c r="F408" s="82"/>
      <c r="G408" s="82"/>
      <c r="H408" s="70"/>
      <c r="I408" s="70"/>
      <c r="J408" s="107"/>
      <c r="K408" s="45"/>
      <c r="L408" s="45"/>
      <c r="M408" s="45"/>
      <c r="N408" s="116"/>
      <c r="O408" s="48" t="s">
        <v>174</v>
      </c>
    </row>
    <row r="409" spans="1:15" s="48" customFormat="1" ht="12.1" customHeight="1" outlineLevel="1">
      <c r="A409" s="3"/>
      <c r="F409" s="43"/>
      <c r="G409" s="44"/>
      <c r="H409" s="3"/>
      <c r="I409" s="3"/>
      <c r="J409" s="107"/>
      <c r="K409" s="45"/>
      <c r="L409" s="45">
        <f t="shared" si="31"/>
        <v>0</v>
      </c>
      <c r="M409" s="45">
        <f t="shared" si="32"/>
        <v>0</v>
      </c>
      <c r="N409" s="116"/>
      <c r="O409" s="48" t="s">
        <v>174</v>
      </c>
    </row>
    <row r="410" spans="1:15" s="48" customFormat="1" ht="81" customHeight="1" outlineLevel="1">
      <c r="A410" s="3">
        <v>31</v>
      </c>
      <c r="C410" s="211" t="s">
        <v>102</v>
      </c>
      <c r="D410" s="64">
        <v>0</v>
      </c>
      <c r="E410" s="46" t="s">
        <v>96</v>
      </c>
      <c r="F410" s="84"/>
      <c r="G410" s="84"/>
      <c r="H410" s="71">
        <v>28</v>
      </c>
      <c r="I410" s="71" t="s">
        <v>96</v>
      </c>
      <c r="J410" s="107">
        <v>162</v>
      </c>
      <c r="K410" s="45">
        <f>ROUND(H410*J410,0)</f>
        <v>4536</v>
      </c>
      <c r="L410" s="45">
        <f t="shared" si="31"/>
        <v>4536</v>
      </c>
      <c r="M410" s="45">
        <f t="shared" si="32"/>
        <v>0</v>
      </c>
      <c r="N410" s="116" t="s">
        <v>231</v>
      </c>
      <c r="O410" s="48" t="s">
        <v>174</v>
      </c>
    </row>
    <row r="411" spans="1:15" s="48" customFormat="1" outlineLevel="1">
      <c r="A411" s="3"/>
      <c r="C411" s="212" t="s">
        <v>283</v>
      </c>
      <c r="D411" s="64"/>
      <c r="E411" s="46"/>
      <c r="F411" s="84"/>
      <c r="G411" s="84"/>
      <c r="H411" s="71"/>
      <c r="I411" s="71"/>
      <c r="J411" s="107"/>
      <c r="K411" s="45"/>
      <c r="L411" s="45"/>
      <c r="M411" s="45"/>
      <c r="N411" s="116"/>
      <c r="O411" s="48" t="s">
        <v>174</v>
      </c>
    </row>
    <row r="412" spans="1:15" s="48" customFormat="1" ht="12.1" customHeight="1" outlineLevel="1">
      <c r="A412" s="3"/>
      <c r="F412" s="43"/>
      <c r="G412" s="44"/>
      <c r="H412" s="3"/>
      <c r="I412" s="3"/>
      <c r="J412" s="107"/>
      <c r="K412" s="45"/>
      <c r="L412" s="45">
        <f t="shared" si="31"/>
        <v>0</v>
      </c>
      <c r="M412" s="45">
        <f t="shared" si="32"/>
        <v>0</v>
      </c>
      <c r="N412" s="116"/>
      <c r="O412" s="48" t="s">
        <v>174</v>
      </c>
    </row>
    <row r="413" spans="1:15" s="48" customFormat="1" ht="107.35" customHeight="1" outlineLevel="1">
      <c r="A413" s="3">
        <v>32</v>
      </c>
      <c r="C413" s="209" t="s">
        <v>103</v>
      </c>
      <c r="D413" s="64">
        <v>0</v>
      </c>
      <c r="E413" s="46" t="s">
        <v>96</v>
      </c>
      <c r="F413" s="82"/>
      <c r="G413" s="82"/>
      <c r="H413" s="70">
        <v>2</v>
      </c>
      <c r="I413" s="70" t="s">
        <v>96</v>
      </c>
      <c r="J413" s="107">
        <v>9444</v>
      </c>
      <c r="K413" s="45">
        <f>ROUND(H413*J413,0)</f>
        <v>18888</v>
      </c>
      <c r="L413" s="45">
        <f t="shared" si="31"/>
        <v>18888</v>
      </c>
      <c r="M413" s="45">
        <f t="shared" si="32"/>
        <v>0</v>
      </c>
      <c r="N413" s="116" t="s">
        <v>290</v>
      </c>
      <c r="O413" s="48" t="s">
        <v>174</v>
      </c>
    </row>
    <row r="414" spans="1:15" s="48" customFormat="1" outlineLevel="1">
      <c r="A414" s="3"/>
      <c r="C414" s="210" t="s">
        <v>283</v>
      </c>
      <c r="D414" s="64"/>
      <c r="E414" s="46"/>
      <c r="F414" s="82"/>
      <c r="G414" s="82"/>
      <c r="H414" s="70"/>
      <c r="I414" s="70"/>
      <c r="J414" s="107"/>
      <c r="K414" s="45"/>
      <c r="L414" s="45"/>
      <c r="M414" s="45"/>
      <c r="N414" s="116"/>
      <c r="O414" s="48" t="s">
        <v>174</v>
      </c>
    </row>
    <row r="415" spans="1:15" s="48" customFormat="1" ht="12.1" customHeight="1" outlineLevel="1">
      <c r="A415" s="3"/>
      <c r="F415" s="43"/>
      <c r="G415" s="44"/>
      <c r="H415" s="3"/>
      <c r="I415" s="3"/>
      <c r="J415" s="107"/>
      <c r="K415" s="45"/>
      <c r="L415" s="45">
        <f t="shared" si="31"/>
        <v>0</v>
      </c>
      <c r="M415" s="45">
        <f t="shared" si="32"/>
        <v>0</v>
      </c>
      <c r="N415" s="116"/>
      <c r="O415" s="48" t="s">
        <v>174</v>
      </c>
    </row>
    <row r="416" spans="1:15" s="48" customFormat="1" ht="92.25" customHeight="1" outlineLevel="1">
      <c r="A416" s="3">
        <v>33</v>
      </c>
      <c r="C416" s="213" t="s">
        <v>104</v>
      </c>
      <c r="D416" s="64">
        <v>0</v>
      </c>
      <c r="E416" s="46" t="s">
        <v>96</v>
      </c>
      <c r="F416" s="85"/>
      <c r="G416" s="85"/>
      <c r="H416" s="72">
        <v>8</v>
      </c>
      <c r="I416" s="72" t="s">
        <v>96</v>
      </c>
      <c r="J416" s="107">
        <v>5085</v>
      </c>
      <c r="K416" s="45">
        <f>ROUND(H416*J416,0)</f>
        <v>40680</v>
      </c>
      <c r="L416" s="45">
        <f t="shared" si="31"/>
        <v>40680</v>
      </c>
      <c r="M416" s="45">
        <f t="shared" si="32"/>
        <v>0</v>
      </c>
      <c r="N416" s="116" t="s">
        <v>232</v>
      </c>
      <c r="O416" s="48" t="s">
        <v>174</v>
      </c>
    </row>
    <row r="417" spans="1:15" s="48" customFormat="1" outlineLevel="1">
      <c r="A417" s="3"/>
      <c r="C417" s="214" t="s">
        <v>283</v>
      </c>
      <c r="D417" s="64"/>
      <c r="E417" s="46"/>
      <c r="F417" s="85"/>
      <c r="G417" s="85"/>
      <c r="H417" s="72"/>
      <c r="I417" s="72"/>
      <c r="J417" s="107"/>
      <c r="K417" s="45"/>
      <c r="L417" s="45"/>
      <c r="M417" s="45"/>
      <c r="N417" s="116"/>
      <c r="O417" s="48" t="s">
        <v>174</v>
      </c>
    </row>
    <row r="418" spans="1:15" s="48" customFormat="1" ht="12.1" customHeight="1" outlineLevel="1">
      <c r="A418" s="3"/>
      <c r="F418" s="43"/>
      <c r="G418" s="44"/>
      <c r="H418" s="3"/>
      <c r="I418" s="3"/>
      <c r="J418" s="107"/>
      <c r="K418" s="45"/>
      <c r="L418" s="45">
        <f t="shared" si="31"/>
        <v>0</v>
      </c>
      <c r="M418" s="45">
        <f t="shared" si="32"/>
        <v>0</v>
      </c>
      <c r="N418" s="116"/>
      <c r="O418" s="48" t="s">
        <v>174</v>
      </c>
    </row>
    <row r="419" spans="1:15" s="48" customFormat="1" ht="105.8" customHeight="1" outlineLevel="1">
      <c r="A419" s="3">
        <v>34</v>
      </c>
      <c r="C419" s="201" t="s">
        <v>105</v>
      </c>
      <c r="D419" s="64">
        <v>0</v>
      </c>
      <c r="E419" s="46" t="s">
        <v>96</v>
      </c>
      <c r="F419" s="83"/>
      <c r="G419" s="83"/>
      <c r="H419" s="46">
        <v>2</v>
      </c>
      <c r="I419" s="46" t="s">
        <v>96</v>
      </c>
      <c r="J419" s="107">
        <v>4203</v>
      </c>
      <c r="K419" s="45">
        <f>ROUND(H419*J419,0)</f>
        <v>8406</v>
      </c>
      <c r="L419" s="45">
        <f t="shared" si="31"/>
        <v>8406</v>
      </c>
      <c r="M419" s="45">
        <f t="shared" si="32"/>
        <v>0</v>
      </c>
      <c r="N419" s="116" t="s">
        <v>291</v>
      </c>
      <c r="O419" s="48" t="s">
        <v>174</v>
      </c>
    </row>
    <row r="420" spans="1:15" s="48" customFormat="1" outlineLevel="1">
      <c r="A420" s="3"/>
      <c r="C420" s="203" t="s">
        <v>283</v>
      </c>
      <c r="D420" s="64"/>
      <c r="E420" s="46"/>
      <c r="F420" s="83"/>
      <c r="G420" s="83"/>
      <c r="H420" s="46"/>
      <c r="I420" s="46"/>
      <c r="J420" s="107"/>
      <c r="K420" s="45"/>
      <c r="L420" s="45"/>
      <c r="M420" s="45"/>
      <c r="N420" s="116"/>
      <c r="O420" s="48" t="s">
        <v>174</v>
      </c>
    </row>
    <row r="421" spans="1:15" s="48" customFormat="1" ht="12.1" customHeight="1" outlineLevel="1">
      <c r="A421" s="3"/>
      <c r="C421" s="203"/>
      <c r="D421" s="64"/>
      <c r="E421" s="46"/>
      <c r="F421" s="83"/>
      <c r="G421" s="83"/>
      <c r="H421" s="46"/>
      <c r="I421" s="46"/>
      <c r="J421" s="107"/>
      <c r="K421" s="45"/>
      <c r="L421" s="45"/>
      <c r="M421" s="45"/>
      <c r="N421" s="116"/>
      <c r="O421" s="48" t="s">
        <v>174</v>
      </c>
    </row>
    <row r="422" spans="1:15" s="48" customFormat="1" ht="78.150000000000006" outlineLevel="1">
      <c r="A422" s="3">
        <v>35</v>
      </c>
      <c r="C422" s="201" t="s">
        <v>301</v>
      </c>
      <c r="D422" s="64"/>
      <c r="E422" s="46"/>
      <c r="F422" s="83"/>
      <c r="G422" s="83"/>
      <c r="H422" s="46">
        <v>210</v>
      </c>
      <c r="I422" s="46" t="s">
        <v>12</v>
      </c>
      <c r="J422" s="111">
        <v>130</v>
      </c>
      <c r="K422" s="45">
        <f>ROUND(H422*J422,0)</f>
        <v>27300</v>
      </c>
      <c r="L422" s="45">
        <f>ROUND(IF(K422&gt;G422,K422-G422,0),0)</f>
        <v>27300</v>
      </c>
      <c r="M422" s="45">
        <f>ROUND(IF(K422&lt;G422,G422-K422,0),0)</f>
        <v>0</v>
      </c>
      <c r="N422" s="116" t="s">
        <v>494</v>
      </c>
      <c r="O422" s="48" t="s">
        <v>174</v>
      </c>
    </row>
    <row r="423" spans="1:15" s="48" customFormat="1" outlineLevel="1">
      <c r="A423" s="3"/>
      <c r="C423" s="201"/>
      <c r="D423" s="64"/>
      <c r="E423" s="46"/>
      <c r="F423" s="83"/>
      <c r="G423" s="83"/>
      <c r="H423" s="46"/>
      <c r="I423" s="46"/>
      <c r="J423" s="111"/>
      <c r="K423" s="45"/>
      <c r="L423" s="45"/>
      <c r="M423" s="45"/>
      <c r="N423" s="116"/>
      <c r="O423" s="48" t="s">
        <v>174</v>
      </c>
    </row>
    <row r="424" spans="1:15" s="48" customFormat="1" ht="84.1" customHeight="1" outlineLevel="1">
      <c r="A424" s="89">
        <v>36</v>
      </c>
      <c r="B424" s="91"/>
      <c r="C424" s="207" t="s">
        <v>307</v>
      </c>
      <c r="D424" s="98"/>
      <c r="E424" s="335"/>
      <c r="F424" s="336"/>
      <c r="G424" s="336"/>
      <c r="H424" s="335">
        <v>1</v>
      </c>
      <c r="I424" s="335" t="s">
        <v>15</v>
      </c>
      <c r="J424" s="337">
        <v>9600</v>
      </c>
      <c r="K424" s="90">
        <f>ROUND(H424*J424,0)</f>
        <v>9600</v>
      </c>
      <c r="L424" s="90">
        <f>ROUND(IF(K424&gt;G424,K424-G424,0),0)</f>
        <v>9600</v>
      </c>
      <c r="M424" s="90">
        <f>ROUND(IF(K424&lt;G424,G424-K424,0),0)</f>
        <v>0</v>
      </c>
      <c r="N424" s="221" t="s">
        <v>223</v>
      </c>
      <c r="O424" s="48" t="s">
        <v>174</v>
      </c>
    </row>
    <row r="425" spans="1:15" s="48" customFormat="1" ht="12.1" customHeight="1" outlineLevel="1">
      <c r="A425" s="3"/>
      <c r="F425" s="43"/>
      <c r="G425" s="44"/>
      <c r="H425" s="3"/>
      <c r="I425" s="3"/>
      <c r="J425" s="107"/>
      <c r="K425" s="45"/>
      <c r="L425" s="45">
        <f t="shared" si="31"/>
        <v>0</v>
      </c>
      <c r="M425" s="45">
        <f t="shared" si="32"/>
        <v>0</v>
      </c>
      <c r="N425" s="116"/>
      <c r="O425" s="48" t="s">
        <v>174</v>
      </c>
    </row>
    <row r="426" spans="1:15" s="48" customFormat="1" ht="24.65" customHeight="1" outlineLevel="1">
      <c r="B426" s="352"/>
      <c r="C426" s="351" t="s">
        <v>370</v>
      </c>
      <c r="D426" s="352"/>
      <c r="E426" s="352"/>
      <c r="F426" s="352"/>
      <c r="G426" s="353"/>
      <c r="H426" s="3"/>
      <c r="I426" s="3"/>
      <c r="J426" s="107"/>
      <c r="K426" s="45"/>
      <c r="L426" s="45"/>
      <c r="M426" s="45"/>
      <c r="N426" s="116"/>
      <c r="O426" s="48" t="s">
        <v>174</v>
      </c>
    </row>
    <row r="427" spans="1:15" s="48" customFormat="1" ht="220.6" customHeight="1" outlineLevel="1">
      <c r="A427" s="3">
        <v>37</v>
      </c>
      <c r="C427" s="201" t="s">
        <v>106</v>
      </c>
      <c r="D427" s="64">
        <v>0</v>
      </c>
      <c r="E427" s="46" t="s">
        <v>96</v>
      </c>
      <c r="F427" s="83"/>
      <c r="G427" s="83"/>
      <c r="H427" s="46">
        <v>1</v>
      </c>
      <c r="I427" s="46" t="s">
        <v>96</v>
      </c>
      <c r="J427" s="111">
        <f>'Civil Data'!I115</f>
        <v>30768</v>
      </c>
      <c r="K427" s="45">
        <f>ROUND(H427*J427,0)</f>
        <v>30768</v>
      </c>
      <c r="L427" s="45">
        <f t="shared" si="31"/>
        <v>30768</v>
      </c>
      <c r="M427" s="45">
        <f t="shared" si="32"/>
        <v>0</v>
      </c>
      <c r="N427" s="116" t="s">
        <v>292</v>
      </c>
      <c r="O427" s="48" t="s">
        <v>174</v>
      </c>
    </row>
    <row r="428" spans="1:15" s="48" customFormat="1" outlineLevel="1">
      <c r="A428" s="3"/>
      <c r="C428" s="203" t="s">
        <v>284</v>
      </c>
      <c r="D428" s="64"/>
      <c r="E428" s="46"/>
      <c r="F428" s="83"/>
      <c r="G428" s="83"/>
      <c r="H428" s="46"/>
      <c r="I428" s="46"/>
      <c r="J428" s="111"/>
      <c r="K428" s="45"/>
      <c r="L428" s="45"/>
      <c r="M428" s="45"/>
      <c r="N428" s="116"/>
    </row>
    <row r="429" spans="1:15" s="48" customFormat="1" ht="19.55" customHeight="1">
      <c r="A429" s="3"/>
      <c r="F429" s="43"/>
      <c r="G429" s="44"/>
      <c r="H429" s="3"/>
      <c r="I429" s="3"/>
      <c r="J429" s="110" t="s">
        <v>122</v>
      </c>
      <c r="K429" s="59">
        <f>SUM(K398:K428)</f>
        <v>496686</v>
      </c>
      <c r="L429" s="59">
        <f>SUM(L398:L428)</f>
        <v>496686</v>
      </c>
      <c r="M429" s="59">
        <f>SUM(M398:M428)</f>
        <v>0</v>
      </c>
      <c r="N429" s="116"/>
    </row>
    <row r="430" spans="1:15" s="48" customFormat="1" ht="12.1" customHeight="1">
      <c r="A430" s="354"/>
      <c r="B430" s="355"/>
      <c r="C430" s="355"/>
      <c r="D430" s="355"/>
      <c r="E430" s="355"/>
      <c r="F430" s="355"/>
      <c r="G430" s="355"/>
      <c r="H430" s="355"/>
      <c r="I430" s="355"/>
      <c r="J430" s="355"/>
      <c r="K430" s="355"/>
      <c r="L430" s="355"/>
      <c r="M430" s="355"/>
      <c r="N430" s="356"/>
    </row>
    <row r="431" spans="1:15" s="48" customFormat="1" ht="26.35" customHeight="1">
      <c r="B431" s="194"/>
      <c r="C431" s="194" t="s">
        <v>366</v>
      </c>
      <c r="D431" s="194"/>
      <c r="E431" s="194"/>
      <c r="F431" s="194"/>
      <c r="G431" s="194"/>
      <c r="H431" s="3"/>
      <c r="I431" s="3"/>
      <c r="J431" s="107"/>
      <c r="M431" s="44"/>
      <c r="N431" s="116"/>
    </row>
    <row r="432" spans="1:15" s="48" customFormat="1" ht="124.15" customHeight="1" outlineLevel="1">
      <c r="A432" s="3">
        <v>38</v>
      </c>
      <c r="C432" s="116" t="s">
        <v>93</v>
      </c>
      <c r="D432" s="64">
        <v>0</v>
      </c>
      <c r="E432" s="3" t="s">
        <v>273</v>
      </c>
      <c r="F432" s="63"/>
      <c r="G432" s="63"/>
      <c r="H432" s="117">
        <v>211.24</v>
      </c>
      <c r="I432" s="3" t="s">
        <v>273</v>
      </c>
      <c r="J432" s="107">
        <v>190</v>
      </c>
      <c r="K432" s="45">
        <f>ROUND(H432*J432,0)</f>
        <v>40136</v>
      </c>
      <c r="L432" s="45">
        <f>ROUND(IF(K432&gt;G432,K432-G432,0),0)</f>
        <v>40136</v>
      </c>
      <c r="M432" s="45">
        <f>ROUND(IF(K432&lt;G432,G432-K432,0),0)</f>
        <v>0</v>
      </c>
      <c r="N432" s="116" t="s">
        <v>224</v>
      </c>
      <c r="O432" s="48" t="s">
        <v>175</v>
      </c>
    </row>
    <row r="433" spans="1:17" s="48" customFormat="1" outlineLevel="1">
      <c r="A433" s="3"/>
      <c r="C433" s="205" t="s">
        <v>262</v>
      </c>
      <c r="D433" s="64"/>
      <c r="E433" s="117"/>
      <c r="F433" s="63"/>
      <c r="G433" s="63"/>
      <c r="H433" s="117"/>
      <c r="I433" s="3"/>
      <c r="J433" s="107"/>
      <c r="K433" s="45"/>
      <c r="L433" s="45"/>
      <c r="M433" s="45"/>
      <c r="N433" s="116"/>
      <c r="O433" s="48" t="s">
        <v>175</v>
      </c>
    </row>
    <row r="434" spans="1:17" s="48" customFormat="1" ht="12.1" customHeight="1" outlineLevel="1">
      <c r="A434" s="3"/>
      <c r="C434" s="116"/>
      <c r="D434" s="64"/>
      <c r="E434" s="117"/>
      <c r="F434" s="63"/>
      <c r="G434" s="63"/>
      <c r="H434" s="117"/>
      <c r="I434" s="3"/>
      <c r="J434" s="107"/>
      <c r="K434" s="45"/>
      <c r="L434" s="45"/>
      <c r="M434" s="45"/>
      <c r="N434" s="116"/>
      <c r="O434" s="48" t="s">
        <v>175</v>
      </c>
    </row>
    <row r="435" spans="1:17" s="48" customFormat="1" ht="131.94999999999999" customHeight="1" outlineLevel="1">
      <c r="A435" s="3">
        <v>39</v>
      </c>
      <c r="C435" s="116" t="s">
        <v>94</v>
      </c>
      <c r="D435" s="64">
        <v>0</v>
      </c>
      <c r="E435" s="3" t="s">
        <v>273</v>
      </c>
      <c r="F435" s="63"/>
      <c r="G435" s="63"/>
      <c r="H435" s="117">
        <v>74.25</v>
      </c>
      <c r="I435" s="3" t="s">
        <v>273</v>
      </c>
      <c r="J435" s="107">
        <v>190</v>
      </c>
      <c r="K435" s="45">
        <f>ROUND(H435*J435,0)</f>
        <v>14108</v>
      </c>
      <c r="L435" s="45">
        <f>ROUND(IF(K435&gt;G435,K435-G435,0),0)</f>
        <v>14108</v>
      </c>
      <c r="M435" s="45">
        <f>ROUND(IF(K435&lt;G435,G435-K435,0),0)</f>
        <v>0</v>
      </c>
      <c r="N435" s="116" t="s">
        <v>224</v>
      </c>
      <c r="O435" s="48" t="s">
        <v>175</v>
      </c>
    </row>
    <row r="436" spans="1:17" s="48" customFormat="1" outlineLevel="1">
      <c r="A436" s="3"/>
      <c r="C436" s="205" t="s">
        <v>272</v>
      </c>
      <c r="D436" s="64"/>
      <c r="E436" s="117"/>
      <c r="F436" s="63"/>
      <c r="G436" s="63"/>
      <c r="H436" s="117"/>
      <c r="I436" s="3"/>
      <c r="J436" s="107"/>
      <c r="K436" s="45"/>
      <c r="L436" s="45"/>
      <c r="M436" s="45"/>
      <c r="N436" s="116"/>
      <c r="O436" s="48" t="s">
        <v>175</v>
      </c>
    </row>
    <row r="437" spans="1:17" s="48" customFormat="1" outlineLevel="1">
      <c r="A437" s="3"/>
      <c r="C437" s="205"/>
      <c r="D437" s="64"/>
      <c r="E437" s="117"/>
      <c r="F437" s="63"/>
      <c r="G437" s="63"/>
      <c r="H437" s="117"/>
      <c r="I437" s="3"/>
      <c r="J437" s="107"/>
      <c r="K437" s="45"/>
      <c r="L437" s="45"/>
      <c r="M437" s="45"/>
      <c r="N437" s="116"/>
      <c r="O437" s="48" t="s">
        <v>175</v>
      </c>
    </row>
    <row r="438" spans="1:17" s="48" customFormat="1" ht="114.65" customHeight="1" outlineLevel="1">
      <c r="A438" s="89">
        <v>40</v>
      </c>
      <c r="B438" s="91"/>
      <c r="C438" s="221" t="s">
        <v>372</v>
      </c>
      <c r="D438" s="98">
        <v>0</v>
      </c>
      <c r="E438" s="89" t="s">
        <v>96</v>
      </c>
      <c r="F438" s="223"/>
      <c r="G438" s="223"/>
      <c r="H438" s="88">
        <v>2</v>
      </c>
      <c r="I438" s="89" t="s">
        <v>96</v>
      </c>
      <c r="J438" s="115">
        <v>6500</v>
      </c>
      <c r="K438" s="90">
        <f>ROUND(H438*J438,0)</f>
        <v>13000</v>
      </c>
      <c r="L438" s="90">
        <f>ROUND(IF(K438&gt;G438,K438-G438,0),0)</f>
        <v>13000</v>
      </c>
      <c r="M438" s="90"/>
      <c r="N438" s="116" t="s">
        <v>373</v>
      </c>
      <c r="O438" s="48" t="s">
        <v>175</v>
      </c>
    </row>
    <row r="439" spans="1:17" s="48" customFormat="1" outlineLevel="1">
      <c r="A439" s="3"/>
      <c r="C439" s="205"/>
      <c r="D439" s="64"/>
      <c r="E439" s="117"/>
      <c r="F439" s="63"/>
      <c r="G439" s="63"/>
      <c r="H439" s="117"/>
      <c r="I439" s="3"/>
      <c r="J439" s="107"/>
      <c r="K439" s="45"/>
      <c r="L439" s="45"/>
      <c r="M439" s="45"/>
      <c r="N439" s="116"/>
      <c r="O439" s="48" t="s">
        <v>175</v>
      </c>
    </row>
    <row r="440" spans="1:17" s="48" customFormat="1" ht="25.15" customHeight="1" outlineLevel="1">
      <c r="B440" s="348"/>
      <c r="C440" s="350" t="s">
        <v>369</v>
      </c>
      <c r="D440" s="348"/>
      <c r="E440" s="348"/>
      <c r="F440" s="348"/>
      <c r="G440" s="349"/>
      <c r="H440" s="117"/>
      <c r="I440" s="3"/>
      <c r="J440" s="107"/>
      <c r="K440" s="45"/>
      <c r="L440" s="45"/>
      <c r="M440" s="45"/>
      <c r="N440" s="116"/>
      <c r="O440" s="48" t="s">
        <v>175</v>
      </c>
    </row>
    <row r="441" spans="1:17" s="48" customFormat="1" ht="387" customHeight="1" outlineLevel="1">
      <c r="A441" s="89">
        <v>41</v>
      </c>
      <c r="B441" s="91"/>
      <c r="C441" s="207" t="s">
        <v>317</v>
      </c>
      <c r="D441" s="98">
        <v>0</v>
      </c>
      <c r="E441" s="89" t="s">
        <v>96</v>
      </c>
      <c r="F441" s="223"/>
      <c r="G441" s="223"/>
      <c r="H441" s="88">
        <v>1</v>
      </c>
      <c r="I441" s="89" t="s">
        <v>96</v>
      </c>
      <c r="J441" s="115">
        <v>402500</v>
      </c>
      <c r="K441" s="90">
        <f>ROUND(H441*J441,0)</f>
        <v>402500</v>
      </c>
      <c r="L441" s="90">
        <f>ROUND(IF(K441&gt;G441,K441-G441,0),0)</f>
        <v>402500</v>
      </c>
      <c r="M441" s="90">
        <f>ROUND(IF(K441&lt;G441,G441-K441,0),0)</f>
        <v>0</v>
      </c>
      <c r="N441" s="221" t="s">
        <v>234</v>
      </c>
      <c r="O441" s="48" t="s">
        <v>175</v>
      </c>
      <c r="Q441" s="327">
        <f>J441*0.9</f>
        <v>362250</v>
      </c>
    </row>
    <row r="442" spans="1:17" s="48" customFormat="1" outlineLevel="1">
      <c r="A442" s="89"/>
      <c r="B442" s="91"/>
      <c r="C442" s="227" t="s">
        <v>252</v>
      </c>
      <c r="D442" s="98"/>
      <c r="E442" s="89"/>
      <c r="F442" s="223"/>
      <c r="G442" s="223"/>
      <c r="H442" s="88"/>
      <c r="I442" s="89"/>
      <c r="J442" s="115"/>
      <c r="K442" s="90"/>
      <c r="L442" s="90"/>
      <c r="M442" s="90"/>
      <c r="N442" s="221"/>
      <c r="O442" s="48" t="s">
        <v>175</v>
      </c>
    </row>
    <row r="443" spans="1:17" s="48" customFormat="1" ht="12.1" customHeight="1" outlineLevel="1">
      <c r="A443" s="89"/>
      <c r="B443" s="91"/>
      <c r="C443" s="91"/>
      <c r="D443" s="91"/>
      <c r="E443" s="91"/>
      <c r="F443" s="115"/>
      <c r="G443" s="224"/>
      <c r="H443" s="89"/>
      <c r="I443" s="89"/>
      <c r="J443" s="115"/>
      <c r="K443" s="90"/>
      <c r="L443" s="90">
        <f t="shared" ref="L443:L450" si="33">ROUND(IF(K443&gt;G443,K443-G443,0),0)</f>
        <v>0</v>
      </c>
      <c r="M443" s="90">
        <f t="shared" ref="M443:M450" si="34">ROUND(IF(K443&lt;G443,G443-K443,0),0)</f>
        <v>0</v>
      </c>
      <c r="N443" s="221"/>
      <c r="O443" s="48" t="s">
        <v>175</v>
      </c>
    </row>
    <row r="444" spans="1:17" s="48" customFormat="1" ht="181.9" customHeight="1" outlineLevel="1">
      <c r="A444" s="89">
        <v>42</v>
      </c>
      <c r="B444" s="91"/>
      <c r="C444" s="221" t="s">
        <v>107</v>
      </c>
      <c r="D444" s="98">
        <v>0</v>
      </c>
      <c r="E444" s="223"/>
      <c r="F444" s="223"/>
      <c r="G444" s="223"/>
      <c r="H444" s="88">
        <v>2</v>
      </c>
      <c r="I444" s="89" t="s">
        <v>96</v>
      </c>
      <c r="J444" s="115">
        <v>40000</v>
      </c>
      <c r="K444" s="90">
        <f>ROUND(H444*J444,0)</f>
        <v>80000</v>
      </c>
      <c r="L444" s="90">
        <f t="shared" si="33"/>
        <v>80000</v>
      </c>
      <c r="M444" s="90">
        <f t="shared" si="34"/>
        <v>0</v>
      </c>
      <c r="N444" s="221" t="s">
        <v>235</v>
      </c>
      <c r="O444" s="48" t="s">
        <v>175</v>
      </c>
    </row>
    <row r="445" spans="1:17" s="48" customFormat="1" outlineLevel="1">
      <c r="A445" s="89"/>
      <c r="B445" s="91"/>
      <c r="C445" s="227" t="s">
        <v>253</v>
      </c>
      <c r="D445" s="98"/>
      <c r="E445" s="223"/>
      <c r="F445" s="223"/>
      <c r="G445" s="223"/>
      <c r="H445" s="88"/>
      <c r="I445" s="89"/>
      <c r="J445" s="115"/>
      <c r="K445" s="90"/>
      <c r="L445" s="90"/>
      <c r="M445" s="90"/>
      <c r="N445" s="221"/>
      <c r="O445" s="48" t="s">
        <v>175</v>
      </c>
    </row>
    <row r="446" spans="1:17" s="48" customFormat="1" ht="12.1" customHeight="1" outlineLevel="1">
      <c r="A446" s="89"/>
      <c r="B446" s="91"/>
      <c r="C446" s="91"/>
      <c r="D446" s="91"/>
      <c r="E446" s="91"/>
      <c r="F446" s="115"/>
      <c r="G446" s="224"/>
      <c r="H446" s="89"/>
      <c r="I446" s="89"/>
      <c r="J446" s="115"/>
      <c r="K446" s="90"/>
      <c r="L446" s="90">
        <f t="shared" si="33"/>
        <v>0</v>
      </c>
      <c r="M446" s="90">
        <f t="shared" si="34"/>
        <v>0</v>
      </c>
      <c r="N446" s="221"/>
      <c r="O446" s="48" t="s">
        <v>175</v>
      </c>
    </row>
    <row r="447" spans="1:17" s="48" customFormat="1" ht="354.6" customHeight="1" outlineLevel="1">
      <c r="A447" s="89">
        <v>43</v>
      </c>
      <c r="B447" s="91"/>
      <c r="C447" s="221" t="s">
        <v>108</v>
      </c>
      <c r="D447" s="98">
        <v>0</v>
      </c>
      <c r="E447" s="89" t="s">
        <v>96</v>
      </c>
      <c r="F447" s="223"/>
      <c r="G447" s="223"/>
      <c r="H447" s="88">
        <v>1</v>
      </c>
      <c r="I447" s="89" t="s">
        <v>96</v>
      </c>
      <c r="J447" s="115">
        <v>718500</v>
      </c>
      <c r="K447" s="90">
        <f>ROUND(H447*J447,0)</f>
        <v>718500</v>
      </c>
      <c r="L447" s="90">
        <f t="shared" si="33"/>
        <v>718500</v>
      </c>
      <c r="M447" s="90">
        <f t="shared" si="34"/>
        <v>0</v>
      </c>
      <c r="N447" s="221" t="s">
        <v>233</v>
      </c>
      <c r="O447" s="48" t="s">
        <v>175</v>
      </c>
      <c r="P447" s="48">
        <f>590000*120%</f>
        <v>708000</v>
      </c>
    </row>
    <row r="448" spans="1:17" s="48" customFormat="1" outlineLevel="1">
      <c r="A448" s="89"/>
      <c r="B448" s="91"/>
      <c r="C448" s="227" t="s">
        <v>268</v>
      </c>
      <c r="D448" s="98"/>
      <c r="E448" s="89"/>
      <c r="F448" s="223"/>
      <c r="G448" s="223"/>
      <c r="H448" s="88"/>
      <c r="I448" s="89"/>
      <c r="J448" s="115"/>
      <c r="K448" s="90"/>
      <c r="L448" s="90"/>
      <c r="M448" s="90"/>
      <c r="N448" s="221"/>
      <c r="O448" s="48" t="s">
        <v>175</v>
      </c>
    </row>
    <row r="449" spans="1:16" s="48" customFormat="1" ht="12.1" customHeight="1" outlineLevel="1">
      <c r="A449" s="89"/>
      <c r="B449" s="91"/>
      <c r="C449" s="91"/>
      <c r="D449" s="91"/>
      <c r="E449" s="91"/>
      <c r="F449" s="115"/>
      <c r="G449" s="224"/>
      <c r="H449" s="89"/>
      <c r="I449" s="89"/>
      <c r="J449" s="115"/>
      <c r="K449" s="90"/>
      <c r="L449" s="90">
        <f t="shared" si="33"/>
        <v>0</v>
      </c>
      <c r="M449" s="90">
        <f t="shared" si="34"/>
        <v>0</v>
      </c>
      <c r="N449" s="221"/>
      <c r="O449" s="48" t="s">
        <v>175</v>
      </c>
    </row>
    <row r="450" spans="1:16" s="48" customFormat="1" ht="248.95" customHeight="1" outlineLevel="1">
      <c r="A450" s="89">
        <v>44</v>
      </c>
      <c r="B450" s="91"/>
      <c r="C450" s="221" t="s">
        <v>109</v>
      </c>
      <c r="D450" s="98">
        <v>0</v>
      </c>
      <c r="E450" s="89" t="s">
        <v>96</v>
      </c>
      <c r="F450" s="223"/>
      <c r="G450" s="223"/>
      <c r="H450" s="88">
        <v>2</v>
      </c>
      <c r="I450" s="89" t="s">
        <v>96</v>
      </c>
      <c r="J450" s="115">
        <v>240750</v>
      </c>
      <c r="K450" s="90">
        <f>ROUND(H450*J450,0)</f>
        <v>481500</v>
      </c>
      <c r="L450" s="90">
        <f t="shared" si="33"/>
        <v>481500</v>
      </c>
      <c r="M450" s="90">
        <f t="shared" si="34"/>
        <v>0</v>
      </c>
      <c r="N450" s="221" t="s">
        <v>236</v>
      </c>
      <c r="O450" s="48" t="s">
        <v>175</v>
      </c>
      <c r="P450" s="48">
        <f>182000*120%</f>
        <v>218400</v>
      </c>
    </row>
    <row r="451" spans="1:16" s="48" customFormat="1" outlineLevel="1">
      <c r="A451" s="89"/>
      <c r="B451" s="91"/>
      <c r="C451" s="227" t="s">
        <v>269</v>
      </c>
      <c r="D451" s="98"/>
      <c r="E451" s="89"/>
      <c r="F451" s="223"/>
      <c r="G451" s="223"/>
      <c r="H451" s="88"/>
      <c r="I451" s="89"/>
      <c r="J451" s="115"/>
      <c r="K451" s="90"/>
      <c r="L451" s="90"/>
      <c r="M451" s="90"/>
      <c r="N451" s="221"/>
      <c r="O451" s="48" t="s">
        <v>175</v>
      </c>
    </row>
    <row r="452" spans="1:16" s="48" customFormat="1" ht="21.75" customHeight="1">
      <c r="A452" s="3"/>
      <c r="F452" s="43"/>
      <c r="G452" s="44"/>
      <c r="H452" s="3"/>
      <c r="I452" s="3"/>
      <c r="J452" s="110" t="s">
        <v>122</v>
      </c>
      <c r="K452" s="73">
        <f>SUM(K432:K451)</f>
        <v>1749744</v>
      </c>
      <c r="L452" s="73">
        <f>SUM(L432:L451)</f>
        <v>1749744</v>
      </c>
      <c r="M452" s="73">
        <f>SUM(M441:M451)</f>
        <v>0</v>
      </c>
      <c r="N452" s="116"/>
    </row>
    <row r="453" spans="1:16" s="48" customFormat="1" ht="35" customHeight="1">
      <c r="A453" s="3"/>
      <c r="C453" s="194" t="s">
        <v>367</v>
      </c>
      <c r="D453" s="194"/>
      <c r="E453" s="194"/>
      <c r="F453" s="194"/>
      <c r="G453" s="194"/>
      <c r="H453" s="4"/>
      <c r="I453" s="74"/>
      <c r="J453" s="43"/>
      <c r="K453" s="75"/>
      <c r="L453" s="75"/>
      <c r="M453" s="75"/>
      <c r="N453" s="202"/>
    </row>
    <row r="454" spans="1:16" s="48" customFormat="1" ht="118.9" customHeight="1" outlineLevel="1">
      <c r="A454" s="3">
        <v>45</v>
      </c>
      <c r="C454" s="201" t="s">
        <v>111</v>
      </c>
      <c r="D454" s="3">
        <v>0</v>
      </c>
      <c r="E454" s="46" t="s">
        <v>16</v>
      </c>
      <c r="F454" s="44"/>
      <c r="G454" s="44"/>
      <c r="H454" s="4">
        <v>1</v>
      </c>
      <c r="I454" s="74" t="str">
        <f t="shared" ref="I454:I459" si="35">E454</f>
        <v>Set</v>
      </c>
      <c r="J454" s="43">
        <v>175180</v>
      </c>
      <c r="K454" s="45">
        <f t="shared" ref="K454:K463" si="36">ROUND(H454*J454,0)</f>
        <v>175180</v>
      </c>
      <c r="L454" s="45">
        <f>ROUND(IF(K454&gt;G454,K454-G454,0),0)</f>
        <v>175180</v>
      </c>
      <c r="M454" s="45">
        <f>ROUND(IF(K454&lt;G454,G454-K454,0),0)</f>
        <v>0</v>
      </c>
      <c r="N454" s="202" t="s">
        <v>237</v>
      </c>
      <c r="O454" s="48" t="s">
        <v>176</v>
      </c>
    </row>
    <row r="455" spans="1:16" s="48" customFormat="1" ht="118.9" customHeight="1" outlineLevel="1">
      <c r="A455" s="3">
        <v>46</v>
      </c>
      <c r="C455" s="201" t="s">
        <v>112</v>
      </c>
      <c r="D455" s="3">
        <v>0</v>
      </c>
      <c r="E455" s="46" t="s">
        <v>16</v>
      </c>
      <c r="F455" s="44"/>
      <c r="G455" s="44"/>
      <c r="H455" s="4">
        <v>1</v>
      </c>
      <c r="I455" s="74" t="str">
        <f t="shared" si="35"/>
        <v>Set</v>
      </c>
      <c r="J455" s="43">
        <v>9620</v>
      </c>
      <c r="K455" s="45">
        <f t="shared" si="36"/>
        <v>9620</v>
      </c>
      <c r="L455" s="45">
        <f t="shared" ref="L455:L463" si="37">ROUND(IF(K455&gt;G455,K455-G455,0),0)</f>
        <v>9620</v>
      </c>
      <c r="M455" s="45">
        <f t="shared" ref="M455:M463" si="38">ROUND(IF(K455&lt;G455,G455-K455,0),0)</f>
        <v>0</v>
      </c>
      <c r="N455" s="202" t="s">
        <v>237</v>
      </c>
      <c r="O455" s="48" t="s">
        <v>176</v>
      </c>
    </row>
    <row r="456" spans="1:16" s="48" customFormat="1" ht="118.9" customHeight="1" outlineLevel="1">
      <c r="A456" s="3">
        <f t="shared" ref="A456:A463" si="39">A455+1</f>
        <v>47</v>
      </c>
      <c r="C456" s="201" t="s">
        <v>113</v>
      </c>
      <c r="D456" s="3">
        <v>0</v>
      </c>
      <c r="E456" s="46" t="s">
        <v>16</v>
      </c>
      <c r="F456" s="44"/>
      <c r="G456" s="44"/>
      <c r="H456" s="4">
        <v>1</v>
      </c>
      <c r="I456" s="74" t="str">
        <f t="shared" si="35"/>
        <v>Set</v>
      </c>
      <c r="J456" s="43">
        <v>175180</v>
      </c>
      <c r="K456" s="45">
        <f t="shared" si="36"/>
        <v>175180</v>
      </c>
      <c r="L456" s="45">
        <f t="shared" si="37"/>
        <v>175180</v>
      </c>
      <c r="M456" s="45">
        <f t="shared" si="38"/>
        <v>0</v>
      </c>
      <c r="N456" s="202" t="s">
        <v>237</v>
      </c>
      <c r="O456" s="48" t="s">
        <v>176</v>
      </c>
    </row>
    <row r="457" spans="1:16" s="48" customFormat="1" ht="118.9" customHeight="1" outlineLevel="1">
      <c r="A457" s="3">
        <f t="shared" si="39"/>
        <v>48</v>
      </c>
      <c r="C457" s="201" t="s">
        <v>114</v>
      </c>
      <c r="D457" s="3">
        <v>0</v>
      </c>
      <c r="E457" s="46" t="s">
        <v>16</v>
      </c>
      <c r="F457" s="44"/>
      <c r="G457" s="44"/>
      <c r="H457" s="4">
        <v>1</v>
      </c>
      <c r="I457" s="74" t="str">
        <f t="shared" si="35"/>
        <v>Set</v>
      </c>
      <c r="J457" s="43">
        <v>175180</v>
      </c>
      <c r="K457" s="45">
        <f t="shared" si="36"/>
        <v>175180</v>
      </c>
      <c r="L457" s="45">
        <f t="shared" si="37"/>
        <v>175180</v>
      </c>
      <c r="M457" s="45">
        <f t="shared" si="38"/>
        <v>0</v>
      </c>
      <c r="N457" s="202" t="s">
        <v>237</v>
      </c>
      <c r="O457" s="48" t="s">
        <v>176</v>
      </c>
    </row>
    <row r="458" spans="1:16" s="48" customFormat="1" ht="118.9" customHeight="1" outlineLevel="1">
      <c r="A458" s="3">
        <f t="shared" si="39"/>
        <v>49</v>
      </c>
      <c r="C458" s="201" t="s">
        <v>115</v>
      </c>
      <c r="D458" s="3">
        <v>0</v>
      </c>
      <c r="E458" s="46" t="s">
        <v>96</v>
      </c>
      <c r="F458" s="44"/>
      <c r="G458" s="44"/>
      <c r="H458" s="4">
        <v>6</v>
      </c>
      <c r="I458" s="74" t="str">
        <f t="shared" si="35"/>
        <v>Nos</v>
      </c>
      <c r="J458" s="43">
        <v>12470</v>
      </c>
      <c r="K458" s="45">
        <f t="shared" si="36"/>
        <v>74820</v>
      </c>
      <c r="L458" s="45">
        <f t="shared" si="37"/>
        <v>74820</v>
      </c>
      <c r="M458" s="45">
        <f t="shared" si="38"/>
        <v>0</v>
      </c>
      <c r="N458" s="202" t="s">
        <v>237</v>
      </c>
      <c r="O458" s="48" t="s">
        <v>176</v>
      </c>
    </row>
    <row r="459" spans="1:16" s="48" customFormat="1" ht="113.95" customHeight="1" outlineLevel="1">
      <c r="A459" s="3">
        <f t="shared" si="39"/>
        <v>50</v>
      </c>
      <c r="C459" s="201" t="s">
        <v>116</v>
      </c>
      <c r="D459" s="3">
        <v>0</v>
      </c>
      <c r="E459" s="46" t="s">
        <v>117</v>
      </c>
      <c r="F459" s="44"/>
      <c r="G459" s="44"/>
      <c r="H459" s="4">
        <v>3</v>
      </c>
      <c r="I459" s="74" t="str">
        <f t="shared" si="35"/>
        <v>Nos.</v>
      </c>
      <c r="J459" s="43">
        <v>930</v>
      </c>
      <c r="K459" s="45">
        <f t="shared" si="36"/>
        <v>2790</v>
      </c>
      <c r="L459" s="45">
        <f t="shared" si="37"/>
        <v>2790</v>
      </c>
      <c r="M459" s="45">
        <f t="shared" si="38"/>
        <v>0</v>
      </c>
      <c r="N459" s="202" t="s">
        <v>237</v>
      </c>
      <c r="O459" s="48" t="s">
        <v>176</v>
      </c>
    </row>
    <row r="460" spans="1:16" s="48" customFormat="1" ht="274.10000000000002" customHeight="1" outlineLevel="1">
      <c r="A460" s="3">
        <f t="shared" si="39"/>
        <v>51</v>
      </c>
      <c r="C460" s="201" t="s">
        <v>118</v>
      </c>
      <c r="D460" s="3">
        <v>0</v>
      </c>
      <c r="E460" s="46" t="s">
        <v>117</v>
      </c>
      <c r="F460" s="55"/>
      <c r="G460" s="56"/>
      <c r="H460" s="57">
        <v>2</v>
      </c>
      <c r="I460" s="54" t="s">
        <v>96</v>
      </c>
      <c r="J460" s="43">
        <v>20850</v>
      </c>
      <c r="K460" s="45">
        <f t="shared" si="36"/>
        <v>41700</v>
      </c>
      <c r="L460" s="45">
        <f t="shared" si="37"/>
        <v>41700</v>
      </c>
      <c r="M460" s="45">
        <f t="shared" si="38"/>
        <v>0</v>
      </c>
      <c r="N460" s="202" t="s">
        <v>237</v>
      </c>
      <c r="O460" s="48" t="s">
        <v>176</v>
      </c>
    </row>
    <row r="461" spans="1:16" s="48" customFormat="1" ht="274.10000000000002" customHeight="1" outlineLevel="1">
      <c r="A461" s="3">
        <f t="shared" si="39"/>
        <v>52</v>
      </c>
      <c r="C461" s="201" t="s">
        <v>119</v>
      </c>
      <c r="D461" s="3">
        <v>0</v>
      </c>
      <c r="E461" s="46" t="s">
        <v>117</v>
      </c>
      <c r="F461" s="55"/>
      <c r="G461" s="56"/>
      <c r="H461" s="57">
        <v>2</v>
      </c>
      <c r="I461" s="54" t="s">
        <v>96</v>
      </c>
      <c r="J461" s="43">
        <v>17850</v>
      </c>
      <c r="K461" s="45">
        <f t="shared" si="36"/>
        <v>35700</v>
      </c>
      <c r="L461" s="45">
        <f t="shared" si="37"/>
        <v>35700</v>
      </c>
      <c r="M461" s="45">
        <f t="shared" si="38"/>
        <v>0</v>
      </c>
      <c r="N461" s="202" t="s">
        <v>237</v>
      </c>
      <c r="O461" s="48" t="s">
        <v>176</v>
      </c>
    </row>
    <row r="462" spans="1:16" s="48" customFormat="1" ht="274.10000000000002" customHeight="1" outlineLevel="1">
      <c r="A462" s="3">
        <f t="shared" si="39"/>
        <v>53</v>
      </c>
      <c r="C462" s="201" t="s">
        <v>120</v>
      </c>
      <c r="D462" s="3">
        <v>0</v>
      </c>
      <c r="E462" s="46" t="s">
        <v>117</v>
      </c>
      <c r="F462" s="55"/>
      <c r="G462" s="56"/>
      <c r="H462" s="57">
        <v>2</v>
      </c>
      <c r="I462" s="54" t="s">
        <v>96</v>
      </c>
      <c r="J462" s="43">
        <v>29250</v>
      </c>
      <c r="K462" s="45">
        <f t="shared" si="36"/>
        <v>58500</v>
      </c>
      <c r="L462" s="45">
        <f t="shared" si="37"/>
        <v>58500</v>
      </c>
      <c r="M462" s="45">
        <f t="shared" si="38"/>
        <v>0</v>
      </c>
      <c r="N462" s="202" t="s">
        <v>237</v>
      </c>
      <c r="O462" s="48" t="s">
        <v>176</v>
      </c>
    </row>
    <row r="463" spans="1:16" s="48" customFormat="1" ht="274.10000000000002" customHeight="1" outlineLevel="1">
      <c r="A463" s="3">
        <f t="shared" si="39"/>
        <v>54</v>
      </c>
      <c r="C463" s="201" t="s">
        <v>121</v>
      </c>
      <c r="D463" s="3">
        <v>0</v>
      </c>
      <c r="E463" s="46" t="s">
        <v>117</v>
      </c>
      <c r="F463" s="55"/>
      <c r="G463" s="56"/>
      <c r="H463" s="57">
        <v>2</v>
      </c>
      <c r="I463" s="54" t="s">
        <v>96</v>
      </c>
      <c r="J463" s="43">
        <v>33000</v>
      </c>
      <c r="K463" s="45">
        <f t="shared" si="36"/>
        <v>66000</v>
      </c>
      <c r="L463" s="45">
        <f t="shared" si="37"/>
        <v>66000</v>
      </c>
      <c r="M463" s="45">
        <f t="shared" si="38"/>
        <v>0</v>
      </c>
      <c r="N463" s="202" t="s">
        <v>237</v>
      </c>
      <c r="O463" s="48" t="s">
        <v>176</v>
      </c>
    </row>
    <row r="464" spans="1:16" s="48" customFormat="1" ht="24.65" customHeight="1">
      <c r="A464" s="3"/>
      <c r="C464" s="201"/>
      <c r="D464" s="54"/>
      <c r="E464" s="46"/>
      <c r="F464" s="55"/>
      <c r="G464" s="56"/>
      <c r="H464" s="54"/>
      <c r="I464" s="54"/>
      <c r="J464" s="110" t="s">
        <v>122</v>
      </c>
      <c r="K464" s="102">
        <f>SUM(K454:K463)</f>
        <v>814670</v>
      </c>
      <c r="L464" s="102">
        <f>IF(K464&gt;G464,K464-G464,0)</f>
        <v>814670</v>
      </c>
      <c r="M464" s="102">
        <f>IF(L464&gt;H464,L464-H464,0)</f>
        <v>814670</v>
      </c>
      <c r="N464" s="202"/>
    </row>
    <row r="465" spans="1:14" s="48" customFormat="1" ht="24.65" customHeight="1">
      <c r="A465" s="3"/>
      <c r="C465" s="215"/>
      <c r="F465" s="52" t="s">
        <v>125</v>
      </c>
      <c r="G465" s="76">
        <f>0</f>
        <v>0</v>
      </c>
      <c r="H465" s="3"/>
      <c r="I465" s="3"/>
      <c r="J465" s="107"/>
      <c r="K465" s="50">
        <f>K464+K452+K429+K396+K393+K352</f>
        <v>4447322</v>
      </c>
      <c r="L465" s="50">
        <f>K465</f>
        <v>4447322</v>
      </c>
      <c r="M465" s="58"/>
      <c r="N465" s="116"/>
    </row>
    <row r="466" spans="1:14" s="48" customFormat="1" ht="24.65" customHeight="1">
      <c r="A466" s="3"/>
      <c r="C466" s="203" t="s">
        <v>126</v>
      </c>
      <c r="G466" s="77" t="e">
        <f>G465+G344</f>
        <v>#REF!</v>
      </c>
      <c r="H466" s="3"/>
      <c r="I466" s="3"/>
      <c r="J466" s="107"/>
      <c r="K466" s="78" t="e">
        <f>K465+K344</f>
        <v>#REF!</v>
      </c>
      <c r="L466" s="78" t="e">
        <f>L465+L344</f>
        <v>#REF!</v>
      </c>
      <c r="M466" s="78" t="e">
        <f>M465+M344</f>
        <v>#REF!</v>
      </c>
      <c r="N466" s="116"/>
    </row>
    <row r="467" spans="1:14" s="48" customFormat="1" ht="24.65" customHeight="1">
      <c r="A467" s="3"/>
      <c r="F467" s="43"/>
      <c r="G467" s="44"/>
      <c r="H467" s="74"/>
      <c r="I467" s="74"/>
      <c r="J467" s="52" t="s">
        <v>124</v>
      </c>
      <c r="K467" s="78" t="e">
        <f>K466-G466</f>
        <v>#REF!</v>
      </c>
      <c r="L467" s="44"/>
      <c r="M467" s="44"/>
      <c r="N467" s="116"/>
    </row>
    <row r="468" spans="1:14">
      <c r="M468" s="79"/>
    </row>
    <row r="470" spans="1:14">
      <c r="C470" s="48">
        <f>130071234*1.18</f>
        <v>153484056.12</v>
      </c>
      <c r="K470" s="45" t="e">
        <f>K466*1.18</f>
        <v>#REF!</v>
      </c>
    </row>
  </sheetData>
  <mergeCells count="83">
    <mergeCell ref="K43:K44"/>
    <mergeCell ref="L43:L44"/>
    <mergeCell ref="M43:M44"/>
    <mergeCell ref="N43:N44"/>
    <mergeCell ref="N139:N141"/>
    <mergeCell ref="N46:N47"/>
    <mergeCell ref="N60:N61"/>
    <mergeCell ref="N64:N65"/>
    <mergeCell ref="N68:N69"/>
    <mergeCell ref="N72:N73"/>
    <mergeCell ref="N78:N79"/>
    <mergeCell ref="N87:N88"/>
    <mergeCell ref="N91:N92"/>
    <mergeCell ref="N95:N96"/>
    <mergeCell ref="N99:N100"/>
    <mergeCell ref="N103:N104"/>
    <mergeCell ref="F43:F44"/>
    <mergeCell ref="G43:G44"/>
    <mergeCell ref="H43:H44"/>
    <mergeCell ref="I43:I44"/>
    <mergeCell ref="J43:J44"/>
    <mergeCell ref="A43:A44"/>
    <mergeCell ref="B43:B44"/>
    <mergeCell ref="C43:C44"/>
    <mergeCell ref="D43:D44"/>
    <mergeCell ref="E43:E44"/>
    <mergeCell ref="A1:N1"/>
    <mergeCell ref="A2:A3"/>
    <mergeCell ref="C2:C3"/>
    <mergeCell ref="D2:G2"/>
    <mergeCell ref="H2:K2"/>
    <mergeCell ref="L2:L3"/>
    <mergeCell ref="M2:M3"/>
    <mergeCell ref="N2:N3"/>
    <mergeCell ref="B2:B3"/>
    <mergeCell ref="N12:N13"/>
    <mergeCell ref="N16:N17"/>
    <mergeCell ref="N24:N25"/>
    <mergeCell ref="N28:N29"/>
    <mergeCell ref="N37:N38"/>
    <mergeCell ref="N22:N23"/>
    <mergeCell ref="N117:N118"/>
    <mergeCell ref="N135:N136"/>
    <mergeCell ref="N143:N144"/>
    <mergeCell ref="N310:N311"/>
    <mergeCell ref="N314:N315"/>
    <mergeCell ref="N320:N321"/>
    <mergeCell ref="N326:N327"/>
    <mergeCell ref="N147:N148"/>
    <mergeCell ref="N254:N255"/>
    <mergeCell ref="N289:N290"/>
    <mergeCell ref="N300:N301"/>
    <mergeCell ref="N304:N305"/>
    <mergeCell ref="N292:N293"/>
    <mergeCell ref="N217:N218"/>
    <mergeCell ref="D373:D374"/>
    <mergeCell ref="E373:E374"/>
    <mergeCell ref="C373:C374"/>
    <mergeCell ref="N369:N370"/>
    <mergeCell ref="H373:H374"/>
    <mergeCell ref="I373:I374"/>
    <mergeCell ref="J373:J374"/>
    <mergeCell ref="K373:K374"/>
    <mergeCell ref="L373:L374"/>
    <mergeCell ref="I369:I370"/>
    <mergeCell ref="J369:J370"/>
    <mergeCell ref="K369:K370"/>
    <mergeCell ref="L369:L370"/>
    <mergeCell ref="M369:M370"/>
    <mergeCell ref="M373:M374"/>
    <mergeCell ref="N373:N374"/>
    <mergeCell ref="A369:A370"/>
    <mergeCell ref="B369:B370"/>
    <mergeCell ref="C369:C370"/>
    <mergeCell ref="D369:D370"/>
    <mergeCell ref="E369:E370"/>
    <mergeCell ref="F369:F370"/>
    <mergeCell ref="G369:G370"/>
    <mergeCell ref="H369:H370"/>
    <mergeCell ref="B373:B374"/>
    <mergeCell ref="A373:A374"/>
    <mergeCell ref="G373:G374"/>
    <mergeCell ref="F373:F374"/>
  </mergeCells>
  <pageMargins left="0.23622047244094491" right="0.23622047244094491" top="0.70866141732283472" bottom="0.78740157480314965" header="0.31496062992125984" footer="0.31496062992125984"/>
  <pageSetup paperSize="9" scale="65" fitToHeight="0" orientation="landscape" verticalDpi="300" r:id="rId1"/>
  <headerFooter>
    <oddFooter>Page &amp;P of &amp;N</oddFooter>
  </headerFooter>
  <rowBreaks count="18" manualBreakCount="18">
    <brk id="7" min="2" max="13" man="1"/>
    <brk id="35" min="2" max="13" man="1"/>
    <brk id="42" min="2" max="13" man="1"/>
    <brk id="97" min="2" max="13" man="1"/>
    <brk id="113" min="2" max="13" man="1"/>
    <brk id="133" min="2" max="13" man="1"/>
    <brk id="252" min="2" max="13" man="1"/>
    <brk id="302" min="2" max="13" man="1"/>
    <brk id="322" min="2" max="13" man="1"/>
    <brk id="324" min="2" max="13" man="1"/>
    <brk id="344" min="2" max="13" man="1"/>
    <brk id="352" min="2" max="13" man="1"/>
    <brk id="382" min="2" max="13" man="1"/>
    <brk id="387" min="2" max="13" man="1"/>
    <brk id="393" max="13" man="1"/>
    <brk id="418" max="13" man="1"/>
    <brk id="429" min="2" max="13" man="1"/>
    <brk id="452" max="13" man="1"/>
  </rowBreaks>
  <ignoredErrors>
    <ignoredError sqref="J2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2"/>
  <sheetViews>
    <sheetView zoomScaleNormal="100" workbookViewId="0">
      <pane ySplit="3" topLeftCell="A22" activePane="bottomLeft" state="frozen"/>
      <selection pane="bottomLeft" sqref="A1:XFD1048576"/>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384" t="s">
        <v>161</v>
      </c>
      <c r="C1" s="385"/>
      <c r="D1" s="385"/>
      <c r="E1" s="385"/>
      <c r="F1" s="385"/>
      <c r="G1" s="385"/>
      <c r="H1" s="385"/>
      <c r="I1" s="386"/>
    </row>
    <row r="2" spans="2:10" ht="17" customHeight="1">
      <c r="B2" s="383" t="s">
        <v>530</v>
      </c>
      <c r="C2" s="383"/>
      <c r="D2" s="383"/>
      <c r="E2" s="383"/>
      <c r="F2" s="383"/>
      <c r="G2" s="383"/>
      <c r="H2" s="383"/>
      <c r="I2" s="383"/>
    </row>
    <row r="3" spans="2:10" ht="28.55">
      <c r="B3" s="23" t="s">
        <v>160</v>
      </c>
      <c r="C3" s="22" t="s">
        <v>159</v>
      </c>
      <c r="D3" s="22"/>
      <c r="E3" s="22" t="s">
        <v>158</v>
      </c>
      <c r="F3" s="22" t="s">
        <v>157</v>
      </c>
      <c r="G3" s="22" t="s">
        <v>156</v>
      </c>
      <c r="H3" s="22" t="s">
        <v>155</v>
      </c>
      <c r="I3" s="22" t="s">
        <v>529</v>
      </c>
      <c r="J3" s="12"/>
    </row>
    <row r="4" spans="2:10" s="12" customFormat="1" ht="16.5" customHeight="1">
      <c r="B4" s="10">
        <v>1</v>
      </c>
      <c r="C4" s="13" t="s">
        <v>154</v>
      </c>
      <c r="D4" s="13"/>
      <c r="E4" s="14" t="e">
        <f>RE!#REF!</f>
        <v>#REF!</v>
      </c>
      <c r="F4" s="14" t="e">
        <f>RE!#REF!</f>
        <v>#REF!</v>
      </c>
      <c r="G4" s="14" t="e">
        <f>RE!#REF!</f>
        <v>#REF!</v>
      </c>
      <c r="H4" s="14" t="e">
        <f>RE!#REF!</f>
        <v>#REF!</v>
      </c>
      <c r="I4" s="13"/>
    </row>
    <row r="5" spans="2:10" s="12" customFormat="1" ht="16.5" customHeight="1">
      <c r="B5" s="10">
        <v>2</v>
      </c>
      <c r="C5" s="13" t="s">
        <v>29</v>
      </c>
      <c r="D5" s="13"/>
      <c r="E5" s="14" t="e">
        <f>RE!#REF!</f>
        <v>#REF!</v>
      </c>
      <c r="F5" s="14" t="e">
        <f>RE!#REF!</f>
        <v>#REF!</v>
      </c>
      <c r="G5" s="14" t="e">
        <f>RE!#REF!</f>
        <v>#REF!</v>
      </c>
      <c r="H5" s="14" t="e">
        <f>RE!#REF!</f>
        <v>#REF!</v>
      </c>
      <c r="I5" s="13"/>
    </row>
    <row r="6" spans="2:10" s="12" customFormat="1" ht="16.5" customHeight="1">
      <c r="B6" s="10">
        <v>3</v>
      </c>
      <c r="C6" s="13" t="s">
        <v>153</v>
      </c>
      <c r="D6" s="13"/>
      <c r="E6" s="14" t="e">
        <f>RE!#REF!</f>
        <v>#REF!</v>
      </c>
      <c r="F6" s="14" t="e">
        <f>RE!#REF!</f>
        <v>#REF!</v>
      </c>
      <c r="G6" s="14" t="e">
        <f>RE!#REF!</f>
        <v>#REF!</v>
      </c>
      <c r="H6" s="14" t="e">
        <f>RE!#REF!</f>
        <v>#REF!</v>
      </c>
      <c r="I6" s="13"/>
    </row>
    <row r="7" spans="2:10" s="12" customFormat="1" ht="16.5" customHeight="1">
      <c r="B7" s="10">
        <v>4</v>
      </c>
      <c r="C7" s="13" t="s">
        <v>152</v>
      </c>
      <c r="D7" s="13"/>
      <c r="E7" s="14" t="e">
        <f>RE!#REF!</f>
        <v>#REF!</v>
      </c>
      <c r="F7" s="14" t="e">
        <f>RE!#REF!</f>
        <v>#REF!</v>
      </c>
      <c r="G7" s="14" t="e">
        <f>RE!#REF!</f>
        <v>#REF!</v>
      </c>
      <c r="H7" s="14" t="e">
        <f>RE!#REF!</f>
        <v>#REF!</v>
      </c>
      <c r="I7" s="13"/>
    </row>
    <row r="8" spans="2:10" s="12" customFormat="1" ht="16.5" customHeight="1">
      <c r="B8" s="10">
        <v>5</v>
      </c>
      <c r="C8" s="13" t="s">
        <v>151</v>
      </c>
      <c r="D8" s="13"/>
      <c r="E8" s="14" t="e">
        <f>RE!#REF!</f>
        <v>#REF!</v>
      </c>
      <c r="F8" s="14" t="e">
        <f>RE!#REF!</f>
        <v>#REF!</v>
      </c>
      <c r="G8" s="14" t="e">
        <f>RE!#REF!</f>
        <v>#REF!</v>
      </c>
      <c r="H8" s="14" t="e">
        <f>RE!#REF!</f>
        <v>#REF!</v>
      </c>
      <c r="I8" s="13"/>
    </row>
    <row r="9" spans="2:10" s="12" customFormat="1" ht="16.5" customHeight="1">
      <c r="B9" s="10">
        <v>6</v>
      </c>
      <c r="C9" s="13" t="s">
        <v>150</v>
      </c>
      <c r="D9" s="13"/>
      <c r="E9" s="14" t="e">
        <f>RE!#REF!</f>
        <v>#REF!</v>
      </c>
      <c r="F9" s="14" t="e">
        <f>RE!#REF!</f>
        <v>#REF!</v>
      </c>
      <c r="G9" s="14" t="e">
        <f>RE!#REF!</f>
        <v>#REF!</v>
      </c>
      <c r="H9" s="14" t="e">
        <f>RE!#REF!</f>
        <v>#REF!</v>
      </c>
      <c r="I9" s="13"/>
    </row>
    <row r="10" spans="2:10" s="12" customFormat="1" ht="16.5" customHeight="1">
      <c r="B10" s="10">
        <v>7</v>
      </c>
      <c r="C10" s="13" t="s">
        <v>149</v>
      </c>
      <c r="D10" s="13"/>
      <c r="E10" s="14" t="e">
        <f>RE!#REF!</f>
        <v>#REF!</v>
      </c>
      <c r="F10" s="14" t="e">
        <f>RE!#REF!</f>
        <v>#REF!</v>
      </c>
      <c r="G10" s="14" t="e">
        <f>RE!#REF!</f>
        <v>#REF!</v>
      </c>
      <c r="H10" s="14" t="e">
        <f>RE!#REF!</f>
        <v>#REF!</v>
      </c>
      <c r="I10" s="13"/>
    </row>
    <row r="11" spans="2:10" s="12" customFormat="1" ht="16.5" customHeight="1">
      <c r="B11" s="10">
        <v>8</v>
      </c>
      <c r="C11" s="13" t="s">
        <v>148</v>
      </c>
      <c r="D11" s="13"/>
      <c r="E11" s="14" t="e">
        <f>RE!#REF!</f>
        <v>#REF!</v>
      </c>
      <c r="F11" s="14" t="e">
        <f>RE!#REF!</f>
        <v>#REF!</v>
      </c>
      <c r="G11" s="14" t="e">
        <f>RE!#REF!</f>
        <v>#REF!</v>
      </c>
      <c r="H11" s="14" t="e">
        <f>RE!#REF!</f>
        <v>#REF!</v>
      </c>
      <c r="I11" s="13"/>
    </row>
    <row r="12" spans="2:10" s="12" customFormat="1" ht="16.5" customHeight="1">
      <c r="B12" s="10"/>
      <c r="C12" s="21" t="s">
        <v>147</v>
      </c>
      <c r="D12" s="21"/>
      <c r="E12" s="19" t="e">
        <f>SUM(E4:E11)</f>
        <v>#REF!</v>
      </c>
      <c r="F12" s="19" t="e">
        <f>SUM(F4:F11)</f>
        <v>#REF!</v>
      </c>
      <c r="G12" s="19" t="e">
        <f>SUM(G4:G11)</f>
        <v>#REF!</v>
      </c>
      <c r="H12" s="19" t="e">
        <f>SUM(H4:H11)</f>
        <v>#REF!</v>
      </c>
      <c r="I12" s="13"/>
    </row>
    <row r="13" spans="2:10" s="12" customFormat="1" ht="16.5" customHeight="1">
      <c r="B13" s="10">
        <v>9</v>
      </c>
      <c r="C13" s="13" t="s">
        <v>146</v>
      </c>
      <c r="D13" s="13"/>
      <c r="E13" s="14" t="e">
        <f>RE!#REF!</f>
        <v>#REF!</v>
      </c>
      <c r="F13" s="14" t="e">
        <f>RE!#REF!</f>
        <v>#REF!</v>
      </c>
      <c r="G13" s="14" t="e">
        <f>RE!#REF!</f>
        <v>#REF!</v>
      </c>
      <c r="H13" s="14" t="e">
        <f>RE!#REF!</f>
        <v>#REF!</v>
      </c>
      <c r="I13" s="13"/>
    </row>
    <row r="14" spans="2:10" s="12" customFormat="1" ht="16.5" customHeight="1">
      <c r="B14" s="10">
        <v>10</v>
      </c>
      <c r="C14" s="13" t="s">
        <v>145</v>
      </c>
      <c r="D14" s="13"/>
      <c r="E14" s="14" t="e">
        <f>RE!#REF!</f>
        <v>#REF!</v>
      </c>
      <c r="F14" s="14" t="e">
        <f>RE!#REF!</f>
        <v>#REF!</v>
      </c>
      <c r="G14" s="14" t="e">
        <f>RE!#REF!</f>
        <v>#REF!</v>
      </c>
      <c r="H14" s="14" t="e">
        <f>RE!#REF!</f>
        <v>#REF!</v>
      </c>
      <c r="I14" s="13"/>
    </row>
    <row r="15" spans="2:10" s="12" customFormat="1" ht="16.5" customHeight="1">
      <c r="B15" s="10">
        <v>11</v>
      </c>
      <c r="C15" s="13" t="s">
        <v>144</v>
      </c>
      <c r="D15" s="13"/>
      <c r="E15" s="14" t="e">
        <f>RE!#REF!</f>
        <v>#REF!</v>
      </c>
      <c r="F15" s="14" t="e">
        <f>RE!#REF!</f>
        <v>#REF!</v>
      </c>
      <c r="G15" s="14" t="e">
        <f>RE!#REF!</f>
        <v>#REF!</v>
      </c>
      <c r="H15" s="14" t="e">
        <f>RE!#REF!</f>
        <v>#REF!</v>
      </c>
      <c r="I15" s="13"/>
    </row>
    <row r="16" spans="2:10" s="12" customFormat="1" ht="16.5" customHeight="1">
      <c r="B16" s="10">
        <v>12</v>
      </c>
      <c r="C16" s="13" t="s">
        <v>143</v>
      </c>
      <c r="D16" s="13"/>
      <c r="E16" s="14" t="e">
        <f>RE!#REF!</f>
        <v>#REF!</v>
      </c>
      <c r="F16" s="14" t="e">
        <f>RE!#REF!</f>
        <v>#REF!</v>
      </c>
      <c r="G16" s="14" t="e">
        <f>RE!#REF!</f>
        <v>#REF!</v>
      </c>
      <c r="H16" s="14" t="e">
        <f>RE!#REF!</f>
        <v>#REF!</v>
      </c>
      <c r="I16" s="13"/>
    </row>
    <row r="17" spans="2:9" s="12" customFormat="1" ht="16.5" customHeight="1">
      <c r="B17" s="10">
        <v>14</v>
      </c>
      <c r="C17" s="13" t="s">
        <v>142</v>
      </c>
      <c r="D17" s="13"/>
      <c r="E17" s="14" t="e">
        <f>RE!#REF!</f>
        <v>#REF!</v>
      </c>
      <c r="F17" s="14" t="e">
        <f>RE!#REF!</f>
        <v>#REF!</v>
      </c>
      <c r="G17" s="14" t="e">
        <f>RE!#REF!</f>
        <v>#REF!</v>
      </c>
      <c r="H17" s="14" t="e">
        <f>RE!#REF!</f>
        <v>#REF!</v>
      </c>
      <c r="I17" s="13"/>
    </row>
    <row r="18" spans="2:9" s="12" customFormat="1" ht="16.5" customHeight="1">
      <c r="B18" s="10">
        <v>15</v>
      </c>
      <c r="C18" s="13" t="s">
        <v>141</v>
      </c>
      <c r="D18" s="13"/>
      <c r="E18" s="14" t="e">
        <f>RE!#REF!</f>
        <v>#REF!</v>
      </c>
      <c r="F18" s="14" t="e">
        <f>RE!#REF!</f>
        <v>#REF!</v>
      </c>
      <c r="G18" s="14" t="e">
        <f>RE!#REF!</f>
        <v>#REF!</v>
      </c>
      <c r="H18" s="14" t="e">
        <f>RE!#REF!</f>
        <v>#REF!</v>
      </c>
      <c r="I18" s="13"/>
    </row>
    <row r="19" spans="2:9" s="12" customFormat="1" ht="16.5" customHeight="1">
      <c r="B19" s="10"/>
      <c r="C19" s="21" t="s">
        <v>140</v>
      </c>
      <c r="D19" s="21"/>
      <c r="E19" s="19" t="e">
        <f>SUM(E13:E18)</f>
        <v>#REF!</v>
      </c>
      <c r="F19" s="19" t="e">
        <f>SUM(F13:F18)</f>
        <v>#REF!</v>
      </c>
      <c r="G19" s="19" t="e">
        <f>SUM(G13:G18)</f>
        <v>#REF!</v>
      </c>
      <c r="H19" s="19" t="e">
        <f>SUM(H13:H18)</f>
        <v>#REF!</v>
      </c>
      <c r="I19" s="13"/>
    </row>
    <row r="20" spans="2:9" s="12" customFormat="1" ht="16.5" customHeight="1">
      <c r="B20" s="10"/>
      <c r="C20" s="20" t="s">
        <v>139</v>
      </c>
      <c r="D20" s="20"/>
      <c r="E20" s="19" t="e">
        <f>SUM(E19,E12)</f>
        <v>#REF!</v>
      </c>
      <c r="F20" s="19" t="e">
        <f>SUM(F19,F12)</f>
        <v>#REF!</v>
      </c>
      <c r="G20" s="19" t="e">
        <f>SUM(G19,G12)</f>
        <v>#REF!</v>
      </c>
      <c r="H20" s="19" t="e">
        <f>SUM(H19,H12)</f>
        <v>#REF!</v>
      </c>
      <c r="I20" s="14" t="e">
        <f>G20-H20</f>
        <v>#REF!</v>
      </c>
    </row>
    <row r="21" spans="2:9" s="12" customFormat="1" ht="40.75">
      <c r="B21" s="10">
        <v>16</v>
      </c>
      <c r="C21" s="15" t="s">
        <v>130</v>
      </c>
      <c r="D21" s="16">
        <v>0.04</v>
      </c>
      <c r="E21" s="334" t="e">
        <f>ROUND((D21*E20),0)</f>
        <v>#REF!</v>
      </c>
      <c r="F21" s="334" t="e">
        <f>ROUND((D21*F20),0)</f>
        <v>#REF!</v>
      </c>
      <c r="G21" s="14" t="e">
        <f>ROUND(IF(F21&gt;E21,F21-E21,0),0)</f>
        <v>#REF!</v>
      </c>
      <c r="H21" s="14" t="e">
        <f>ROUND(IF(F21&lt;E21,E21-F21,0),0)</f>
        <v>#REF!</v>
      </c>
      <c r="I21" s="13"/>
    </row>
    <row r="22" spans="2:9" s="12" customFormat="1" ht="16.5" customHeight="1">
      <c r="B22" s="10"/>
      <c r="C22" s="20" t="s">
        <v>138</v>
      </c>
      <c r="D22" s="20"/>
      <c r="E22" s="14" t="e">
        <f>E20*18%</f>
        <v>#REF!</v>
      </c>
      <c r="F22" s="14" t="e">
        <f>F20*18%</f>
        <v>#REF!</v>
      </c>
      <c r="G22" s="14" t="e">
        <f>ROUND(IF(F22&gt;E22,F22-E22,0),0)</f>
        <v>#REF!</v>
      </c>
      <c r="H22" s="14" t="e">
        <f>ROUND(IF(F22&lt;E22,E22-F22,0),0)</f>
        <v>#REF!</v>
      </c>
      <c r="I22" s="13"/>
    </row>
    <row r="23" spans="2:9" s="12" customFormat="1" ht="16.5" customHeight="1">
      <c r="B23" s="10"/>
      <c r="C23" s="20"/>
      <c r="D23" s="20"/>
      <c r="E23" s="19" t="e">
        <f>ROUND((SUM(E20:E22)),0)</f>
        <v>#REF!</v>
      </c>
      <c r="F23" s="19" t="e">
        <f>SUM(F20:F22)</f>
        <v>#REF!</v>
      </c>
      <c r="G23" s="19" t="e">
        <f t="shared" ref="G23" si="0">SUM(G20:G22)</f>
        <v>#REF!</v>
      </c>
      <c r="H23" s="19" t="e">
        <f>ROUND((SUM(H20:H22)),0)</f>
        <v>#REF!</v>
      </c>
      <c r="I23" s="13"/>
    </row>
    <row r="24" spans="2:9" s="12" customFormat="1"/>
    <row r="25" spans="2:9" s="12" customFormat="1" ht="27.2">
      <c r="B25" s="10">
        <v>17</v>
      </c>
      <c r="C25" s="15" t="s">
        <v>137</v>
      </c>
      <c r="D25" s="16">
        <v>0.01</v>
      </c>
      <c r="E25" s="14"/>
      <c r="F25" s="14" t="e">
        <f>F20*D25</f>
        <v>#REF!</v>
      </c>
      <c r="G25" s="14" t="e">
        <f t="shared" ref="G25:G30" si="1">ROUND(IF(F25&gt;E25,F25-E25,0),0)</f>
        <v>#REF!</v>
      </c>
      <c r="H25" s="14" t="e">
        <f>ROUND(IF(F25&lt;E25,E25-F25,0),0)</f>
        <v>#REF!</v>
      </c>
      <c r="I25" s="13"/>
    </row>
    <row r="26" spans="2:9" s="12" customFormat="1" ht="27.2">
      <c r="B26" s="10">
        <v>18</v>
      </c>
      <c r="C26" s="15" t="s">
        <v>136</v>
      </c>
      <c r="D26" s="18">
        <v>1E-3</v>
      </c>
      <c r="E26" s="14"/>
      <c r="F26" s="14" t="e">
        <f>F20*D26</f>
        <v>#REF!</v>
      </c>
      <c r="G26" s="14" t="e">
        <f t="shared" si="1"/>
        <v>#REF!</v>
      </c>
      <c r="H26" s="14" t="e">
        <f t="shared" ref="H26:H33" si="2">ROUND(IF(F26&lt;E26,E26-F26,0),0)</f>
        <v>#REF!</v>
      </c>
      <c r="I26" s="13"/>
    </row>
    <row r="27" spans="2:9" s="12" customFormat="1" ht="27.2">
      <c r="B27" s="10">
        <v>19</v>
      </c>
      <c r="C27" s="15" t="s">
        <v>135</v>
      </c>
      <c r="D27" s="17"/>
      <c r="E27" s="14"/>
      <c r="F27" s="14">
        <f>SEIGNORAGE!Q10</f>
        <v>448</v>
      </c>
      <c r="G27" s="14">
        <f t="shared" si="1"/>
        <v>448</v>
      </c>
      <c r="H27" s="14">
        <f t="shared" si="2"/>
        <v>0</v>
      </c>
      <c r="I27" s="13"/>
    </row>
    <row r="28" spans="2:9" s="12" customFormat="1" ht="27.2">
      <c r="B28" s="10">
        <v>20</v>
      </c>
      <c r="C28" s="15" t="s">
        <v>134</v>
      </c>
      <c r="D28" s="16">
        <v>0.3</v>
      </c>
      <c r="E28" s="14"/>
      <c r="F28" s="14">
        <f>F27*D28</f>
        <v>134.4</v>
      </c>
      <c r="G28" s="14">
        <f t="shared" si="1"/>
        <v>134</v>
      </c>
      <c r="H28" s="14">
        <f t="shared" si="2"/>
        <v>0</v>
      </c>
      <c r="I28" s="13"/>
    </row>
    <row r="29" spans="2:9" s="12" customFormat="1" ht="27.2">
      <c r="B29" s="10">
        <v>21</v>
      </c>
      <c r="C29" s="15" t="s">
        <v>133</v>
      </c>
      <c r="D29" s="16">
        <v>0.02</v>
      </c>
      <c r="E29" s="14"/>
      <c r="F29" s="14">
        <f>F27*D29</f>
        <v>8.9600000000000009</v>
      </c>
      <c r="G29" s="14">
        <f t="shared" si="1"/>
        <v>9</v>
      </c>
      <c r="H29" s="14">
        <f t="shared" si="2"/>
        <v>0</v>
      </c>
      <c r="I29" s="13"/>
    </row>
    <row r="30" spans="2:9" s="12" customFormat="1">
      <c r="B30" s="10">
        <v>22</v>
      </c>
      <c r="C30" s="15" t="s">
        <v>132</v>
      </c>
      <c r="D30" s="18">
        <v>1E-4</v>
      </c>
      <c r="E30" s="14"/>
      <c r="F30" s="14" t="e">
        <f>F20*D30</f>
        <v>#REF!</v>
      </c>
      <c r="G30" s="14" t="e">
        <f t="shared" si="1"/>
        <v>#REF!</v>
      </c>
      <c r="H30" s="14" t="e">
        <f>ROUND(IF(F30&lt;E30,E30-F30,0),0)</f>
        <v>#REF!</v>
      </c>
      <c r="I30" s="13"/>
    </row>
    <row r="31" spans="2:9" s="12" customFormat="1">
      <c r="B31" s="10">
        <v>23</v>
      </c>
      <c r="C31" s="11" t="s">
        <v>524</v>
      </c>
      <c r="D31" s="17"/>
      <c r="E31" s="14"/>
      <c r="F31" s="14" t="e">
        <f>ROUND(SUM(F25:F30),0)</f>
        <v>#REF!</v>
      </c>
      <c r="G31" s="14" t="e">
        <f t="shared" ref="G31:G34" si="3">ROUND(IF(F31&gt;E31,F31-E31,0),0)</f>
        <v>#REF!</v>
      </c>
      <c r="H31" s="14" t="e">
        <f t="shared" si="2"/>
        <v>#REF!</v>
      </c>
      <c r="I31" s="13"/>
    </row>
    <row r="32" spans="2:9" s="12" customFormat="1" ht="27.2">
      <c r="B32" s="10">
        <v>24</v>
      </c>
      <c r="C32" s="15" t="s">
        <v>131</v>
      </c>
      <c r="D32" s="16">
        <v>0.18</v>
      </c>
      <c r="E32" s="14"/>
      <c r="F32" s="14" t="e">
        <f>F31*D32</f>
        <v>#REF!</v>
      </c>
      <c r="G32" s="14" t="e">
        <f t="shared" si="3"/>
        <v>#REF!</v>
      </c>
      <c r="H32" s="14" t="e">
        <f t="shared" si="2"/>
        <v>#REF!</v>
      </c>
      <c r="I32" s="13"/>
    </row>
    <row r="33" spans="2:9" s="12" customFormat="1" ht="27.2">
      <c r="B33" s="10">
        <v>25</v>
      </c>
      <c r="C33" s="15" t="s">
        <v>506</v>
      </c>
      <c r="D33" s="15"/>
      <c r="E33" s="14">
        <v>3265535</v>
      </c>
      <c r="F33" s="14">
        <v>0</v>
      </c>
      <c r="G33" s="14">
        <f t="shared" si="3"/>
        <v>0</v>
      </c>
      <c r="H33" s="14">
        <f t="shared" si="2"/>
        <v>3265535</v>
      </c>
      <c r="I33" s="13"/>
    </row>
    <row r="34" spans="2:9" s="12" customFormat="1" ht="22.1" customHeight="1">
      <c r="B34" s="10"/>
      <c r="C34" s="11" t="s">
        <v>525</v>
      </c>
      <c r="D34" s="13"/>
      <c r="E34" s="14"/>
      <c r="F34" s="14" t="e">
        <f>SUM(F31:F33)</f>
        <v>#REF!</v>
      </c>
      <c r="G34" s="14" t="e">
        <f t="shared" si="3"/>
        <v>#REF!</v>
      </c>
      <c r="H34" s="14" t="e">
        <f>SUM(H31:H33)</f>
        <v>#REF!</v>
      </c>
      <c r="I34" s="13"/>
    </row>
    <row r="35" spans="2:9" s="12" customFormat="1" ht="16.5" customHeight="1">
      <c r="B35" s="10"/>
      <c r="C35" s="13"/>
      <c r="D35" s="13"/>
      <c r="E35" s="19" t="e">
        <f>SUM(E23:E34)</f>
        <v>#REF!</v>
      </c>
      <c r="F35" s="19" t="e">
        <f>F34+F23</f>
        <v>#REF!</v>
      </c>
      <c r="G35" s="19" t="e">
        <f>G34+G23</f>
        <v>#REF!</v>
      </c>
      <c r="H35" s="19" t="e">
        <f>H34+H23</f>
        <v>#REF!</v>
      </c>
      <c r="I35" s="14" t="e">
        <f>G35-H35</f>
        <v>#REF!</v>
      </c>
    </row>
    <row r="36" spans="2:9" ht="16.5" customHeight="1">
      <c r="B36" s="8"/>
      <c r="E36" s="9"/>
      <c r="F36" s="9"/>
      <c r="G36" s="9"/>
      <c r="H36" s="9"/>
    </row>
    <row r="37" spans="2:9" ht="16.5" customHeight="1">
      <c r="B37" s="8"/>
      <c r="C37" s="357" t="s">
        <v>526</v>
      </c>
      <c r="D37" s="357"/>
      <c r="E37" s="9"/>
      <c r="F37" s="326">
        <v>55000000</v>
      </c>
      <c r="G37" s="358" t="s">
        <v>156</v>
      </c>
      <c r="H37" s="326" t="e">
        <f>G35</f>
        <v>#REF!</v>
      </c>
    </row>
    <row r="38" spans="2:9" ht="16.5" customHeight="1">
      <c r="B38" s="8"/>
      <c r="C38" s="359" t="s">
        <v>527</v>
      </c>
      <c r="D38" s="360"/>
      <c r="E38" s="360"/>
      <c r="F38" s="361" t="e">
        <f>F35</f>
        <v>#REF!</v>
      </c>
      <c r="G38" s="359" t="s">
        <v>155</v>
      </c>
      <c r="H38" s="361" t="e">
        <f>H35</f>
        <v>#REF!</v>
      </c>
      <c r="I38" s="360"/>
    </row>
    <row r="39" spans="2:9" s="12" customFormat="1" ht="19.55" customHeight="1" thickBot="1">
      <c r="B39" s="8"/>
      <c r="C39" s="362" t="s">
        <v>528</v>
      </c>
      <c r="D39" s="363"/>
      <c r="E39" s="363"/>
      <c r="F39" s="364" t="e">
        <f>F38-F37</f>
        <v>#REF!</v>
      </c>
      <c r="G39" s="362" t="s">
        <v>528</v>
      </c>
      <c r="H39" s="364" t="e">
        <f>H37-H38</f>
        <v>#REF!</v>
      </c>
      <c r="I39" s="365"/>
    </row>
    <row r="40" spans="2:9" ht="16.5" customHeight="1" thickTop="1">
      <c r="B40" s="8"/>
    </row>
    <row r="41" spans="2:9" ht="16.5" customHeight="1">
      <c r="B41" s="8"/>
    </row>
    <row r="42"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387" t="s">
        <v>160</v>
      </c>
      <c r="B1" s="387" t="s">
        <v>212</v>
      </c>
      <c r="C1" s="387" t="s">
        <v>177</v>
      </c>
      <c r="D1" s="388" t="s">
        <v>0</v>
      </c>
      <c r="E1" s="389" t="s">
        <v>0</v>
      </c>
      <c r="F1" s="389"/>
      <c r="G1" s="389"/>
      <c r="H1" s="389" t="s">
        <v>211</v>
      </c>
      <c r="I1" s="389"/>
      <c r="J1" s="389"/>
      <c r="K1" s="389" t="s">
        <v>210</v>
      </c>
      <c r="L1" s="389"/>
      <c r="M1" s="389"/>
      <c r="N1" s="389" t="s">
        <v>209</v>
      </c>
      <c r="O1" s="389"/>
      <c r="P1" s="389"/>
      <c r="Q1" s="387" t="s">
        <v>208</v>
      </c>
    </row>
    <row r="2" spans="1:17" s="27" customFormat="1" ht="14.95" customHeight="1">
      <c r="A2" s="387"/>
      <c r="B2" s="387"/>
      <c r="C2" s="387"/>
      <c r="D2" s="388"/>
      <c r="E2" s="390" t="s">
        <v>207</v>
      </c>
      <c r="F2" s="390" t="s">
        <v>206</v>
      </c>
      <c r="G2" s="390" t="s">
        <v>205</v>
      </c>
      <c r="H2" s="390" t="s">
        <v>204</v>
      </c>
      <c r="I2" s="390" t="s">
        <v>203</v>
      </c>
      <c r="J2" s="390" t="s">
        <v>202</v>
      </c>
      <c r="K2" s="390" t="s">
        <v>201</v>
      </c>
      <c r="L2" s="390" t="s">
        <v>200</v>
      </c>
      <c r="M2" s="390" t="s">
        <v>199</v>
      </c>
      <c r="N2" s="390" t="s">
        <v>198</v>
      </c>
      <c r="O2" s="390" t="s">
        <v>197</v>
      </c>
      <c r="P2" s="390" t="s">
        <v>196</v>
      </c>
      <c r="Q2" s="387"/>
    </row>
    <row r="3" spans="1:17" s="27" customFormat="1" ht="14.95" customHeight="1">
      <c r="A3" s="387"/>
      <c r="B3" s="387"/>
      <c r="C3" s="387"/>
      <c r="D3" s="388"/>
      <c r="E3" s="390"/>
      <c r="F3" s="390"/>
      <c r="G3" s="390"/>
      <c r="H3" s="390"/>
      <c r="I3" s="390"/>
      <c r="J3" s="390"/>
      <c r="K3" s="390"/>
      <c r="L3" s="390"/>
      <c r="M3" s="390"/>
      <c r="N3" s="390"/>
      <c r="O3" s="390"/>
      <c r="P3" s="390"/>
      <c r="Q3" s="387"/>
    </row>
    <row r="4" spans="1:17" ht="171.85">
      <c r="A4" s="1">
        <v>252</v>
      </c>
      <c r="B4" s="2" t="s">
        <v>39</v>
      </c>
      <c r="C4" s="4">
        <v>20.079999999999998</v>
      </c>
      <c r="D4" s="3" t="s">
        <v>9</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18</v>
      </c>
      <c r="C5" s="4">
        <v>227.17</v>
      </c>
      <c r="D5" s="3" t="s">
        <v>10</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40</v>
      </c>
      <c r="C6" s="4">
        <v>0</v>
      </c>
      <c r="D6" s="3" t="s">
        <v>11</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41</v>
      </c>
      <c r="C7" s="4">
        <v>39.56</v>
      </c>
      <c r="D7" s="3" t="s">
        <v>10</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42</v>
      </c>
      <c r="C8" s="4">
        <v>905.88</v>
      </c>
      <c r="D8" s="3" t="s">
        <v>10</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6</v>
      </c>
      <c r="C9" s="4">
        <v>0</v>
      </c>
      <c r="D9" s="3" t="s">
        <v>10</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213</v>
      </c>
      <c r="Q10" s="34">
        <f>SUM(Q4:Q9)</f>
        <v>448</v>
      </c>
    </row>
    <row r="12" spans="1:17" ht="14.3">
      <c r="F12" s="24" t="s">
        <v>178</v>
      </c>
      <c r="G12" s="24"/>
      <c r="H12" s="25" t="s">
        <v>179</v>
      </c>
      <c r="I12" s="25"/>
      <c r="J12" s="24" t="s">
        <v>180</v>
      </c>
      <c r="K12" s="24"/>
      <c r="L12" s="26" t="s">
        <v>181</v>
      </c>
      <c r="M12" s="26"/>
    </row>
    <row r="13" spans="1:17" ht="14.3">
      <c r="F13" s="27" t="s">
        <v>182</v>
      </c>
      <c r="G13" s="28">
        <v>4.7222222222222221E-2</v>
      </c>
      <c r="H13" s="29"/>
      <c r="I13" s="27">
        <v>227.17</v>
      </c>
      <c r="J13" s="29" t="s">
        <v>0</v>
      </c>
      <c r="K13" s="27">
        <v>39.56</v>
      </c>
      <c r="L13" s="29" t="s">
        <v>183</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184</v>
      </c>
      <c r="G15" s="27">
        <f>0.61*0.21*0.11</f>
        <v>1.4090999999999999E-2</v>
      </c>
      <c r="H15" s="29" t="s">
        <v>185</v>
      </c>
      <c r="I15" s="28">
        <v>4.4444444444444446E-2</v>
      </c>
      <c r="J15" s="29" t="s">
        <v>186</v>
      </c>
      <c r="K15" s="27">
        <f>K14*1.33</f>
        <v>0.84183680000000016</v>
      </c>
      <c r="L15" s="29" t="s">
        <v>186</v>
      </c>
      <c r="M15" s="27">
        <f>M14*1.33</f>
        <v>9.6385632000000001</v>
      </c>
    </row>
    <row r="16" spans="1:17" ht="14.3">
      <c r="F16" s="27" t="s">
        <v>187</v>
      </c>
      <c r="G16" s="30">
        <f>G14/G15</f>
        <v>1425.0230643673267</v>
      </c>
      <c r="H16" s="29" t="s">
        <v>184</v>
      </c>
      <c r="I16" s="27">
        <f>0.61*0.21*0.11</f>
        <v>1.4090999999999999E-2</v>
      </c>
      <c r="J16" s="29" t="s">
        <v>185</v>
      </c>
      <c r="K16" s="28">
        <v>4.5833333333333337E-2</v>
      </c>
      <c r="L16" s="29" t="s">
        <v>185</v>
      </c>
      <c r="M16" s="28">
        <v>4.5833333333333337E-2</v>
      </c>
    </row>
    <row r="17" spans="6:13" ht="14.3">
      <c r="F17" s="27" t="s">
        <v>188</v>
      </c>
      <c r="G17" s="27">
        <f>0.6*0.2*0.1</f>
        <v>1.2E-2</v>
      </c>
      <c r="H17" s="29" t="s">
        <v>187</v>
      </c>
      <c r="I17" s="30">
        <f>I14/I16</f>
        <v>1612.1637924916613</v>
      </c>
      <c r="J17" s="29" t="s">
        <v>189</v>
      </c>
      <c r="K17" s="27">
        <f>(1/7)*K15</f>
        <v>0.12026240000000002</v>
      </c>
      <c r="L17" s="29" t="s">
        <v>189</v>
      </c>
      <c r="M17" s="27">
        <f>(1/7)*M15</f>
        <v>1.3769376</v>
      </c>
    </row>
    <row r="18" spans="6:13" ht="14.3">
      <c r="F18" s="27" t="s">
        <v>190</v>
      </c>
      <c r="G18" s="27">
        <f>G16*G17</f>
        <v>17.10027677240792</v>
      </c>
      <c r="H18" s="29" t="s">
        <v>188</v>
      </c>
      <c r="I18" s="27">
        <f>0.6*0.2*0.1</f>
        <v>1.2E-2</v>
      </c>
      <c r="J18" s="29" t="s">
        <v>191</v>
      </c>
      <c r="K18" s="31">
        <f>(6/7)*K15</f>
        <v>0.72157440000000006</v>
      </c>
      <c r="L18" s="29" t="s">
        <v>191</v>
      </c>
      <c r="M18" s="31">
        <f>(6/7)*M15</f>
        <v>8.2616256000000003</v>
      </c>
    </row>
    <row r="19" spans="6:13" ht="14.3">
      <c r="F19" s="27" t="s">
        <v>192</v>
      </c>
      <c r="G19" s="27">
        <f>G14-G18</f>
        <v>2.9797232275920784</v>
      </c>
      <c r="H19" s="29" t="s">
        <v>190</v>
      </c>
      <c r="I19" s="27">
        <f>I18*I17</f>
        <v>19.345965509899937</v>
      </c>
      <c r="J19" s="29" t="s">
        <v>185</v>
      </c>
      <c r="K19" s="28">
        <v>4.4444444444444446E-2</v>
      </c>
      <c r="L19" s="29" t="s">
        <v>185</v>
      </c>
      <c r="M19" s="28">
        <v>4.4444444444444446E-2</v>
      </c>
    </row>
    <row r="20" spans="6:13" ht="14.3">
      <c r="F20" s="27" t="s">
        <v>186</v>
      </c>
      <c r="G20" s="27">
        <f>G19*1.33</f>
        <v>3.9630318926974644</v>
      </c>
      <c r="H20" s="29" t="s">
        <v>192</v>
      </c>
      <c r="I20" s="27">
        <f>I14-I19</f>
        <v>3.3710344901000617</v>
      </c>
      <c r="J20" s="29"/>
      <c r="K20" s="27">
        <f>K13*0.004</f>
        <v>0.15824000000000002</v>
      </c>
      <c r="L20" s="29"/>
      <c r="M20" s="27">
        <f>M13*0.004</f>
        <v>3.6235200000000001</v>
      </c>
    </row>
    <row r="21" spans="6:13" ht="14.3">
      <c r="F21" s="27" t="s">
        <v>193</v>
      </c>
      <c r="G21" s="27">
        <f>(1/9)*G20</f>
        <v>0.4403368769663849</v>
      </c>
      <c r="H21" s="29" t="s">
        <v>186</v>
      </c>
      <c r="I21" s="27">
        <f>I20*1.33</f>
        <v>4.4834758718330825</v>
      </c>
      <c r="J21" s="27" t="s">
        <v>186</v>
      </c>
      <c r="K21" s="27">
        <f>K20*1.33</f>
        <v>0.21045920000000004</v>
      </c>
      <c r="L21" s="29" t="s">
        <v>186</v>
      </c>
      <c r="M21" s="27">
        <f>M20*1.33</f>
        <v>4.8192816000000001</v>
      </c>
    </row>
    <row r="22" spans="6:13" ht="14.3">
      <c r="F22" s="27" t="s">
        <v>194</v>
      </c>
      <c r="G22" s="30">
        <f>(8/9)*G20</f>
        <v>3.5226950157310792</v>
      </c>
      <c r="H22" s="29" t="s">
        <v>193</v>
      </c>
      <c r="I22" s="27">
        <f>(1/5)*I21</f>
        <v>0.8966951743666165</v>
      </c>
      <c r="J22" s="29" t="s">
        <v>189</v>
      </c>
      <c r="K22" s="27">
        <f>K21*(1/5)</f>
        <v>4.2091840000000012E-2</v>
      </c>
      <c r="L22" s="29" t="s">
        <v>189</v>
      </c>
      <c r="M22" s="27">
        <f>(1/5)*M21</f>
        <v>0.9638563200000001</v>
      </c>
    </row>
    <row r="23" spans="6:13" ht="14.3">
      <c r="F23" s="27"/>
      <c r="G23" s="27"/>
      <c r="H23" s="29" t="s">
        <v>194</v>
      </c>
      <c r="I23" s="30">
        <f>(4/5)*I21</f>
        <v>3.586780697466466</v>
      </c>
      <c r="J23" s="29" t="s">
        <v>191</v>
      </c>
      <c r="K23" s="31">
        <f>(4/5)*K21</f>
        <v>0.16836736000000005</v>
      </c>
      <c r="L23" s="29" t="s">
        <v>191</v>
      </c>
      <c r="M23" s="31">
        <f>(4/5)*M21</f>
        <v>3.8554252800000004</v>
      </c>
    </row>
    <row r="24" spans="6:13" ht="14.3">
      <c r="F24" s="27"/>
      <c r="G24" s="27"/>
      <c r="H24" s="27"/>
      <c r="I24" s="27"/>
      <c r="J24" s="27" t="s">
        <v>195</v>
      </c>
      <c r="K24" s="30">
        <f>K23+K18</f>
        <v>0.88994176000000014</v>
      </c>
      <c r="L24" s="29" t="s">
        <v>195</v>
      </c>
      <c r="M24" s="30">
        <f>M23+M18</f>
        <v>12.117050880000001</v>
      </c>
    </row>
  </sheetData>
  <mergeCells count="21">
    <mergeCell ref="Q1:Q3"/>
    <mergeCell ref="K1:M1"/>
    <mergeCell ref="K2:K3"/>
    <mergeCell ref="L2:L3"/>
    <mergeCell ref="M2:M3"/>
    <mergeCell ref="N1:P1"/>
    <mergeCell ref="N2:N3"/>
    <mergeCell ref="O2:O3"/>
    <mergeCell ref="P2:P3"/>
    <mergeCell ref="A1:A3"/>
    <mergeCell ref="C1:C3"/>
    <mergeCell ref="D1:D3"/>
    <mergeCell ref="H1:J1"/>
    <mergeCell ref="H2:H3"/>
    <mergeCell ref="I2:I3"/>
    <mergeCell ref="J2:J3"/>
    <mergeCell ref="B1:B3"/>
    <mergeCell ref="E1:G1"/>
    <mergeCell ref="E2:E3"/>
    <mergeCell ref="F2:F3"/>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19"/>
    <col min="2" max="2" width="5.140625" style="228" customWidth="1"/>
    <col min="3" max="3" width="34.28515625" style="119" customWidth="1"/>
    <col min="4" max="5" width="11.28515625" style="119" bestFit="1" customWidth="1"/>
    <col min="6" max="6" width="12.7109375" style="119" bestFit="1" customWidth="1"/>
    <col min="7" max="8" width="11.28515625" style="119" bestFit="1" customWidth="1"/>
    <col min="9" max="9" width="12.42578125" style="119" customWidth="1"/>
    <col min="10" max="11" width="10.85546875" style="119"/>
    <col min="12" max="12" width="29.42578125" style="119" customWidth="1"/>
    <col min="13" max="14" width="10.85546875" style="119"/>
    <col min="15" max="15" width="16" style="119" bestFit="1" customWidth="1"/>
    <col min="16" max="16384" width="10.85546875" style="119"/>
  </cols>
  <sheetData>
    <row r="2" spans="2:9" ht="17" customHeight="1">
      <c r="B2" s="402" t="s">
        <v>376</v>
      </c>
      <c r="C2" s="402"/>
      <c r="D2" s="402"/>
      <c r="E2" s="402"/>
      <c r="F2" s="402"/>
      <c r="G2" s="402"/>
      <c r="H2" s="402"/>
      <c r="I2" s="402"/>
    </row>
    <row r="3" spans="2:9" ht="172.55" customHeight="1">
      <c r="B3" s="392">
        <v>42</v>
      </c>
      <c r="C3" s="393" t="s">
        <v>501</v>
      </c>
      <c r="D3" s="393"/>
      <c r="E3" s="393"/>
      <c r="F3" s="393"/>
      <c r="G3" s="393"/>
      <c r="H3" s="393"/>
      <c r="I3" s="393"/>
    </row>
    <row r="4" spans="2:9" ht="16.149999999999999" customHeight="1">
      <c r="B4" s="392"/>
      <c r="C4" s="234" t="s">
        <v>454</v>
      </c>
      <c r="D4" s="235"/>
      <c r="E4" s="235"/>
      <c r="F4" s="236"/>
      <c r="G4" s="235"/>
      <c r="H4" s="235"/>
      <c r="I4" s="237"/>
    </row>
    <row r="5" spans="2:9">
      <c r="B5" s="392"/>
      <c r="C5" s="235" t="s">
        <v>455</v>
      </c>
      <c r="D5" s="235"/>
      <c r="E5" s="235"/>
      <c r="F5" s="236"/>
      <c r="G5" s="235"/>
      <c r="H5" s="235"/>
      <c r="I5" s="237"/>
    </row>
    <row r="6" spans="2:9">
      <c r="B6" s="392"/>
      <c r="C6" s="235" t="s">
        <v>456</v>
      </c>
      <c r="D6" s="235"/>
      <c r="E6" s="235"/>
      <c r="F6" s="236"/>
      <c r="G6" s="235"/>
      <c r="H6" s="235"/>
      <c r="I6" s="237"/>
    </row>
    <row r="7" spans="2:9" ht="27.2">
      <c r="B7" s="392"/>
      <c r="C7" s="238" t="s">
        <v>457</v>
      </c>
      <c r="D7" s="239">
        <v>1.05</v>
      </c>
      <c r="E7" s="240" t="s">
        <v>11</v>
      </c>
      <c r="F7" s="241">
        <f>[1]LEAD!$N$7</f>
        <v>60000</v>
      </c>
      <c r="G7" s="242">
        <v>1</v>
      </c>
      <c r="H7" s="240" t="str">
        <f>IF(E7="","",IF(E7="No.","Each",IF(E7="Nos.","Each",E7)))</f>
        <v>MT</v>
      </c>
      <c r="I7" s="241">
        <f>IF(G7="",D7*F7,(D7*F7/G7))</f>
        <v>63000</v>
      </c>
    </row>
    <row r="8" spans="2:9" ht="13.6">
      <c r="B8" s="392"/>
      <c r="C8" s="238" t="s">
        <v>458</v>
      </c>
      <c r="D8" s="239">
        <v>6</v>
      </c>
      <c r="E8" s="240" t="s">
        <v>384</v>
      </c>
      <c r="F8" s="241">
        <f>'[1]Civil-SOR'!$G$309</f>
        <v>71</v>
      </c>
      <c r="G8" s="242">
        <v>1</v>
      </c>
      <c r="H8" s="240" t="str">
        <f>IF(E8="","",IF(E8="No.","Each",IF(E8="Nos.","Each",E8)))</f>
        <v>Kgs</v>
      </c>
      <c r="I8" s="241">
        <f>IF(G8="",D8*F8,(D8*F8/G8))</f>
        <v>426</v>
      </c>
    </row>
    <row r="9" spans="2:9" ht="41.45">
      <c r="B9" s="392"/>
      <c r="C9" s="235" t="s">
        <v>502</v>
      </c>
      <c r="D9" s="243"/>
      <c r="E9" s="244"/>
      <c r="F9" s="245"/>
      <c r="G9" s="246"/>
      <c r="H9" s="244"/>
      <c r="I9" s="245"/>
    </row>
    <row r="10" spans="2:9" ht="27.2">
      <c r="B10" s="392"/>
      <c r="C10" s="238" t="s">
        <v>459</v>
      </c>
      <c r="D10" s="247">
        <v>3</v>
      </c>
      <c r="E10" s="248" t="s">
        <v>117</v>
      </c>
      <c r="F10" s="241">
        <f>'[1]Civil-SOR'!$G$288</f>
        <v>685</v>
      </c>
      <c r="G10" s="249">
        <v>1</v>
      </c>
      <c r="H10" s="250" t="str">
        <f>IF(E10="","",IF(E10="No.","Each",IF(E10="Nos.","Each",E10)))</f>
        <v>Each</v>
      </c>
      <c r="I10" s="241">
        <f>IF(G10="",D10*F10,(D10*F10/G10))</f>
        <v>2055</v>
      </c>
    </row>
    <row r="11" spans="2:9" ht="27.2">
      <c r="B11" s="392"/>
      <c r="C11" s="238" t="s">
        <v>460</v>
      </c>
      <c r="D11" s="247">
        <v>7</v>
      </c>
      <c r="E11" s="248" t="s">
        <v>117</v>
      </c>
      <c r="F11" s="241">
        <f>'[1]Civil-SOR'!$G$289</f>
        <v>575</v>
      </c>
      <c r="G11" s="249">
        <v>1</v>
      </c>
      <c r="H11" s="250" t="str">
        <f>IF(E11="","",IF(E11="No.","Each",IF(E11="Nos.","Each",E11)))</f>
        <v>Each</v>
      </c>
      <c r="I11" s="241">
        <f>IF(G11="",D11*F11,(D11*F11/G11))</f>
        <v>4025</v>
      </c>
    </row>
    <row r="12" spans="2:9" ht="13.6">
      <c r="B12" s="392"/>
      <c r="C12" s="238" t="s">
        <v>461</v>
      </c>
      <c r="D12" s="247">
        <v>10</v>
      </c>
      <c r="E12" s="248" t="s">
        <v>117</v>
      </c>
      <c r="F12" s="241">
        <f>'[1]Civil-SOR'!$G$307</f>
        <v>520</v>
      </c>
      <c r="G12" s="249">
        <v>1</v>
      </c>
      <c r="H12" s="250" t="str">
        <f>IF(E12="","",IF(E12="No.","Each",IF(E12="Nos.","Each",E12)))</f>
        <v>Each</v>
      </c>
      <c r="I12" s="241">
        <f>IF(G12="",D12*F12,(D12*F12/G12))</f>
        <v>5200</v>
      </c>
    </row>
    <row r="13" spans="2:9" ht="13.6">
      <c r="B13" s="392"/>
      <c r="C13" s="238" t="str">
        <f>[1]Input!$C$48</f>
        <v>Add for MA @ 40%</v>
      </c>
      <c r="D13" s="247">
        <f>[1]Input!$D$48</f>
        <v>0.4</v>
      </c>
      <c r="E13" s="248"/>
      <c r="F13" s="241">
        <f>SUM(I10:I12)</f>
        <v>11280</v>
      </c>
      <c r="G13" s="249"/>
      <c r="H13" s="250"/>
      <c r="I13" s="241">
        <f>IF(G13="",D13*F13,(D13*F13/G13))</f>
        <v>4512</v>
      </c>
    </row>
    <row r="14" spans="2:9">
      <c r="B14" s="392"/>
      <c r="C14" s="251"/>
      <c r="D14" s="251"/>
      <c r="E14" s="251"/>
      <c r="F14" s="252"/>
      <c r="G14" s="251"/>
      <c r="H14" s="251"/>
      <c r="I14" s="253">
        <f>SUM(I7:I13)</f>
        <v>79218</v>
      </c>
    </row>
    <row r="15" spans="2:9">
      <c r="B15" s="392"/>
      <c r="C15" s="235"/>
      <c r="D15" s="235"/>
      <c r="E15" s="235"/>
      <c r="F15" s="236"/>
      <c r="G15" s="235"/>
      <c r="H15" s="235"/>
      <c r="I15" s="237"/>
    </row>
    <row r="16" spans="2:9">
      <c r="B16" s="392"/>
      <c r="C16" s="235" t="s">
        <v>394</v>
      </c>
      <c r="D16" s="254" t="s">
        <v>395</v>
      </c>
      <c r="E16" s="255" t="s">
        <v>396</v>
      </c>
      <c r="F16" s="256" t="s">
        <v>397</v>
      </c>
      <c r="G16" s="256" t="s">
        <v>398</v>
      </c>
      <c r="H16" s="256" t="s">
        <v>399</v>
      </c>
      <c r="I16" s="254" t="s">
        <v>400</v>
      </c>
    </row>
    <row r="17" spans="1:18" ht="13.6">
      <c r="B17" s="392"/>
      <c r="C17" s="238" t="s">
        <v>401</v>
      </c>
      <c r="D17" s="257">
        <f>I14</f>
        <v>79218</v>
      </c>
      <c r="E17" s="257">
        <f>I14</f>
        <v>79218</v>
      </c>
      <c r="F17" s="257">
        <f>I14</f>
        <v>79218</v>
      </c>
      <c r="G17" s="257">
        <f>I14</f>
        <v>79218</v>
      </c>
      <c r="H17" s="257">
        <f>I14</f>
        <v>79218</v>
      </c>
      <c r="I17" s="257">
        <f>I14</f>
        <v>79218</v>
      </c>
    </row>
    <row r="18" spans="1:18" ht="27.2">
      <c r="B18" s="392"/>
      <c r="C18" s="238" t="s">
        <v>462</v>
      </c>
      <c r="D18" s="257">
        <v>0</v>
      </c>
      <c r="E18" s="257">
        <v>1128</v>
      </c>
      <c r="F18" s="257">
        <v>2256</v>
      </c>
      <c r="G18" s="257">
        <v>3384</v>
      </c>
      <c r="H18" s="257">
        <v>4512</v>
      </c>
      <c r="I18" s="257">
        <v>5640</v>
      </c>
    </row>
    <row r="19" spans="1:18" ht="13.6">
      <c r="B19" s="392"/>
      <c r="C19" s="238" t="str">
        <f>[1]Input!$C$48</f>
        <v>Add for MA @ 40%</v>
      </c>
      <c r="D19" s="257">
        <f>D18*[1]Input!$D$48</f>
        <v>0</v>
      </c>
      <c r="E19" s="257">
        <f>E18*[1]Input!$D$48</f>
        <v>451.20000000000005</v>
      </c>
      <c r="F19" s="257">
        <f>F18*[1]Input!$D$48</f>
        <v>902.40000000000009</v>
      </c>
      <c r="G19" s="257">
        <f>G18*[1]Input!$D$48</f>
        <v>1353.6000000000001</v>
      </c>
      <c r="H19" s="257">
        <f>H18*[1]Input!$D$48</f>
        <v>1804.8000000000002</v>
      </c>
      <c r="I19" s="257">
        <f>I18*[1]Input!$D$48</f>
        <v>2256</v>
      </c>
    </row>
    <row r="20" spans="1:18">
      <c r="B20" s="392"/>
      <c r="C20" s="235" t="s">
        <v>463</v>
      </c>
      <c r="D20" s="257">
        <f t="shared" ref="D20:I20" si="0">SUM(D17:D19)</f>
        <v>79218</v>
      </c>
      <c r="E20" s="257">
        <f t="shared" si="0"/>
        <v>80797.2</v>
      </c>
      <c r="F20" s="257">
        <f t="shared" si="0"/>
        <v>82376.399999999994</v>
      </c>
      <c r="G20" s="257">
        <f t="shared" si="0"/>
        <v>83955.6</v>
      </c>
      <c r="H20" s="257">
        <f t="shared" si="0"/>
        <v>85534.8</v>
      </c>
      <c r="I20" s="257">
        <f t="shared" si="0"/>
        <v>87114</v>
      </c>
    </row>
    <row r="21" spans="1:18" ht="27.2">
      <c r="B21" s="392"/>
      <c r="C21" s="238" t="str">
        <f>[1]Input!$C$49</f>
        <v>Overheads &amp; Contractors Profit @ 13.615%</v>
      </c>
      <c r="D21" s="258">
        <f>ROUND(D20*[1]Input!$D$49,2)</f>
        <v>10785.53</v>
      </c>
      <c r="E21" s="258">
        <f>ROUND(E20*[1]Input!$D$49,2)</f>
        <v>11000.54</v>
      </c>
      <c r="F21" s="258">
        <f>ROUND(F20*[1]Input!$D$49,2)</f>
        <v>11215.55</v>
      </c>
      <c r="G21" s="258">
        <f>ROUND(G20*[1]Input!$D$49,2)</f>
        <v>11430.55</v>
      </c>
      <c r="H21" s="258">
        <f>ROUND(H20*[1]Input!$D$49,2)</f>
        <v>11645.56</v>
      </c>
      <c r="I21" s="258">
        <f>ROUND(I20*[1]Input!$D$49,2)</f>
        <v>11860.57</v>
      </c>
    </row>
    <row r="22" spans="1:18">
      <c r="B22" s="392"/>
      <c r="C22" s="251" t="s">
        <v>463</v>
      </c>
      <c r="D22" s="259">
        <f t="shared" ref="D22:I22" si="1">SUM(D20:D21)</f>
        <v>90003.53</v>
      </c>
      <c r="E22" s="259">
        <f t="shared" si="1"/>
        <v>91797.739999999991</v>
      </c>
      <c r="F22" s="259">
        <f t="shared" si="1"/>
        <v>93591.95</v>
      </c>
      <c r="G22" s="259">
        <f t="shared" si="1"/>
        <v>95386.150000000009</v>
      </c>
      <c r="H22" s="259">
        <f t="shared" si="1"/>
        <v>97180.36</v>
      </c>
      <c r="I22" s="259">
        <f t="shared" si="1"/>
        <v>98974.57</v>
      </c>
    </row>
    <row r="23" spans="1:18">
      <c r="B23" s="392"/>
      <c r="C23" s="260" t="s">
        <v>405</v>
      </c>
      <c r="D23" s="261">
        <f t="shared" ref="D23:I23" si="2">ROUND(D22,0)</f>
        <v>90004</v>
      </c>
      <c r="E23" s="261">
        <f t="shared" si="2"/>
        <v>91798</v>
      </c>
      <c r="F23" s="261">
        <f t="shared" si="2"/>
        <v>93592</v>
      </c>
      <c r="G23" s="262">
        <f t="shared" si="2"/>
        <v>95386</v>
      </c>
      <c r="H23" s="261">
        <f t="shared" si="2"/>
        <v>97180</v>
      </c>
      <c r="I23" s="261">
        <f t="shared" si="2"/>
        <v>98975</v>
      </c>
    </row>
    <row r="24" spans="1:18">
      <c r="B24" s="415"/>
      <c r="C24" s="416"/>
      <c r="D24" s="416"/>
      <c r="E24" s="416"/>
      <c r="F24" s="416"/>
      <c r="G24" s="416"/>
      <c r="H24" s="416"/>
      <c r="I24" s="417"/>
    </row>
    <row r="25" spans="1:18" ht="102.75" customHeight="1">
      <c r="A25" s="141"/>
      <c r="B25" s="394">
        <v>44</v>
      </c>
      <c r="C25" s="396" t="s">
        <v>127</v>
      </c>
      <c r="D25" s="396"/>
      <c r="E25" s="396"/>
      <c r="F25" s="396"/>
      <c r="G25" s="396"/>
      <c r="H25" s="396"/>
      <c r="I25" s="397"/>
    </row>
    <row r="26" spans="1:18" ht="18" customHeight="1">
      <c r="A26" s="141"/>
      <c r="B26" s="395"/>
      <c r="C26" s="142" t="s">
        <v>436</v>
      </c>
      <c r="D26" s="197">
        <f>1.8*1.8</f>
        <v>3.24</v>
      </c>
      <c r="E26" s="143" t="s">
        <v>10</v>
      </c>
      <c r="F26" s="197"/>
      <c r="G26" s="197"/>
      <c r="H26" s="197"/>
      <c r="I26" s="310"/>
    </row>
    <row r="27" spans="1:18" ht="18" customHeight="1">
      <c r="A27" s="141"/>
      <c r="B27" s="395"/>
      <c r="C27" s="142" t="s">
        <v>437</v>
      </c>
      <c r="D27" s="197"/>
      <c r="E27" s="143"/>
      <c r="F27" s="197"/>
      <c r="G27" s="197"/>
      <c r="H27" s="197"/>
      <c r="I27" s="310"/>
      <c r="M27" s="144"/>
    </row>
    <row r="28" spans="1:18" ht="27" customHeight="1">
      <c r="A28" s="141"/>
      <c r="B28" s="395"/>
      <c r="C28" s="145" t="s">
        <v>438</v>
      </c>
      <c r="D28" s="398" t="s">
        <v>439</v>
      </c>
      <c r="E28" s="398"/>
      <c r="F28" s="398"/>
      <c r="G28" s="146"/>
      <c r="H28" s="147">
        <f>2*(1.8+1.8)</f>
        <v>7.2</v>
      </c>
      <c r="I28" s="311" t="s">
        <v>406</v>
      </c>
      <c r="L28" s="148"/>
      <c r="M28" s="399"/>
      <c r="N28" s="399"/>
      <c r="O28" s="399"/>
      <c r="P28" s="149"/>
      <c r="Q28" s="150"/>
      <c r="R28" s="149"/>
    </row>
    <row r="29" spans="1:18" ht="18" customHeight="1">
      <c r="A29" s="141"/>
      <c r="B29" s="395"/>
      <c r="C29" s="145"/>
      <c r="D29" s="398" t="s">
        <v>440</v>
      </c>
      <c r="E29" s="398"/>
      <c r="F29" s="398"/>
      <c r="G29" s="146"/>
      <c r="H29" s="151">
        <f>7.2*1.8</f>
        <v>12.96</v>
      </c>
      <c r="I29" s="312" t="s">
        <v>384</v>
      </c>
      <c r="L29" s="148"/>
      <c r="M29" s="399"/>
      <c r="N29" s="399"/>
      <c r="O29" s="399"/>
      <c r="P29" s="149"/>
      <c r="Q29" s="152"/>
      <c r="R29" s="153"/>
    </row>
    <row r="30" spans="1:18" ht="27" customHeight="1">
      <c r="A30" s="141"/>
      <c r="B30" s="395"/>
      <c r="C30" s="196" t="s">
        <v>441</v>
      </c>
      <c r="D30" s="146"/>
      <c r="E30" s="146"/>
      <c r="F30" s="147"/>
      <c r="G30" s="146"/>
      <c r="H30" s="146"/>
      <c r="I30" s="313"/>
      <c r="L30" s="154"/>
      <c r="M30" s="149"/>
      <c r="N30" s="149"/>
      <c r="O30" s="150"/>
      <c r="P30" s="149"/>
      <c r="Q30" s="149"/>
      <c r="R30" s="155"/>
    </row>
    <row r="31" spans="1:18" ht="18" customHeight="1">
      <c r="A31" s="141"/>
      <c r="B31" s="395"/>
      <c r="C31" s="156" t="s">
        <v>442</v>
      </c>
      <c r="D31" s="400" t="s">
        <v>443</v>
      </c>
      <c r="E31" s="400"/>
      <c r="F31" s="198">
        <f>6*1.8</f>
        <v>10.8</v>
      </c>
      <c r="G31" s="146"/>
      <c r="H31" s="146"/>
      <c r="I31" s="313"/>
      <c r="L31" s="157"/>
      <c r="M31" s="401"/>
      <c r="N31" s="401"/>
      <c r="O31" s="157"/>
      <c r="P31" s="149"/>
      <c r="Q31" s="149"/>
      <c r="R31" s="155"/>
    </row>
    <row r="32" spans="1:18" ht="18" customHeight="1">
      <c r="A32" s="141"/>
      <c r="B32" s="395"/>
      <c r="C32" s="156" t="s">
        <v>444</v>
      </c>
      <c r="D32" s="400" t="s">
        <v>445</v>
      </c>
      <c r="E32" s="400"/>
      <c r="F32" s="198">
        <f>16*1.8</f>
        <v>28.8</v>
      </c>
      <c r="G32" s="146"/>
      <c r="H32" s="146"/>
      <c r="I32" s="313"/>
      <c r="L32" s="157"/>
      <c r="M32" s="401"/>
      <c r="N32" s="401"/>
      <c r="O32" s="157"/>
      <c r="P32" s="149"/>
      <c r="Q32" s="149"/>
      <c r="R32" s="155"/>
    </row>
    <row r="33" spans="1:18" ht="18" customHeight="1">
      <c r="A33" s="141"/>
      <c r="B33" s="395"/>
      <c r="C33" s="145"/>
      <c r="D33" s="146"/>
      <c r="E33" s="146"/>
      <c r="F33" s="197">
        <f>SUM(F31:F32)</f>
        <v>39.6</v>
      </c>
      <c r="G33" s="158" t="s">
        <v>406</v>
      </c>
      <c r="H33" s="197">
        <f>F33*0.785</f>
        <v>31.086000000000002</v>
      </c>
      <c r="I33" s="312" t="s">
        <v>384</v>
      </c>
      <c r="L33" s="148"/>
      <c r="M33" s="149"/>
      <c r="N33" s="149"/>
      <c r="O33" s="144"/>
      <c r="P33" s="159"/>
      <c r="Q33" s="144"/>
      <c r="R33" s="153"/>
    </row>
    <row r="34" spans="1:18" ht="18" customHeight="1">
      <c r="A34" s="141"/>
      <c r="B34" s="395"/>
      <c r="C34" s="145"/>
      <c r="D34" s="146"/>
      <c r="E34" s="146"/>
      <c r="F34" s="147"/>
      <c r="G34" s="146"/>
      <c r="H34" s="160">
        <f>SUM(H29:H33)</f>
        <v>44.046000000000006</v>
      </c>
      <c r="I34" s="312" t="s">
        <v>384</v>
      </c>
      <c r="L34" s="148"/>
      <c r="M34" s="149"/>
      <c r="N34" s="149"/>
      <c r="O34" s="150"/>
      <c r="P34" s="149"/>
      <c r="Q34" s="161"/>
      <c r="R34" s="153"/>
    </row>
    <row r="35" spans="1:18" ht="18" customHeight="1">
      <c r="A35" s="141"/>
      <c r="B35" s="395"/>
      <c r="C35" s="142" t="s">
        <v>446</v>
      </c>
      <c r="D35" s="146"/>
      <c r="E35" s="146"/>
      <c r="F35" s="147"/>
      <c r="G35" s="146"/>
      <c r="H35" s="151"/>
      <c r="I35" s="314"/>
      <c r="L35" s="162"/>
      <c r="M35" s="149"/>
      <c r="N35" s="149"/>
      <c r="O35" s="150"/>
      <c r="P35" s="149"/>
      <c r="Q35" s="152"/>
      <c r="R35" s="144"/>
    </row>
    <row r="36" spans="1:18" s="141" customFormat="1" ht="27" customHeight="1">
      <c r="B36" s="395"/>
      <c r="C36" s="145" t="s">
        <v>447</v>
      </c>
      <c r="D36" s="147">
        <f>H33</f>
        <v>31.086000000000002</v>
      </c>
      <c r="E36" s="163" t="s">
        <v>384</v>
      </c>
      <c r="F36" s="147">
        <f>[2]LEAD!$N$10</f>
        <v>61000</v>
      </c>
      <c r="G36" s="164">
        <v>1000</v>
      </c>
      <c r="H36" s="163" t="s">
        <v>384</v>
      </c>
      <c r="I36" s="310">
        <f t="shared" ref="I36:I41" si="3">IF(G36="",D36*F36,(D36*F36/G36))</f>
        <v>1896.2460000000003</v>
      </c>
      <c r="L36" s="148"/>
      <c r="M36" s="150"/>
      <c r="N36" s="165"/>
      <c r="O36" s="150"/>
      <c r="P36" s="166"/>
      <c r="Q36" s="165"/>
      <c r="R36" s="167"/>
    </row>
    <row r="37" spans="1:18" s="141" customFormat="1" ht="27" customHeight="1">
      <c r="B37" s="395"/>
      <c r="C37" s="145" t="s">
        <v>448</v>
      </c>
      <c r="D37" s="168">
        <f>H29</f>
        <v>12.96</v>
      </c>
      <c r="E37" s="163" t="s">
        <v>384</v>
      </c>
      <c r="F37" s="147">
        <f>[2]LEAD!$N$11</f>
        <v>62000</v>
      </c>
      <c r="G37" s="164">
        <v>1000</v>
      </c>
      <c r="H37" s="163" t="s">
        <v>384</v>
      </c>
      <c r="I37" s="310">
        <f t="shared" si="3"/>
        <v>803.52</v>
      </c>
      <c r="L37" s="148"/>
      <c r="M37" s="169"/>
      <c r="N37" s="165"/>
      <c r="O37" s="150"/>
      <c r="P37" s="166"/>
      <c r="Q37" s="165"/>
      <c r="R37" s="167"/>
    </row>
    <row r="38" spans="1:18" s="141" customFormat="1" ht="18" customHeight="1">
      <c r="B38" s="395"/>
      <c r="C38" s="170" t="s">
        <v>449</v>
      </c>
      <c r="D38" s="197">
        <v>4</v>
      </c>
      <c r="E38" s="197" t="s">
        <v>117</v>
      </c>
      <c r="F38" s="147">
        <f>'[2]Civil-SOR'!$G$385</f>
        <v>37</v>
      </c>
      <c r="G38" s="197"/>
      <c r="H38" s="197" t="s">
        <v>389</v>
      </c>
      <c r="I38" s="315">
        <f t="shared" si="3"/>
        <v>148</v>
      </c>
      <c r="L38" s="144"/>
      <c r="M38" s="144"/>
      <c r="N38" s="144"/>
      <c r="O38" s="150"/>
      <c r="P38" s="144"/>
      <c r="Q38" s="144"/>
      <c r="R38" s="171"/>
    </row>
    <row r="39" spans="1:18" s="141" customFormat="1" ht="27" customHeight="1">
      <c r="B39" s="395"/>
      <c r="C39" s="145" t="s">
        <v>450</v>
      </c>
      <c r="D39" s="168">
        <f>H34</f>
        <v>44.046000000000006</v>
      </c>
      <c r="E39" s="163" t="s">
        <v>384</v>
      </c>
      <c r="F39" s="197">
        <f>'[2]Civil-SOR'!$G$202</f>
        <v>37</v>
      </c>
      <c r="G39" s="164">
        <v>1</v>
      </c>
      <c r="H39" s="163" t="s">
        <v>273</v>
      </c>
      <c r="I39" s="310">
        <f t="shared" si="3"/>
        <v>1629.7020000000002</v>
      </c>
      <c r="L39" s="148"/>
      <c r="M39" s="169"/>
      <c r="N39" s="165"/>
      <c r="O39" s="144"/>
      <c r="P39" s="166"/>
      <c r="Q39" s="165"/>
      <c r="R39" s="167"/>
    </row>
    <row r="40" spans="1:18" s="141" customFormat="1" ht="27" customHeight="1">
      <c r="B40" s="395"/>
      <c r="C40" s="145" t="s">
        <v>451</v>
      </c>
      <c r="D40" s="172">
        <f>H34</f>
        <v>44.046000000000006</v>
      </c>
      <c r="E40" s="163"/>
      <c r="F40" s="197">
        <f>'[2]Civil-SOR'!$G$203</f>
        <v>6</v>
      </c>
      <c r="G40" s="164"/>
      <c r="H40" s="173"/>
      <c r="I40" s="310">
        <f t="shared" si="3"/>
        <v>264.27600000000007</v>
      </c>
      <c r="L40" s="148"/>
      <c r="M40" s="174"/>
      <c r="N40" s="165"/>
      <c r="O40" s="144"/>
      <c r="P40" s="166"/>
      <c r="Q40" s="175"/>
      <c r="R40" s="167"/>
    </row>
    <row r="41" spans="1:18" s="141" customFormat="1" ht="18" customHeight="1">
      <c r="B41" s="395"/>
      <c r="C41" s="145" t="str">
        <f>[2]Input!$C$47</f>
        <v>Add for MA @ 40%</v>
      </c>
      <c r="D41" s="172">
        <f>[2]Input!$D$47</f>
        <v>0.4</v>
      </c>
      <c r="E41" s="176"/>
      <c r="F41" s="197">
        <f>I39*40%+I40</f>
        <v>916.1568000000002</v>
      </c>
      <c r="G41" s="177"/>
      <c r="H41" s="178"/>
      <c r="I41" s="310">
        <f t="shared" si="3"/>
        <v>366.4627200000001</v>
      </c>
      <c r="L41" s="148"/>
      <c r="M41" s="174"/>
      <c r="N41" s="179"/>
      <c r="O41" s="144"/>
      <c r="P41" s="180"/>
      <c r="Q41" s="154"/>
      <c r="R41" s="167"/>
    </row>
    <row r="42" spans="1:18" s="141" customFormat="1" ht="18" customHeight="1">
      <c r="B42" s="395"/>
      <c r="C42" s="181" t="s">
        <v>452</v>
      </c>
      <c r="D42" s="182"/>
      <c r="E42" s="176"/>
      <c r="F42" s="197"/>
      <c r="G42" s="164"/>
      <c r="H42" s="197"/>
      <c r="I42" s="316">
        <f>SUM(I36:I41)</f>
        <v>5108.206720000001</v>
      </c>
      <c r="L42" s="153"/>
      <c r="M42" s="183"/>
      <c r="N42" s="179"/>
      <c r="O42" s="144"/>
      <c r="P42" s="166"/>
      <c r="Q42" s="144"/>
      <c r="R42" s="184"/>
    </row>
    <row r="43" spans="1:18" s="141" customFormat="1" ht="18" customHeight="1">
      <c r="B43" s="395"/>
      <c r="C43" s="185"/>
      <c r="D43" s="182"/>
      <c r="E43" s="176"/>
      <c r="F43" s="197"/>
      <c r="G43" s="164"/>
      <c r="H43" s="197"/>
      <c r="I43" s="316">
        <f>I42/3.24</f>
        <v>1576.6070123456793</v>
      </c>
      <c r="L43" s="149"/>
      <c r="M43" s="183"/>
      <c r="N43" s="179"/>
      <c r="O43" s="144"/>
      <c r="P43" s="166"/>
      <c r="Q43" s="144"/>
      <c r="R43" s="184"/>
    </row>
    <row r="44" spans="1:18" s="141" customFormat="1" ht="27.7" customHeight="1">
      <c r="B44" s="395"/>
      <c r="C44" s="145" t="str">
        <f>[2]Input!$C$48</f>
        <v>Overheads &amp; Contractors Profit @ 13.615%</v>
      </c>
      <c r="D44" s="186">
        <f>[2]Input!$D$48</f>
        <v>0.13614999999999999</v>
      </c>
      <c r="E44" s="176"/>
      <c r="F44" s="197">
        <f>I43</f>
        <v>1576.6070123456793</v>
      </c>
      <c r="G44" s="177"/>
      <c r="H44" s="178"/>
      <c r="I44" s="310">
        <f>IF(G44="",D44*F44,(D44*F44/G44))</f>
        <v>214.65504473086423</v>
      </c>
      <c r="L44" s="148"/>
      <c r="M44" s="187"/>
      <c r="N44" s="179"/>
      <c r="O44" s="144"/>
      <c r="P44" s="180"/>
      <c r="Q44" s="154"/>
      <c r="R44" s="167"/>
    </row>
    <row r="45" spans="1:18" s="141" customFormat="1" ht="18" customHeight="1">
      <c r="B45" s="395"/>
      <c r="C45" s="185"/>
      <c r="D45" s="182"/>
      <c r="E45" s="176"/>
      <c r="F45" s="197"/>
      <c r="G45" s="164"/>
      <c r="H45" s="197"/>
      <c r="I45" s="316">
        <f>SUM(I43:I44)</f>
        <v>1791.2620570765434</v>
      </c>
      <c r="L45" s="149"/>
      <c r="M45" s="183"/>
      <c r="N45" s="179"/>
      <c r="O45" s="144"/>
      <c r="P45" s="166"/>
      <c r="Q45" s="144"/>
      <c r="R45" s="184"/>
    </row>
    <row r="46" spans="1:18" ht="18" customHeight="1">
      <c r="A46" s="141"/>
      <c r="B46" s="395"/>
      <c r="C46" s="231" t="s">
        <v>407</v>
      </c>
      <c r="D46" s="232"/>
      <c r="E46" s="233"/>
      <c r="F46" s="232"/>
      <c r="G46" s="412" t="s">
        <v>453</v>
      </c>
      <c r="H46" s="412"/>
      <c r="I46" s="317">
        <f>ROUND(I45,0)</f>
        <v>1791</v>
      </c>
      <c r="L46" s="161"/>
      <c r="M46" s="144"/>
      <c r="N46" s="179"/>
      <c r="O46" s="144"/>
      <c r="P46" s="391"/>
      <c r="Q46" s="391"/>
      <c r="R46" s="189"/>
    </row>
    <row r="47" spans="1:18" ht="18" customHeight="1">
      <c r="A47" s="141"/>
      <c r="B47" s="403"/>
      <c r="C47" s="403"/>
      <c r="D47" s="403"/>
      <c r="E47" s="403"/>
      <c r="F47" s="403"/>
      <c r="G47" s="403"/>
      <c r="H47" s="403"/>
      <c r="I47" s="403"/>
      <c r="L47" s="161"/>
      <c r="M47" s="144"/>
      <c r="N47" s="179"/>
      <c r="O47" s="144"/>
      <c r="P47" s="190"/>
      <c r="Q47" s="190"/>
      <c r="R47" s="189"/>
    </row>
    <row r="48" spans="1:18" ht="155.25" customHeight="1">
      <c r="B48" s="407">
        <v>45</v>
      </c>
      <c r="C48" s="409" t="s">
        <v>503</v>
      </c>
      <c r="D48" s="410"/>
      <c r="E48" s="410"/>
      <c r="F48" s="410"/>
      <c r="G48" s="410"/>
      <c r="H48" s="410"/>
      <c r="I48" s="411"/>
    </row>
    <row r="49" spans="2:9">
      <c r="B49" s="408"/>
      <c r="C49" s="263" t="s">
        <v>408</v>
      </c>
      <c r="D49" s="264"/>
      <c r="E49" s="264"/>
      <c r="F49" s="265"/>
      <c r="G49" s="264"/>
      <c r="H49" s="266"/>
      <c r="I49" s="318"/>
    </row>
    <row r="50" spans="2:9" ht="13.95" customHeight="1">
      <c r="B50" s="408"/>
      <c r="C50" s="267" t="s">
        <v>409</v>
      </c>
      <c r="D50" s="267"/>
      <c r="E50" s="267"/>
      <c r="F50" s="267"/>
      <c r="G50" s="267"/>
      <c r="H50" s="266"/>
      <c r="I50" s="318"/>
    </row>
    <row r="51" spans="2:9">
      <c r="B51" s="408"/>
      <c r="C51" s="267" t="s">
        <v>410</v>
      </c>
      <c r="D51" s="268"/>
      <c r="E51" s="268"/>
      <c r="F51" s="269"/>
      <c r="G51" s="268"/>
      <c r="H51" s="266"/>
      <c r="I51" s="318"/>
    </row>
    <row r="52" spans="2:9" ht="13.6">
      <c r="B52" s="408"/>
      <c r="C52" s="266" t="s">
        <v>193</v>
      </c>
      <c r="D52" s="270">
        <v>380</v>
      </c>
      <c r="E52" s="271" t="s">
        <v>384</v>
      </c>
      <c r="F52" s="272">
        <v>5200</v>
      </c>
      <c r="G52" s="273">
        <v>1000</v>
      </c>
      <c r="H52" s="271" t="s">
        <v>384</v>
      </c>
      <c r="I52" s="319">
        <v>1976</v>
      </c>
    </row>
    <row r="53" spans="2:9" ht="13.6">
      <c r="B53" s="408"/>
      <c r="C53" s="266" t="s">
        <v>411</v>
      </c>
      <c r="D53" s="270">
        <v>0.8</v>
      </c>
      <c r="E53" s="271" t="s">
        <v>9</v>
      </c>
      <c r="F53" s="274">
        <v>1447.96</v>
      </c>
      <c r="G53" s="273">
        <v>1</v>
      </c>
      <c r="H53" s="271" t="s">
        <v>9</v>
      </c>
      <c r="I53" s="319">
        <v>1158.3680000000002</v>
      </c>
    </row>
    <row r="54" spans="2:9" ht="13.6">
      <c r="B54" s="408"/>
      <c r="C54" s="266" t="s">
        <v>204</v>
      </c>
      <c r="D54" s="270">
        <v>0.4</v>
      </c>
      <c r="E54" s="271" t="s">
        <v>9</v>
      </c>
      <c r="F54" s="272">
        <v>2253.91</v>
      </c>
      <c r="G54" s="273">
        <v>1</v>
      </c>
      <c r="H54" s="271" t="s">
        <v>9</v>
      </c>
      <c r="I54" s="319">
        <v>901.56399999999996</v>
      </c>
    </row>
    <row r="55" spans="2:9">
      <c r="B55" s="408"/>
      <c r="C55" s="275" t="s">
        <v>412</v>
      </c>
      <c r="D55" s="271"/>
      <c r="E55" s="271"/>
      <c r="F55" s="276"/>
      <c r="G55" s="271"/>
      <c r="H55" s="271"/>
      <c r="I55" s="320"/>
    </row>
    <row r="56" spans="2:9" ht="13.6">
      <c r="B56" s="408"/>
      <c r="C56" s="266" t="s">
        <v>413</v>
      </c>
      <c r="D56" s="277">
        <v>0.16700000000000001</v>
      </c>
      <c r="E56" s="271" t="s">
        <v>96</v>
      </c>
      <c r="F56" s="272">
        <v>580</v>
      </c>
      <c r="G56" s="273">
        <v>1</v>
      </c>
      <c r="H56" s="271" t="s">
        <v>389</v>
      </c>
      <c r="I56" s="319">
        <v>96.86</v>
      </c>
    </row>
    <row r="57" spans="2:9" ht="13.6">
      <c r="B57" s="408"/>
      <c r="C57" s="266" t="s">
        <v>414</v>
      </c>
      <c r="D57" s="277">
        <v>0.16700000000000001</v>
      </c>
      <c r="E57" s="271" t="s">
        <v>96</v>
      </c>
      <c r="F57" s="272">
        <v>550</v>
      </c>
      <c r="G57" s="273">
        <v>1</v>
      </c>
      <c r="H57" s="271" t="s">
        <v>389</v>
      </c>
      <c r="I57" s="319">
        <v>91.850000000000009</v>
      </c>
    </row>
    <row r="58" spans="2:9" ht="13.6">
      <c r="B58" s="408"/>
      <c r="C58" s="266" t="s">
        <v>415</v>
      </c>
      <c r="D58" s="270">
        <v>5.6</v>
      </c>
      <c r="E58" s="271" t="s">
        <v>96</v>
      </c>
      <c r="F58" s="272">
        <v>520</v>
      </c>
      <c r="G58" s="273">
        <v>1</v>
      </c>
      <c r="H58" s="271" t="s">
        <v>389</v>
      </c>
      <c r="I58" s="319">
        <v>2912</v>
      </c>
    </row>
    <row r="59" spans="2:9">
      <c r="B59" s="408"/>
      <c r="C59" s="266" t="s">
        <v>416</v>
      </c>
      <c r="D59" s="270">
        <v>0.4</v>
      </c>
      <c r="E59" s="271"/>
      <c r="F59" s="278">
        <v>3100.71</v>
      </c>
      <c r="G59" s="273"/>
      <c r="H59" s="271"/>
      <c r="I59" s="319">
        <v>1240.2840000000001</v>
      </c>
    </row>
    <row r="60" spans="2:9">
      <c r="B60" s="408"/>
      <c r="C60" s="275" t="s">
        <v>417</v>
      </c>
      <c r="D60" s="270"/>
      <c r="E60" s="271"/>
      <c r="F60" s="272"/>
      <c r="G60" s="273"/>
      <c r="H60" s="271"/>
      <c r="I60" s="319"/>
    </row>
    <row r="61" spans="2:9" ht="27.2">
      <c r="B61" s="408"/>
      <c r="C61" s="266" t="s">
        <v>418</v>
      </c>
      <c r="D61" s="277">
        <v>1.333</v>
      </c>
      <c r="E61" s="271" t="s">
        <v>419</v>
      </c>
      <c r="F61" s="272">
        <v>192.9</v>
      </c>
      <c r="G61" s="273">
        <v>1</v>
      </c>
      <c r="H61" s="271" t="s">
        <v>420</v>
      </c>
      <c r="I61" s="319">
        <v>257.13569999999999</v>
      </c>
    </row>
    <row r="62" spans="2:9" ht="13.6">
      <c r="B62" s="408"/>
      <c r="C62" s="266" t="s">
        <v>421</v>
      </c>
      <c r="D62" s="277">
        <v>1.333</v>
      </c>
      <c r="E62" s="271" t="s">
        <v>419</v>
      </c>
      <c r="F62" s="272">
        <v>302.89999999999998</v>
      </c>
      <c r="G62" s="273">
        <v>1</v>
      </c>
      <c r="H62" s="271" t="s">
        <v>420</v>
      </c>
      <c r="I62" s="319">
        <v>403.76569999999998</v>
      </c>
    </row>
    <row r="63" spans="2:9" ht="13.6">
      <c r="B63" s="408"/>
      <c r="C63" s="266" t="s">
        <v>422</v>
      </c>
      <c r="D63" s="277">
        <v>1.333</v>
      </c>
      <c r="E63" s="271" t="s">
        <v>419</v>
      </c>
      <c r="F63" s="272">
        <v>36.5</v>
      </c>
      <c r="G63" s="273">
        <v>1</v>
      </c>
      <c r="H63" s="271" t="s">
        <v>420</v>
      </c>
      <c r="I63" s="319">
        <v>48.654499999999999</v>
      </c>
    </row>
    <row r="64" spans="2:9" ht="13.6">
      <c r="B64" s="408"/>
      <c r="C64" s="266" t="s">
        <v>421</v>
      </c>
      <c r="D64" s="277">
        <v>1.333</v>
      </c>
      <c r="E64" s="271" t="s">
        <v>419</v>
      </c>
      <c r="F64" s="272">
        <v>218</v>
      </c>
      <c r="G64" s="273">
        <v>1</v>
      </c>
      <c r="H64" s="271" t="s">
        <v>420</v>
      </c>
      <c r="I64" s="319">
        <v>290.59399999999999</v>
      </c>
    </row>
    <row r="65" spans="2:9" ht="13.6">
      <c r="B65" s="408"/>
      <c r="C65" s="266" t="s">
        <v>423</v>
      </c>
      <c r="D65" s="270">
        <v>0.4</v>
      </c>
      <c r="E65" s="271"/>
      <c r="F65" s="272">
        <v>694.35969999999998</v>
      </c>
      <c r="G65" s="273"/>
      <c r="H65" s="271"/>
      <c r="I65" s="319">
        <v>277.74387999999999</v>
      </c>
    </row>
    <row r="66" spans="2:9" ht="13.6">
      <c r="B66" s="408"/>
      <c r="C66" s="266" t="s">
        <v>424</v>
      </c>
      <c r="D66" s="279">
        <v>1.2</v>
      </c>
      <c r="E66" s="280" t="s">
        <v>425</v>
      </c>
      <c r="F66" s="274">
        <v>108</v>
      </c>
      <c r="G66" s="281">
        <v>1</v>
      </c>
      <c r="H66" s="282" t="s">
        <v>425</v>
      </c>
      <c r="I66" s="319">
        <v>129.6</v>
      </c>
    </row>
    <row r="67" spans="2:9">
      <c r="B67" s="408"/>
      <c r="C67" s="275" t="s">
        <v>426</v>
      </c>
      <c r="D67" s="283"/>
      <c r="E67" s="283"/>
      <c r="F67" s="284"/>
      <c r="G67" s="285"/>
      <c r="H67" s="283"/>
      <c r="I67" s="321">
        <v>9784.419780000002</v>
      </c>
    </row>
    <row r="68" spans="2:9">
      <c r="B68" s="408"/>
      <c r="C68" s="267"/>
      <c r="D68" s="264"/>
      <c r="E68" s="264"/>
      <c r="F68" s="265"/>
      <c r="G68" s="286"/>
      <c r="H68" s="287"/>
      <c r="I68" s="322"/>
    </row>
    <row r="69" spans="2:9">
      <c r="B69" s="408"/>
      <c r="C69" s="275" t="s">
        <v>427</v>
      </c>
      <c r="D69" s="288" t="s">
        <v>395</v>
      </c>
      <c r="E69" s="289" t="s">
        <v>396</v>
      </c>
      <c r="F69" s="290" t="s">
        <v>397</v>
      </c>
      <c r="G69" s="290" t="s">
        <v>428</v>
      </c>
      <c r="H69" s="290" t="s">
        <v>429</v>
      </c>
      <c r="I69" s="323" t="s">
        <v>430</v>
      </c>
    </row>
    <row r="70" spans="2:9">
      <c r="B70" s="408"/>
      <c r="C70" s="291" t="s">
        <v>431</v>
      </c>
      <c r="D70" s="288"/>
      <c r="E70" s="289"/>
      <c r="F70" s="290"/>
      <c r="G70" s="290"/>
      <c r="H70" s="290"/>
      <c r="I70" s="323"/>
    </row>
    <row r="71" spans="2:9">
      <c r="B71" s="408"/>
      <c r="C71" s="275" t="s">
        <v>394</v>
      </c>
      <c r="D71" s="288"/>
      <c r="E71" s="289"/>
      <c r="F71" s="290"/>
      <c r="G71" s="290"/>
      <c r="H71" s="290"/>
      <c r="I71" s="323"/>
    </row>
    <row r="72" spans="2:9" ht="13.6">
      <c r="B72" s="408"/>
      <c r="C72" s="266" t="s">
        <v>432</v>
      </c>
      <c r="D72" s="272">
        <v>9784.419780000002</v>
      </c>
      <c r="E72" s="272">
        <v>9784.419780000002</v>
      </c>
      <c r="F72" s="272">
        <v>9784.419780000002</v>
      </c>
      <c r="G72" s="272">
        <v>9784.419780000002</v>
      </c>
      <c r="H72" s="272">
        <v>9784.419780000002</v>
      </c>
      <c r="I72" s="320">
        <v>9784.419780000002</v>
      </c>
    </row>
    <row r="73" spans="2:9" ht="27.2">
      <c r="B73" s="408"/>
      <c r="C73" s="266" t="s">
        <v>433</v>
      </c>
      <c r="D73" s="272">
        <v>886</v>
      </c>
      <c r="E73" s="272">
        <v>886</v>
      </c>
      <c r="F73" s="272">
        <v>886</v>
      </c>
      <c r="G73" s="272">
        <v>886</v>
      </c>
      <c r="H73" s="272">
        <v>886</v>
      </c>
      <c r="I73" s="320">
        <v>886</v>
      </c>
    </row>
    <row r="74" spans="2:9" ht="13.6">
      <c r="B74" s="408"/>
      <c r="C74" s="266" t="s">
        <v>434</v>
      </c>
      <c r="D74" s="274">
        <v>1489</v>
      </c>
      <c r="E74" s="274">
        <v>1638</v>
      </c>
      <c r="F74" s="274">
        <v>1787</v>
      </c>
      <c r="G74" s="274">
        <v>1936</v>
      </c>
      <c r="H74" s="274">
        <v>2085</v>
      </c>
      <c r="I74" s="319">
        <v>2234</v>
      </c>
    </row>
    <row r="75" spans="2:9" ht="13.6">
      <c r="B75" s="408"/>
      <c r="C75" s="266" t="s">
        <v>416</v>
      </c>
      <c r="D75" s="274">
        <v>595.6</v>
      </c>
      <c r="E75" s="274">
        <v>655.20000000000005</v>
      </c>
      <c r="F75" s="274">
        <v>714.80000000000007</v>
      </c>
      <c r="G75" s="274">
        <v>774.40000000000009</v>
      </c>
      <c r="H75" s="274">
        <v>834</v>
      </c>
      <c r="I75" s="319">
        <v>893.6</v>
      </c>
    </row>
    <row r="76" spans="2:9" ht="27.85">
      <c r="B76" s="408"/>
      <c r="C76" s="266" t="s">
        <v>504</v>
      </c>
      <c r="D76" s="272">
        <v>0</v>
      </c>
      <c r="E76" s="272">
        <v>310.07100000000003</v>
      </c>
      <c r="F76" s="272">
        <v>620.14200000000005</v>
      </c>
      <c r="G76" s="272">
        <v>930.21299999999997</v>
      </c>
      <c r="H76" s="272">
        <v>1240.2840000000001</v>
      </c>
      <c r="I76" s="320">
        <v>1550.355</v>
      </c>
    </row>
    <row r="77" spans="2:9" ht="13.6">
      <c r="B77" s="408"/>
      <c r="C77" s="266" t="s">
        <v>416</v>
      </c>
      <c r="D77" s="272">
        <v>0</v>
      </c>
      <c r="E77" s="272">
        <v>124.03</v>
      </c>
      <c r="F77" s="272">
        <v>248.06</v>
      </c>
      <c r="G77" s="272">
        <v>372.09</v>
      </c>
      <c r="H77" s="272">
        <v>496.11</v>
      </c>
      <c r="I77" s="320">
        <v>620.14</v>
      </c>
    </row>
    <row r="78" spans="2:9">
      <c r="B78" s="408"/>
      <c r="C78" s="275" t="s">
        <v>426</v>
      </c>
      <c r="D78" s="272">
        <v>12755.019780000002</v>
      </c>
      <c r="E78" s="272">
        <v>13397.720780000003</v>
      </c>
      <c r="F78" s="272">
        <v>14040.421780000001</v>
      </c>
      <c r="G78" s="272">
        <v>14683.122780000002</v>
      </c>
      <c r="H78" s="272">
        <v>15325.813780000002</v>
      </c>
      <c r="I78" s="320">
        <v>15968.514780000001</v>
      </c>
    </row>
    <row r="79" spans="2:9" ht="27.2">
      <c r="B79" s="408"/>
      <c r="C79" s="266" t="s">
        <v>435</v>
      </c>
      <c r="D79" s="272">
        <v>0</v>
      </c>
      <c r="E79" s="272">
        <v>0</v>
      </c>
      <c r="F79" s="272">
        <v>0</v>
      </c>
      <c r="G79" s="272">
        <v>0</v>
      </c>
      <c r="H79" s="272">
        <v>0</v>
      </c>
      <c r="I79" s="320">
        <v>0</v>
      </c>
    </row>
    <row r="80" spans="2:9">
      <c r="B80" s="408"/>
      <c r="C80" s="292" t="s">
        <v>426</v>
      </c>
      <c r="D80" s="293">
        <v>12755.019780000002</v>
      </c>
      <c r="E80" s="293">
        <v>13397.720780000003</v>
      </c>
      <c r="F80" s="294">
        <v>14040.421780000001</v>
      </c>
      <c r="G80" s="293">
        <v>14683.122780000002</v>
      </c>
      <c r="H80" s="293">
        <v>15325.813780000002</v>
      </c>
      <c r="I80" s="324">
        <v>15968.514780000001</v>
      </c>
    </row>
    <row r="81" spans="2:9">
      <c r="B81" s="408"/>
      <c r="C81" s="295" t="s">
        <v>405</v>
      </c>
      <c r="D81" s="296">
        <v>12755</v>
      </c>
      <c r="E81" s="296">
        <v>13398</v>
      </c>
      <c r="F81" s="296">
        <v>14040</v>
      </c>
      <c r="G81" s="297">
        <v>14683</v>
      </c>
      <c r="H81" s="296">
        <v>15326</v>
      </c>
      <c r="I81" s="325">
        <v>15969</v>
      </c>
    </row>
    <row r="82" spans="2:9" ht="17.350000000000001" customHeight="1">
      <c r="B82" s="418"/>
      <c r="C82" s="419"/>
      <c r="D82" s="419"/>
      <c r="E82" s="419"/>
      <c r="F82" s="419"/>
      <c r="G82" s="419"/>
      <c r="H82" s="419"/>
      <c r="I82" s="420"/>
    </row>
    <row r="83" spans="2:9" ht="122.95" customHeight="1">
      <c r="B83" s="403">
        <v>46</v>
      </c>
      <c r="C83" s="404" t="s">
        <v>377</v>
      </c>
      <c r="D83" s="405"/>
      <c r="E83" s="405"/>
      <c r="F83" s="405"/>
      <c r="G83" s="405"/>
      <c r="H83" s="405"/>
      <c r="I83" s="406"/>
    </row>
    <row r="84" spans="2:9" ht="18" customHeight="1">
      <c r="B84" s="403"/>
      <c r="C84" s="120" t="s">
        <v>378</v>
      </c>
      <c r="D84" s="121"/>
      <c r="E84" s="121"/>
      <c r="F84" s="121"/>
      <c r="G84" s="122"/>
      <c r="H84" s="123"/>
      <c r="I84" s="124"/>
    </row>
    <row r="85" spans="2:9" ht="18" customHeight="1">
      <c r="B85" s="403"/>
      <c r="C85" s="125" t="s">
        <v>379</v>
      </c>
      <c r="D85" s="121"/>
      <c r="E85" s="121"/>
      <c r="F85" s="121"/>
      <c r="G85" s="122"/>
      <c r="H85" s="123"/>
      <c r="I85" s="124"/>
    </row>
    <row r="86" spans="2:9" ht="18" customHeight="1">
      <c r="B86" s="403"/>
      <c r="C86" s="126" t="s">
        <v>380</v>
      </c>
      <c r="D86" s="121">
        <v>10.5</v>
      </c>
      <c r="E86" s="121" t="s">
        <v>13</v>
      </c>
      <c r="F86" s="121">
        <f>+'[2]Civil-SOR'!$G$20</f>
        <v>578</v>
      </c>
      <c r="G86" s="122">
        <v>1</v>
      </c>
      <c r="H86" s="127" t="s">
        <v>13</v>
      </c>
      <c r="I86" s="121">
        <f>IF(G86="",D86*F86,(D86*F86/G86))</f>
        <v>6069</v>
      </c>
    </row>
    <row r="87" spans="2:9" ht="18" customHeight="1">
      <c r="B87" s="403"/>
      <c r="C87" s="126" t="s">
        <v>381</v>
      </c>
      <c r="D87" s="121">
        <v>0.12</v>
      </c>
      <c r="E87" s="121" t="s">
        <v>382</v>
      </c>
      <c r="F87" s="121">
        <f>[2]LEAD!$N$13</f>
        <v>2453.91</v>
      </c>
      <c r="G87" s="122">
        <v>1</v>
      </c>
      <c r="H87" s="127" t="s">
        <v>382</v>
      </c>
      <c r="I87" s="121">
        <f>IF(G87="",D87*F87,(D87*F87/G87))</f>
        <v>294.46919999999994</v>
      </c>
    </row>
    <row r="88" spans="2:9" ht="18" customHeight="1">
      <c r="B88" s="403"/>
      <c r="C88" s="126" t="s">
        <v>383</v>
      </c>
      <c r="D88" s="121">
        <v>34.56</v>
      </c>
      <c r="E88" s="121" t="s">
        <v>384</v>
      </c>
      <c r="F88" s="121">
        <f>[2]LEAD!$N$6</f>
        <v>5200</v>
      </c>
      <c r="G88" s="122">
        <v>1000</v>
      </c>
      <c r="H88" s="127" t="s">
        <v>384</v>
      </c>
      <c r="I88" s="121">
        <f>IF(G88="",D88*F88,(D88*F88/G88))</f>
        <v>179.71199999999999</v>
      </c>
    </row>
    <row r="89" spans="2:9" ht="18" customHeight="1">
      <c r="B89" s="403"/>
      <c r="C89" s="126" t="s">
        <v>385</v>
      </c>
      <c r="D89" s="121">
        <v>33</v>
      </c>
      <c r="E89" s="121" t="s">
        <v>384</v>
      </c>
      <c r="F89" s="121">
        <f>[2]LEAD!$N$6</f>
        <v>5200</v>
      </c>
      <c r="G89" s="122">
        <v>1000</v>
      </c>
      <c r="H89" s="127" t="s">
        <v>384</v>
      </c>
      <c r="I89" s="121">
        <f>IF(G89="",D89*F89,(D89*F89/G89))</f>
        <v>171.6</v>
      </c>
    </row>
    <row r="90" spans="2:9" ht="18" customHeight="1">
      <c r="B90" s="403"/>
      <c r="C90" s="126" t="s">
        <v>386</v>
      </c>
      <c r="D90" s="121">
        <v>2</v>
      </c>
      <c r="E90" s="121" t="s">
        <v>384</v>
      </c>
      <c r="F90" s="121">
        <f>'[2]Civil-SOR'!$G$185</f>
        <v>34</v>
      </c>
      <c r="G90" s="122">
        <v>1</v>
      </c>
      <c r="H90" s="127" t="s">
        <v>273</v>
      </c>
      <c r="I90" s="121">
        <f>IF(G90="",D90*F90,(D90*F90/G90))</f>
        <v>68</v>
      </c>
    </row>
    <row r="91" spans="2:9" ht="18" customHeight="1">
      <c r="B91" s="403"/>
      <c r="C91" s="125" t="s">
        <v>387</v>
      </c>
      <c r="D91" s="121"/>
      <c r="E91" s="121"/>
      <c r="F91" s="121"/>
      <c r="G91" s="122"/>
      <c r="H91" s="123"/>
      <c r="I91" s="124"/>
    </row>
    <row r="92" spans="2:9" ht="18" customHeight="1">
      <c r="B92" s="403"/>
      <c r="C92" s="126" t="s">
        <v>388</v>
      </c>
      <c r="D92" s="121">
        <v>0.96</v>
      </c>
      <c r="E92" s="121" t="s">
        <v>117</v>
      </c>
      <c r="F92" s="121">
        <f>'[2]Civil-SOR'!$G$293</f>
        <v>580</v>
      </c>
      <c r="G92" s="122">
        <v>1</v>
      </c>
      <c r="H92" s="127" t="s">
        <v>389</v>
      </c>
      <c r="I92" s="121">
        <f>IF(G92="",D92*F92,(D92*F92/G92))</f>
        <v>556.79999999999995</v>
      </c>
    </row>
    <row r="93" spans="2:9" ht="18" customHeight="1">
      <c r="B93" s="403"/>
      <c r="C93" s="126" t="s">
        <v>390</v>
      </c>
      <c r="D93" s="121">
        <v>2.2400000000000002</v>
      </c>
      <c r="E93" s="121" t="s">
        <v>117</v>
      </c>
      <c r="F93" s="121">
        <f>'[2]Civil-SOR'!$G$302</f>
        <v>550</v>
      </c>
      <c r="G93" s="122">
        <v>1</v>
      </c>
      <c r="H93" s="127" t="s">
        <v>389</v>
      </c>
      <c r="I93" s="121">
        <f>IF(G93="",D93*F93,(D93*F93/G93))</f>
        <v>1232.0000000000002</v>
      </c>
    </row>
    <row r="94" spans="2:9" ht="18" customHeight="1">
      <c r="B94" s="403"/>
      <c r="C94" s="126" t="s">
        <v>391</v>
      </c>
      <c r="D94" s="121">
        <v>3.3</v>
      </c>
      <c r="E94" s="121" t="s">
        <v>117</v>
      </c>
      <c r="F94" s="121">
        <f>'[2]Civil-SOR'!$G$307</f>
        <v>520</v>
      </c>
      <c r="G94" s="122">
        <v>1</v>
      </c>
      <c r="H94" s="127" t="s">
        <v>389</v>
      </c>
      <c r="I94" s="121">
        <f>IF(G94="",D94*F94,(D94*F94/G94))</f>
        <v>1716</v>
      </c>
    </row>
    <row r="95" spans="2:9" ht="18" customHeight="1">
      <c r="B95" s="403"/>
      <c r="C95" s="128" t="str">
        <f>[2]Input!$C$47</f>
        <v>Add for MA @ 40%</v>
      </c>
      <c r="D95" s="129">
        <f>[2]Input!$D$47</f>
        <v>0.4</v>
      </c>
      <c r="E95" s="127"/>
      <c r="F95" s="121">
        <f>SUM(I92:I94)</f>
        <v>3504.8</v>
      </c>
      <c r="G95" s="130"/>
      <c r="H95" s="131"/>
      <c r="I95" s="121">
        <f>IF(G95="",D95*F95,(D95*F95/G95))</f>
        <v>1401.92</v>
      </c>
    </row>
    <row r="96" spans="2:9" ht="18" customHeight="1">
      <c r="B96" s="403"/>
      <c r="C96" s="132" t="s">
        <v>392</v>
      </c>
      <c r="D96" s="121">
        <v>0.01</v>
      </c>
      <c r="E96" s="121"/>
      <c r="F96" s="121">
        <f>SUM(I86:I95)</f>
        <v>11689.501200000001</v>
      </c>
      <c r="G96" s="122"/>
      <c r="H96" s="127"/>
      <c r="I96" s="121">
        <f>IF(G96="",D96*F96,(D96*F96/G96))</f>
        <v>116.89501200000001</v>
      </c>
    </row>
    <row r="97" spans="2:9" ht="18" customHeight="1">
      <c r="B97" s="403"/>
      <c r="C97" s="133" t="s">
        <v>393</v>
      </c>
      <c r="D97" s="121"/>
      <c r="E97" s="127"/>
      <c r="F97" s="121"/>
      <c r="G97" s="122"/>
      <c r="H97" s="127"/>
      <c r="I97" s="134">
        <f>SUM(I86:I96)</f>
        <v>11806.396212000001</v>
      </c>
    </row>
    <row r="98" spans="2:9" ht="9.6999999999999993" customHeight="1">
      <c r="B98" s="403"/>
      <c r="C98" s="133"/>
      <c r="D98" s="121"/>
      <c r="E98" s="127"/>
      <c r="F98" s="121"/>
      <c r="G98" s="122"/>
      <c r="H98" s="127"/>
      <c r="I98" s="135"/>
    </row>
    <row r="99" spans="2:9" ht="18" customHeight="1">
      <c r="B99" s="403"/>
      <c r="C99" s="136" t="s">
        <v>394</v>
      </c>
      <c r="D99" s="124" t="s">
        <v>395</v>
      </c>
      <c r="E99" s="137" t="s">
        <v>396</v>
      </c>
      <c r="F99" s="123" t="s">
        <v>397</v>
      </c>
      <c r="G99" s="124" t="s">
        <v>398</v>
      </c>
      <c r="H99" s="124" t="s">
        <v>399</v>
      </c>
      <c r="I99" s="124" t="s">
        <v>400</v>
      </c>
    </row>
    <row r="100" spans="2:9" ht="18" customHeight="1">
      <c r="B100" s="403"/>
      <c r="C100" s="126" t="s">
        <v>401</v>
      </c>
      <c r="D100" s="121">
        <f>I97</f>
        <v>11806.396212000001</v>
      </c>
      <c r="E100" s="121">
        <f>I97</f>
        <v>11806.396212000001</v>
      </c>
      <c r="F100" s="121">
        <f>I97</f>
        <v>11806.396212000001</v>
      </c>
      <c r="G100" s="121">
        <f>F100</f>
        <v>11806.396212000001</v>
      </c>
      <c r="H100" s="121">
        <f>G100</f>
        <v>11806.396212000001</v>
      </c>
      <c r="I100" s="121">
        <f>H100</f>
        <v>11806.396212000001</v>
      </c>
    </row>
    <row r="101" spans="2:9" ht="18" customHeight="1">
      <c r="B101" s="403"/>
      <c r="C101" s="126" t="s">
        <v>402</v>
      </c>
      <c r="D101" s="121">
        <v>0</v>
      </c>
      <c r="E101" s="121">
        <v>350.48</v>
      </c>
      <c r="F101" s="121">
        <f>E101*2</f>
        <v>700.96</v>
      </c>
      <c r="G101" s="121">
        <f>E101*3</f>
        <v>1051.44</v>
      </c>
      <c r="H101" s="121">
        <f>E101*4</f>
        <v>1401.92</v>
      </c>
      <c r="I101" s="121">
        <f>E101*5</f>
        <v>1752.4</v>
      </c>
    </row>
    <row r="102" spans="2:9" ht="18" customHeight="1">
      <c r="B102" s="403"/>
      <c r="C102" s="126" t="str">
        <f>[2]Input!$C$47</f>
        <v>Add for MA @ 40%</v>
      </c>
      <c r="D102" s="121">
        <f>D101*[2]Input!$D$47</f>
        <v>0</v>
      </c>
      <c r="E102" s="121">
        <f>E101*[2]Input!$D$47</f>
        <v>140.19200000000001</v>
      </c>
      <c r="F102" s="121">
        <f>F101*[2]Input!$D$47</f>
        <v>280.38400000000001</v>
      </c>
      <c r="G102" s="121">
        <f>G101*[2]Input!$D$47</f>
        <v>420.57600000000002</v>
      </c>
      <c r="H102" s="121">
        <f>H101*[2]Input!$D$47</f>
        <v>560.76800000000003</v>
      </c>
      <c r="I102" s="121">
        <f>I101*[2]Input!$D$47</f>
        <v>700.96</v>
      </c>
    </row>
    <row r="103" spans="2:9" ht="18" customHeight="1">
      <c r="B103" s="403"/>
      <c r="C103" s="128"/>
      <c r="D103" s="121">
        <f t="shared" ref="D103:I103" si="4">SUM(D100:D102)</f>
        <v>11806.396212000001</v>
      </c>
      <c r="E103" s="121">
        <f t="shared" si="4"/>
        <v>12297.068212000002</v>
      </c>
      <c r="F103" s="121">
        <f t="shared" si="4"/>
        <v>12787.740212000002</v>
      </c>
      <c r="G103" s="121">
        <f t="shared" si="4"/>
        <v>13278.412212000003</v>
      </c>
      <c r="H103" s="121">
        <f t="shared" si="4"/>
        <v>13769.084212000002</v>
      </c>
      <c r="I103" s="121">
        <f t="shared" si="4"/>
        <v>14259.756212</v>
      </c>
    </row>
    <row r="104" spans="2:9" ht="27" customHeight="1">
      <c r="B104" s="403"/>
      <c r="C104" s="126" t="str">
        <f>[2]Input!$C$48</f>
        <v>Overheads &amp; Contractors Profit @ 13.615%</v>
      </c>
      <c r="D104" s="121">
        <f>ROUND(D103*[2]Input!$D$48,2)</f>
        <v>1607.44</v>
      </c>
      <c r="E104" s="121">
        <f>ROUND(E103*[2]Input!$D$48,2)</f>
        <v>1674.25</v>
      </c>
      <c r="F104" s="121">
        <f>ROUND(F103*[2]Input!$D$48,2)</f>
        <v>1741.05</v>
      </c>
      <c r="G104" s="121">
        <f>ROUND(G103*[2]Input!$D$48,2)</f>
        <v>1807.86</v>
      </c>
      <c r="H104" s="121">
        <f>ROUND(H103*[2]Input!$D$48,2)</f>
        <v>1874.66</v>
      </c>
      <c r="I104" s="121">
        <f>ROUND(I103*[2]Input!$D$48,2)</f>
        <v>1941.47</v>
      </c>
    </row>
    <row r="105" spans="2:9" ht="18" customHeight="1">
      <c r="B105" s="403"/>
      <c r="C105" s="125" t="s">
        <v>403</v>
      </c>
      <c r="D105" s="121">
        <f t="shared" ref="D105:I105" si="5">SUM(D103:D104)</f>
        <v>13413.836212000002</v>
      </c>
      <c r="E105" s="121">
        <f t="shared" si="5"/>
        <v>13971.318212000002</v>
      </c>
      <c r="F105" s="121">
        <f t="shared" si="5"/>
        <v>14528.790212000002</v>
      </c>
      <c r="G105" s="121">
        <f t="shared" si="5"/>
        <v>15086.272212000003</v>
      </c>
      <c r="H105" s="121">
        <f t="shared" si="5"/>
        <v>15643.744212000001</v>
      </c>
      <c r="I105" s="121">
        <f t="shared" si="5"/>
        <v>16201.226212</v>
      </c>
    </row>
    <row r="106" spans="2:9" ht="18" customHeight="1">
      <c r="B106" s="403"/>
      <c r="C106" s="125" t="s">
        <v>404</v>
      </c>
      <c r="D106" s="124">
        <f t="shared" ref="D106:I106" si="6">D105*0.01</f>
        <v>134.13836212000001</v>
      </c>
      <c r="E106" s="124">
        <f t="shared" si="6"/>
        <v>139.71318212000003</v>
      </c>
      <c r="F106" s="124">
        <f t="shared" si="6"/>
        <v>145.28790212000001</v>
      </c>
      <c r="G106" s="124">
        <f t="shared" si="6"/>
        <v>150.86272212000003</v>
      </c>
      <c r="H106" s="124">
        <f t="shared" si="6"/>
        <v>156.43744212000001</v>
      </c>
      <c r="I106" s="124">
        <f t="shared" si="6"/>
        <v>162.01226212</v>
      </c>
    </row>
    <row r="107" spans="2:9" ht="18" customHeight="1">
      <c r="B107" s="403"/>
      <c r="C107" s="138" t="s">
        <v>405</v>
      </c>
      <c r="D107" s="139">
        <f t="shared" ref="D107:I107" si="7">ROUND(D106,0)</f>
        <v>134</v>
      </c>
      <c r="E107" s="139">
        <f t="shared" si="7"/>
        <v>140</v>
      </c>
      <c r="F107" s="139">
        <f t="shared" si="7"/>
        <v>145</v>
      </c>
      <c r="G107" s="140">
        <f t="shared" si="7"/>
        <v>151</v>
      </c>
      <c r="H107" s="139">
        <f t="shared" si="7"/>
        <v>156</v>
      </c>
      <c r="I107" s="139">
        <f t="shared" si="7"/>
        <v>162</v>
      </c>
    </row>
    <row r="108" spans="2:9">
      <c r="B108" s="403"/>
      <c r="C108" s="403"/>
      <c r="D108" s="403"/>
      <c r="E108" s="403"/>
      <c r="F108" s="403"/>
      <c r="G108" s="403"/>
      <c r="H108" s="403"/>
      <c r="I108" s="403"/>
    </row>
    <row r="110" spans="2:9" ht="13.6">
      <c r="B110" s="414" t="s">
        <v>498</v>
      </c>
      <c r="C110" s="414"/>
      <c r="D110" s="414"/>
      <c r="E110" s="414"/>
      <c r="F110" s="414"/>
      <c r="G110" s="414"/>
      <c r="H110" s="414"/>
      <c r="I110" s="414"/>
    </row>
    <row r="111" spans="2:9" ht="129.75" customHeight="1">
      <c r="B111" s="392">
        <v>61</v>
      </c>
      <c r="C111" s="413" t="s">
        <v>500</v>
      </c>
      <c r="D111" s="413"/>
      <c r="E111" s="413"/>
      <c r="F111" s="413"/>
      <c r="G111" s="413"/>
      <c r="H111" s="413"/>
      <c r="I111" s="413"/>
    </row>
    <row r="112" spans="2:9" ht="62.35" customHeight="1">
      <c r="B112" s="392"/>
      <c r="C112" s="298" t="s">
        <v>505</v>
      </c>
      <c r="D112" s="299">
        <v>1</v>
      </c>
      <c r="E112" s="300" t="s">
        <v>8</v>
      </c>
      <c r="F112" s="301">
        <v>1</v>
      </c>
      <c r="G112" s="300" t="s">
        <v>8</v>
      </c>
      <c r="H112" s="302">
        <v>27081</v>
      </c>
      <c r="I112" s="302">
        <f>SUM(D112*H112/F112)</f>
        <v>27081</v>
      </c>
    </row>
    <row r="113" spans="2:9">
      <c r="B113" s="392"/>
      <c r="C113" s="303" t="s">
        <v>497</v>
      </c>
      <c r="D113" s="304">
        <v>0.13614999999999999</v>
      </c>
      <c r="E113" s="305"/>
      <c r="F113" s="306"/>
      <c r="G113" s="305"/>
      <c r="H113" s="307"/>
      <c r="I113" s="307">
        <f>I112*0.13615</f>
        <v>3687.0781499999998</v>
      </c>
    </row>
    <row r="114" spans="2:9" ht="13.6">
      <c r="B114" s="392"/>
      <c r="C114" s="308"/>
      <c r="D114" s="308"/>
      <c r="E114" s="308"/>
      <c r="F114" s="308"/>
      <c r="G114" s="308"/>
      <c r="H114" s="308"/>
      <c r="I114" s="309">
        <f>SUM(I112:I113)</f>
        <v>30768.078150000001</v>
      </c>
    </row>
    <row r="115" spans="2:9">
      <c r="B115" s="392"/>
      <c r="C115" s="188" t="s">
        <v>499</v>
      </c>
      <c r="D115" s="229"/>
      <c r="E115" s="229"/>
      <c r="F115" s="229"/>
      <c r="G115" s="229"/>
      <c r="H115" s="138" t="s">
        <v>405</v>
      </c>
      <c r="I115" s="230">
        <v>30768</v>
      </c>
    </row>
  </sheetData>
  <mergeCells count="26">
    <mergeCell ref="C111:I111"/>
    <mergeCell ref="B111:B115"/>
    <mergeCell ref="B110:I110"/>
    <mergeCell ref="B24:I24"/>
    <mergeCell ref="B47:I47"/>
    <mergeCell ref="B82:I82"/>
    <mergeCell ref="B108:I108"/>
    <mergeCell ref="B2:I2"/>
    <mergeCell ref="B83:B107"/>
    <mergeCell ref="C83:I83"/>
    <mergeCell ref="B48:B81"/>
    <mergeCell ref="C48:I48"/>
    <mergeCell ref="G46:H46"/>
    <mergeCell ref="P46:Q46"/>
    <mergeCell ref="B3:B23"/>
    <mergeCell ref="C3:I3"/>
    <mergeCell ref="B25:B46"/>
    <mergeCell ref="C25:I25"/>
    <mergeCell ref="D28:F28"/>
    <mergeCell ref="M28:O28"/>
    <mergeCell ref="D29:F29"/>
    <mergeCell ref="M29:O29"/>
    <mergeCell ref="D31:E31"/>
    <mergeCell ref="M31:N31"/>
    <mergeCell ref="D32:E32"/>
    <mergeCell ref="M32:N32"/>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507</v>
      </c>
      <c r="G10" s="32">
        <v>135280</v>
      </c>
      <c r="H10" s="32">
        <v>291336</v>
      </c>
    </row>
    <row r="11" spans="6:8">
      <c r="F11" s="32" t="s">
        <v>508</v>
      </c>
      <c r="G11" s="32">
        <v>0</v>
      </c>
      <c r="H11" s="332">
        <v>9600</v>
      </c>
    </row>
    <row r="12" spans="6:8">
      <c r="F12" s="32" t="s">
        <v>509</v>
      </c>
      <c r="G12" s="32">
        <v>13000</v>
      </c>
      <c r="H12" s="332">
        <v>13000</v>
      </c>
    </row>
    <row r="13" spans="6:8">
      <c r="F13" s="32" t="s">
        <v>510</v>
      </c>
      <c r="G13" s="332">
        <v>48000</v>
      </c>
      <c r="H13" s="32">
        <v>67500</v>
      </c>
    </row>
    <row r="14" spans="6:8">
      <c r="F14" s="333" t="s">
        <v>511</v>
      </c>
      <c r="G14" s="32">
        <f>4600+1600</f>
        <v>6200</v>
      </c>
      <c r="H14" s="32">
        <v>12000</v>
      </c>
    </row>
    <row r="15" spans="6:8">
      <c r="F15" s="32" t="s">
        <v>512</v>
      </c>
      <c r="G15" s="32">
        <v>23040</v>
      </c>
      <c r="H15" s="32">
        <v>28740</v>
      </c>
    </row>
    <row r="16" spans="6:8">
      <c r="F16" s="333" t="s">
        <v>513</v>
      </c>
      <c r="G16" s="32">
        <v>44000</v>
      </c>
      <c r="H16" s="32">
        <v>56500</v>
      </c>
    </row>
    <row r="17" spans="6:8">
      <c r="F17" s="333" t="s">
        <v>514</v>
      </c>
      <c r="G17" s="32">
        <v>59840</v>
      </c>
      <c r="H17" s="32">
        <v>75573</v>
      </c>
    </row>
    <row r="18" spans="6:8">
      <c r="F18" s="333" t="s">
        <v>515</v>
      </c>
      <c r="G18" s="32">
        <v>36000</v>
      </c>
      <c r="H18" s="32">
        <v>51206</v>
      </c>
    </row>
    <row r="19" spans="6:8">
      <c r="F19" s="333" t="s">
        <v>516</v>
      </c>
      <c r="G19" s="32">
        <v>4800</v>
      </c>
      <c r="H19" s="332">
        <v>4816</v>
      </c>
    </row>
    <row r="20" spans="6:8">
      <c r="F20" s="333" t="s">
        <v>517</v>
      </c>
      <c r="G20" s="332">
        <f>2000+2320</f>
        <v>4320</v>
      </c>
      <c r="H20" s="332">
        <v>22800</v>
      </c>
    </row>
    <row r="21" spans="6:8">
      <c r="F21" s="333" t="s">
        <v>518</v>
      </c>
      <c r="G21" s="32">
        <v>8700</v>
      </c>
      <c r="H21" s="332">
        <v>8875</v>
      </c>
    </row>
    <row r="22" spans="6:8">
      <c r="F22" s="333" t="s">
        <v>519</v>
      </c>
      <c r="G22" s="32">
        <v>2000</v>
      </c>
      <c r="H22" s="332">
        <v>2550</v>
      </c>
    </row>
    <row r="23" spans="6:8">
      <c r="F23" s="333" t="s">
        <v>520</v>
      </c>
      <c r="G23" s="332">
        <v>46500</v>
      </c>
      <c r="H23" s="32">
        <v>117000</v>
      </c>
    </row>
    <row r="24" spans="6:8">
      <c r="F24" s="333" t="s">
        <v>521</v>
      </c>
      <c r="G24" s="32">
        <f>7500+5800</f>
        <v>13300</v>
      </c>
      <c r="H24" s="332">
        <v>18288</v>
      </c>
    </row>
    <row r="25" spans="6:8">
      <c r="F25" s="333" t="s">
        <v>522</v>
      </c>
      <c r="G25" s="32">
        <v>0</v>
      </c>
      <c r="H25" s="32">
        <v>11475</v>
      </c>
    </row>
    <row r="26" spans="6:8">
      <c r="F26" s="421" t="s">
        <v>523</v>
      </c>
      <c r="G26" s="328"/>
      <c r="H26" s="329">
        <v>10000</v>
      </c>
    </row>
    <row r="27" spans="6:8">
      <c r="F27" s="421"/>
      <c r="G27" s="328"/>
      <c r="H27" s="329">
        <v>56000</v>
      </c>
    </row>
    <row r="28" spans="6:8">
      <c r="F28" s="421"/>
      <c r="G28" s="328"/>
      <c r="H28" s="329">
        <v>80000</v>
      </c>
    </row>
    <row r="29" spans="6:8">
      <c r="F29" s="421"/>
      <c r="G29" s="328"/>
      <c r="H29" s="329">
        <v>43750</v>
      </c>
    </row>
    <row r="30" spans="6:8" ht="14.3" thickBot="1">
      <c r="F30" s="422"/>
      <c r="G30" s="330"/>
      <c r="H30" s="331">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topLeftCell="A7" workbookViewId="0">
      <selection activeCell="D34" sqref="D34"/>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23" t="s">
        <v>533</v>
      </c>
      <c r="C1" s="423"/>
      <c r="D1" s="423"/>
    </row>
    <row r="2" spans="2:5" ht="23.95" customHeight="1">
      <c r="B2" s="424" t="s">
        <v>532</v>
      </c>
      <c r="C2" s="425"/>
      <c r="D2" s="426"/>
    </row>
    <row r="3" spans="2:5" ht="14.3">
      <c r="B3" s="23" t="s">
        <v>160</v>
      </c>
      <c r="C3" s="22" t="s">
        <v>159</v>
      </c>
      <c r="D3" s="22" t="s">
        <v>157</v>
      </c>
      <c r="E3" s="12"/>
    </row>
    <row r="4" spans="2:5" s="12" customFormat="1" ht="16.5" customHeight="1">
      <c r="B4" s="10">
        <v>1</v>
      </c>
      <c r="C4" s="13" t="s">
        <v>154</v>
      </c>
      <c r="D4" s="14">
        <v>26020475</v>
      </c>
    </row>
    <row r="5" spans="2:5" s="12" customFormat="1" ht="16.5" customHeight="1">
      <c r="B5" s="10">
        <v>2</v>
      </c>
      <c r="C5" s="13" t="s">
        <v>29</v>
      </c>
      <c r="D5" s="14">
        <v>7012631</v>
      </c>
    </row>
    <row r="6" spans="2:5" s="12" customFormat="1" ht="16.5" customHeight="1">
      <c r="B6" s="10">
        <v>3</v>
      </c>
      <c r="C6" s="13" t="s">
        <v>153</v>
      </c>
      <c r="D6" s="14">
        <v>136973</v>
      </c>
    </row>
    <row r="7" spans="2:5" s="12" customFormat="1" ht="16.5" customHeight="1">
      <c r="B7" s="10">
        <v>4</v>
      </c>
      <c r="C7" s="13" t="s">
        <v>152</v>
      </c>
      <c r="D7" s="14">
        <v>5641335</v>
      </c>
    </row>
    <row r="8" spans="2:5" s="12" customFormat="1" ht="16.5" customHeight="1">
      <c r="B8" s="10">
        <v>5</v>
      </c>
      <c r="C8" s="13" t="s">
        <v>151</v>
      </c>
      <c r="D8" s="14">
        <v>689000</v>
      </c>
    </row>
    <row r="9" spans="2:5" s="12" customFormat="1" ht="16.5" customHeight="1">
      <c r="B9" s="10">
        <v>6</v>
      </c>
      <c r="C9" s="13" t="s">
        <v>150</v>
      </c>
      <c r="D9" s="14">
        <v>873880</v>
      </c>
    </row>
    <row r="10" spans="2:5" s="12" customFormat="1" ht="16.5" customHeight="1">
      <c r="B10" s="10">
        <v>7</v>
      </c>
      <c r="C10" s="13" t="s">
        <v>149</v>
      </c>
      <c r="D10" s="14">
        <v>2725391</v>
      </c>
    </row>
    <row r="11" spans="2:5" s="12" customFormat="1" ht="16.5" customHeight="1">
      <c r="B11" s="10">
        <v>8</v>
      </c>
      <c r="C11" s="13" t="s">
        <v>148</v>
      </c>
      <c r="D11" s="14">
        <v>1141255</v>
      </c>
    </row>
    <row r="12" spans="2:5" s="12" customFormat="1" ht="16.5" customHeight="1">
      <c r="B12" s="10"/>
      <c r="C12" s="21" t="s">
        <v>147</v>
      </c>
      <c r="D12" s="19">
        <v>44240940</v>
      </c>
    </row>
    <row r="13" spans="2:5" s="12" customFormat="1" ht="16.5" customHeight="1">
      <c r="B13" s="10">
        <v>9</v>
      </c>
      <c r="C13" s="13" t="s">
        <v>146</v>
      </c>
      <c r="D13" s="14">
        <v>221000</v>
      </c>
    </row>
    <row r="14" spans="2:5" s="12" customFormat="1" ht="16.5" customHeight="1">
      <c r="B14" s="10">
        <v>10</v>
      </c>
      <c r="C14" s="13" t="s">
        <v>145</v>
      </c>
      <c r="D14" s="14">
        <v>1156237</v>
      </c>
    </row>
    <row r="15" spans="2:5" s="12" customFormat="1" ht="16.5" customHeight="1">
      <c r="B15" s="10">
        <v>11</v>
      </c>
      <c r="C15" s="13" t="s">
        <v>144</v>
      </c>
      <c r="D15" s="14">
        <v>8985</v>
      </c>
    </row>
    <row r="16" spans="2:5" s="12" customFormat="1" ht="16.5" customHeight="1">
      <c r="B16" s="10">
        <v>12</v>
      </c>
      <c r="C16" s="13" t="s">
        <v>143</v>
      </c>
      <c r="D16" s="14">
        <v>496686</v>
      </c>
    </row>
    <row r="17" spans="2:4" s="12" customFormat="1" ht="16.5" customHeight="1">
      <c r="B17" s="10">
        <v>14</v>
      </c>
      <c r="C17" s="13" t="s">
        <v>142</v>
      </c>
      <c r="D17" s="14">
        <v>1749744</v>
      </c>
    </row>
    <row r="18" spans="2:4" s="12" customFormat="1" ht="16.5" customHeight="1">
      <c r="B18" s="10">
        <v>15</v>
      </c>
      <c r="C18" s="13" t="s">
        <v>141</v>
      </c>
      <c r="D18" s="14">
        <v>814670</v>
      </c>
    </row>
    <row r="19" spans="2:4" s="12" customFormat="1" ht="16.5" customHeight="1">
      <c r="B19" s="10"/>
      <c r="C19" s="21" t="s">
        <v>140</v>
      </c>
      <c r="D19" s="19">
        <v>4447322</v>
      </c>
    </row>
    <row r="20" spans="2:4" s="12" customFormat="1" ht="16.5" customHeight="1">
      <c r="B20" s="10"/>
      <c r="C20" s="20" t="s">
        <v>139</v>
      </c>
      <c r="D20" s="19">
        <v>48688262</v>
      </c>
    </row>
    <row r="21" spans="2:4" s="12" customFormat="1" ht="33.799999999999997" customHeight="1">
      <c r="B21" s="10">
        <v>16</v>
      </c>
      <c r="C21" s="15" t="s">
        <v>130</v>
      </c>
      <c r="D21" s="334">
        <v>1947530</v>
      </c>
    </row>
    <row r="22" spans="2:4" s="12" customFormat="1" ht="16.5" customHeight="1">
      <c r="B22" s="10"/>
      <c r="C22" s="20" t="s">
        <v>138</v>
      </c>
      <c r="D22" s="14">
        <v>8763887.1600000001</v>
      </c>
    </row>
    <row r="23" spans="2:4" s="12" customFormat="1" ht="16.5" customHeight="1">
      <c r="B23" s="10"/>
      <c r="C23" s="20" t="s">
        <v>213</v>
      </c>
      <c r="D23" s="19">
        <v>59399679.159999996</v>
      </c>
    </row>
    <row r="24" spans="2:4" s="12" customFormat="1" ht="17.350000000000001" customHeight="1">
      <c r="B24" s="10">
        <v>17</v>
      </c>
      <c r="C24" s="15" t="s">
        <v>137</v>
      </c>
      <c r="D24" s="14">
        <v>486882.62</v>
      </c>
    </row>
    <row r="25" spans="2:4" s="12" customFormat="1" ht="17.350000000000001" customHeight="1">
      <c r="B25" s="10">
        <v>18</v>
      </c>
      <c r="C25" s="15" t="s">
        <v>136</v>
      </c>
      <c r="D25" s="14">
        <v>48688.262000000002</v>
      </c>
    </row>
    <row r="26" spans="2:4" s="12" customFormat="1" ht="17.350000000000001" customHeight="1">
      <c r="B26" s="10">
        <v>19</v>
      </c>
      <c r="C26" s="15" t="s">
        <v>135</v>
      </c>
      <c r="D26" s="14">
        <v>448</v>
      </c>
    </row>
    <row r="27" spans="2:4" s="12" customFormat="1" ht="17.350000000000001" customHeight="1">
      <c r="B27" s="10">
        <v>20</v>
      </c>
      <c r="C27" s="15" t="s">
        <v>134</v>
      </c>
      <c r="D27" s="14">
        <v>134.4</v>
      </c>
    </row>
    <row r="28" spans="2:4" s="12" customFormat="1" ht="17.350000000000001" customHeight="1">
      <c r="B28" s="10">
        <v>21</v>
      </c>
      <c r="C28" s="15" t="s">
        <v>133</v>
      </c>
      <c r="D28" s="14">
        <v>8.9600000000000009</v>
      </c>
    </row>
    <row r="29" spans="2:4" s="12" customFormat="1" ht="17.350000000000001" customHeight="1">
      <c r="B29" s="10">
        <v>22</v>
      </c>
      <c r="C29" s="15" t="s">
        <v>132</v>
      </c>
      <c r="D29" s="14">
        <v>4868.8262000000004</v>
      </c>
    </row>
    <row r="30" spans="2:4" s="12" customFormat="1" ht="17.350000000000001" customHeight="1">
      <c r="B30" s="10">
        <v>23</v>
      </c>
      <c r="C30" s="11" t="s">
        <v>524</v>
      </c>
      <c r="D30" s="14">
        <v>541031</v>
      </c>
    </row>
    <row r="31" spans="2:4" s="12" customFormat="1" ht="17.350000000000001" customHeight="1">
      <c r="B31" s="10">
        <v>24</v>
      </c>
      <c r="C31" s="15" t="s">
        <v>131</v>
      </c>
      <c r="D31" s="14">
        <v>97385.58</v>
      </c>
    </row>
    <row r="32" spans="2:4" s="12" customFormat="1" ht="17.350000000000001" customHeight="1">
      <c r="B32" s="10">
        <v>25</v>
      </c>
      <c r="C32" s="15" t="s">
        <v>506</v>
      </c>
      <c r="D32" s="14">
        <v>0</v>
      </c>
    </row>
    <row r="33" spans="2:4" s="12" customFormat="1" ht="22.1" customHeight="1">
      <c r="B33" s="10"/>
      <c r="C33" s="11" t="s">
        <v>525</v>
      </c>
      <c r="D33" s="14">
        <v>638416.57999999996</v>
      </c>
    </row>
    <row r="34" spans="2:4" s="12" customFormat="1" ht="18.7" customHeight="1">
      <c r="B34" s="10"/>
      <c r="C34" s="20" t="s">
        <v>531</v>
      </c>
      <c r="D34" s="19">
        <v>60038095.739999995</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vt:lpstr>
      <vt:lpstr>ABSTRACT</vt:lpstr>
      <vt:lpstr>SEIGNORAGE</vt:lpstr>
      <vt:lpstr>Civil Data</vt:lpstr>
      <vt:lpstr>Sheet1</vt:lpstr>
      <vt:lpstr>GA</vt:lpstr>
      <vt:lpstr>ABSTRACT!Print_Area</vt:lpstr>
      <vt:lpstr>'Civil Data'!Print_Area</vt:lpstr>
      <vt:lpstr>RE!Print_Area</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2024-07-17T11:41:07Z</cp:lastPrinted>
  <dcterms:created xsi:type="dcterms:W3CDTF">2023-11-15T06:17:09Z</dcterms:created>
  <dcterms:modified xsi:type="dcterms:W3CDTF">2024-07-22T07:54:47Z</dcterms:modified>
</cp:coreProperties>
</file>