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0" windowWidth="20731" windowHeight="11656"/>
  </bookViews>
  <sheets>
    <sheet name="RE" sheetId="1" r:id="rId1"/>
    <sheet name="ABSTRACT" sheetId="3" r:id="rId2"/>
    <sheet name="SEIGNORAGE" sheetId="2" r:id="rId3"/>
    <sheet name="Civil Data" sheetId="5" r:id="rId4"/>
    <sheet name="Sheet1" sheetId="6" r:id="rId5"/>
    <sheet name="GA" sheetId="7" r:id="rId6"/>
    <sheet name="EQP_List" sheetId="8" r:id="rId7"/>
  </sheets>
  <externalReferences>
    <externalReference r:id="rId8"/>
    <externalReference r:id="rId9"/>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#REF!</definedName>
    <definedName name="____________________________________________________________l4">#REF!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#REF!</definedName>
    <definedName name="___________________________________________________________l2">#REF!</definedName>
    <definedName name="___________________________________________________________l3">#REF!</definedName>
    <definedName name="___________________________________________________________l4">#REF!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#REF!</definedName>
    <definedName name="__________________________________________________________l2">#REF!</definedName>
    <definedName name="__________________________________________________________l3">#REF!</definedName>
    <definedName name="__________________________________________________________l4">#REF!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#REF!</definedName>
    <definedName name="_________________________________________________________l2">#REF!</definedName>
    <definedName name="_________________________________________________________l3">#REF!</definedName>
    <definedName name="_________________________________________________________l4">#REF!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#REF!</definedName>
    <definedName name="________________________________________________________l2">#REF!</definedName>
    <definedName name="________________________________________________________l3">#REF!</definedName>
    <definedName name="________________________________________________________l4">#REF!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#REF!</definedName>
    <definedName name="_______________________________________________________l2">#REF!</definedName>
    <definedName name="_______________________________________________________l3">#REF!</definedName>
    <definedName name="_______________________________________________________l4">#REF!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#REF!</definedName>
    <definedName name="______________________________________________________l2">#REF!</definedName>
    <definedName name="______________________________________________________l3">#REF!</definedName>
    <definedName name="______________________________________________________l4">#REF!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#REF!</definedName>
    <definedName name="_____________________________________________________l2">#REF!</definedName>
    <definedName name="_____________________________________________________l3">#REF!</definedName>
    <definedName name="_____________________________________________________l4">#REF!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#REF!</definedName>
    <definedName name="____________________________________________________l2">#REF!</definedName>
    <definedName name="____________________________________________________l3">#REF!</definedName>
    <definedName name="____________________________________________________l4">#REF!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#REF!</definedName>
    <definedName name="___________________________________________________l2">#REF!</definedName>
    <definedName name="___________________________________________________l3">#REF!</definedName>
    <definedName name="___________________________________________________l4">#REF!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#REF!</definedName>
    <definedName name="__________________________________________________l2">#REF!</definedName>
    <definedName name="__________________________________________________l3">#REF!</definedName>
    <definedName name="__________________________________________________l4">#REF!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#REF!</definedName>
    <definedName name="_________________________________________________l2">#REF!</definedName>
    <definedName name="_________________________________________________l3">#REF!</definedName>
    <definedName name="_________________________________________________l4">#REF!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#REF!</definedName>
    <definedName name="________________________________________________l2">#REF!</definedName>
    <definedName name="________________________________________________l3">#REF!</definedName>
    <definedName name="________________________________________________l4">#REF!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#REF!</definedName>
    <definedName name="_______________________________________________l2">#REF!</definedName>
    <definedName name="_______________________________________________l3">#REF!</definedName>
    <definedName name="_______________________________________________l4">#REF!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#REF!</definedName>
    <definedName name="______________________________________________l2">#REF!</definedName>
    <definedName name="______________________________________________l3">#REF!</definedName>
    <definedName name="______________________________________________l4">#REF!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#REF!</definedName>
    <definedName name="_____________________________________________l2">#REF!</definedName>
    <definedName name="_____________________________________________l3">#REF!</definedName>
    <definedName name="_____________________________________________l4">#REF!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#REF!</definedName>
    <definedName name="____________________________________________l2">#REF!</definedName>
    <definedName name="____________________________________________l3">#REF!</definedName>
    <definedName name="____________________________________________l4">#REF!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#REF!</definedName>
    <definedName name="___________________________________________l2">#REF!</definedName>
    <definedName name="___________________________________________l3">#REF!</definedName>
    <definedName name="___________________________________________l4">#REF!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#REF!</definedName>
    <definedName name="__________________________________________l2">#REF!</definedName>
    <definedName name="__________________________________________l3">#REF!</definedName>
    <definedName name="__________________________________________l4">#REF!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#REF!</definedName>
    <definedName name="_________________________________________l2">#REF!</definedName>
    <definedName name="_________________________________________l3">#REF!</definedName>
    <definedName name="_________________________________________l4">#REF!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#REF!</definedName>
    <definedName name="________________________________________l1">#REF!</definedName>
    <definedName name="________________________________________l12">#REF!</definedName>
    <definedName name="________________________________________l2">#REF!</definedName>
    <definedName name="________________________________________l3">#REF!</definedName>
    <definedName name="________________________________________l4">#REF!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#REF!</definedName>
    <definedName name="_______________________________________l2">#REF!</definedName>
    <definedName name="_______________________________________l3">#REF!</definedName>
    <definedName name="_______________________________________l4">#REF!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#REF!</definedName>
    <definedName name="______________________________________l1">#REF!</definedName>
    <definedName name="______________________________________l12">#REF!</definedName>
    <definedName name="______________________________________l2">#REF!</definedName>
    <definedName name="______________________________________l3">#REF!</definedName>
    <definedName name="______________________________________l4">#REF!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#REF!</definedName>
    <definedName name="_____________________________________l1">#REF!</definedName>
    <definedName name="_____________________________________l12">#REF!</definedName>
    <definedName name="_____________________________________l2">#REF!</definedName>
    <definedName name="_____________________________________l3">#REF!</definedName>
    <definedName name="_____________________________________l4">#REF!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#REF!</definedName>
    <definedName name="____________________________________l2">#REF!</definedName>
    <definedName name="____________________________________l3">#REF!</definedName>
    <definedName name="____________________________________l4">#REF!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#REF!</definedName>
    <definedName name="___________________________________l1">#REF!</definedName>
    <definedName name="___________________________________l12">#REF!</definedName>
    <definedName name="___________________________________l2">#REF!</definedName>
    <definedName name="___________________________________l3">#REF!</definedName>
    <definedName name="___________________________________l4">#REF!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#REF!</definedName>
    <definedName name="__________________________________l2">#REF!</definedName>
    <definedName name="__________________________________l3">#REF!</definedName>
    <definedName name="__________________________________l4">#REF!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#REF!</definedName>
    <definedName name="_________________________________l1">#REF!</definedName>
    <definedName name="_________________________________l12">#REF!</definedName>
    <definedName name="_________________________________l2">#REF!</definedName>
    <definedName name="_________________________________l3">#REF!</definedName>
    <definedName name="_________________________________l4">#REF!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#REF!</definedName>
    <definedName name="________________________________l2">#REF!</definedName>
    <definedName name="________________________________l3">#REF!</definedName>
    <definedName name="________________________________l4">#REF!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#REF!</definedName>
    <definedName name="_______________________________l12">#REF!</definedName>
    <definedName name="_______________________________l2">#REF!</definedName>
    <definedName name="_______________________________l3">#REF!</definedName>
    <definedName name="_______________________________l4">#REF!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#REF!</definedName>
    <definedName name="______________________________l12">#REF!</definedName>
    <definedName name="______________________________l2">#REF!</definedName>
    <definedName name="______________________________l3">#REF!</definedName>
    <definedName name="______________________________l4">#REF!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#REF!</definedName>
    <definedName name="_____________________________l12">#REF!</definedName>
    <definedName name="_____________________________l2">#REF!</definedName>
    <definedName name="_____________________________l3">#REF!</definedName>
    <definedName name="_____________________________l4">#REF!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#REF!</definedName>
    <definedName name="____________________________l12">#REF!</definedName>
    <definedName name="____________________________l2">#REF!</definedName>
    <definedName name="____________________________l3">#REF!</definedName>
    <definedName name="____________________________l4">#REF!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#REF!</definedName>
    <definedName name="____________________________var4">#REF!</definedName>
    <definedName name="____________________________vat1">NA()</definedName>
    <definedName name="___________________________bla1">#REF!</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#REF!</definedName>
    <definedName name="___________________________l12">#REF!</definedName>
    <definedName name="___________________________l2">#REF!</definedName>
    <definedName name="___________________________l3">#REF!</definedName>
    <definedName name="___________________________l4">#REF!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#REF!</definedName>
    <definedName name="__________________________l12">#REF!</definedName>
    <definedName name="__________________________l2">#REF!</definedName>
    <definedName name="__________________________l3">#REF!</definedName>
    <definedName name="__________________________l4">#REF!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#REF!</definedName>
    <definedName name="__________________________mm11">#REF!</definedName>
    <definedName name="__________________________mm111">#REF!</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#REF!</definedName>
    <definedName name="__________________________var4">#REF!</definedName>
    <definedName name="__________________________vat1">NA()</definedName>
    <definedName name="_________________________bla1">#REF!</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#REF!</definedName>
    <definedName name="_________________________l12">#REF!</definedName>
    <definedName name="_________________________l2">#REF!</definedName>
    <definedName name="_________________________l3">#REF!</definedName>
    <definedName name="_________________________l4">#REF!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#REF!</definedName>
    <definedName name="_________________________mm11">#REF!</definedName>
    <definedName name="_________________________mm111">#REF!</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#REF!</definedName>
    <definedName name="________________________l12">#REF!</definedName>
    <definedName name="________________________l2">#REF!</definedName>
    <definedName name="________________________l3">#REF!</definedName>
    <definedName name="________________________l4">#REF!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#REF!</definedName>
    <definedName name="________________________mm1000">#REF!</definedName>
    <definedName name="________________________mm11">#REF!</definedName>
    <definedName name="________________________mm111">#REF!</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#REF!</definedName>
    <definedName name="________________________var4">#REF!</definedName>
    <definedName name="________________________vat1">NA()</definedName>
    <definedName name="_______________________bla1">#REF!</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#REF!</definedName>
    <definedName name="_______________________l2">#REF!</definedName>
    <definedName name="_______________________l3">#REF!</definedName>
    <definedName name="_______________________l4">#REF!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#REF!</definedName>
    <definedName name="_______________________mm11">#REF!</definedName>
    <definedName name="_______________________mm111">#REF!</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#REF!</definedName>
    <definedName name="_______________________var4">#REF!</definedName>
    <definedName name="_______________________vat1">NA()</definedName>
    <definedName name="______________________bla1">#REF!</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#REF!</definedName>
    <definedName name="______________________l2">#REF!</definedName>
    <definedName name="______________________l3">#REF!</definedName>
    <definedName name="______________________l4">#REF!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#REF!</definedName>
    <definedName name="______________________mm1000">#REF!</definedName>
    <definedName name="______________________mm11">#REF!</definedName>
    <definedName name="______________________mm111">#REF!</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#REF!</definedName>
    <definedName name="______________________var4">#REF!</definedName>
    <definedName name="______________________vat1">NA()</definedName>
    <definedName name="_____________________bla1">#REF!</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#REF!</definedName>
    <definedName name="_____________________knr2">NA()</definedName>
    <definedName name="_____________________l1">#REF!</definedName>
    <definedName name="_____________________l12">#REF!</definedName>
    <definedName name="_____________________l2">#REF!</definedName>
    <definedName name="_____________________l3">#REF!</definedName>
    <definedName name="_____________________l4">#REF!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#REF!</definedName>
    <definedName name="_____________________lj900">#REF!</definedName>
    <definedName name="_____________________LL3">#REF!</definedName>
    <definedName name="_____________________LSO24">#REF!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#REF!</definedName>
    <definedName name="_____________________mm1000">#REF!</definedName>
    <definedName name="_____________________mm11">#REF!</definedName>
    <definedName name="_____________________mm111">#REF!</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#REF!</definedName>
    <definedName name="_____________________var4">#REF!</definedName>
    <definedName name="_____________________vat1">NA()</definedName>
    <definedName name="____________________bla1">#REF!</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#REF!</definedName>
    <definedName name="____________________knr2">#REF!</definedName>
    <definedName name="____________________l1">#REF!</definedName>
    <definedName name="____________________l12">#REF!</definedName>
    <definedName name="____________________l2">#REF!</definedName>
    <definedName name="____________________l3">#REF!</definedName>
    <definedName name="____________________l4">#REF!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#REF!</definedName>
    <definedName name="____________________lj900">#REF!</definedName>
    <definedName name="____________________LL3">#REF!</definedName>
    <definedName name="____________________LSO24">#REF!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#REF!</definedName>
    <definedName name="____________________mm1000">#REF!</definedName>
    <definedName name="____________________mm11">#REF!</definedName>
    <definedName name="____________________mm111">#REF!</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#REF!</definedName>
    <definedName name="____________________var4">#REF!</definedName>
    <definedName name="____________________vat1">NA()</definedName>
    <definedName name="___________________bla1">#REF!</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#REF!</definedName>
    <definedName name="___________________knr2">NA()</definedName>
    <definedName name="___________________l1">#REF!</definedName>
    <definedName name="___________________l12">#REF!</definedName>
    <definedName name="___________________l2">#REF!</definedName>
    <definedName name="___________________l3">#REF!</definedName>
    <definedName name="___________________l4">#REF!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#REF!</definedName>
    <definedName name="___________________lj900">#REF!</definedName>
    <definedName name="___________________LL3">#REF!</definedName>
    <definedName name="___________________LSO24">#REF!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#REF!</definedName>
    <definedName name="___________________mm1000">#REF!</definedName>
    <definedName name="___________________mm11">#REF!</definedName>
    <definedName name="___________________mm111">#REF!</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#REF!</definedName>
    <definedName name="___________________var4">#REF!</definedName>
    <definedName name="___________________vat1">NA()</definedName>
    <definedName name="__________________bla1">#REF!</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#REF!</definedName>
    <definedName name="__________________knr2">#REF!</definedName>
    <definedName name="__________________l1">#REF!</definedName>
    <definedName name="__________________l12">#REF!</definedName>
    <definedName name="__________________l2">#REF!</definedName>
    <definedName name="__________________l3">#REF!</definedName>
    <definedName name="__________________l4">#REF!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#REF!</definedName>
    <definedName name="__________________lj900">#REF!</definedName>
    <definedName name="__________________LL3">#REF!</definedName>
    <definedName name="__________________LSO24">#REF!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#REF!</definedName>
    <definedName name="__________________mm1000">#REF!</definedName>
    <definedName name="__________________mm11">#REF!</definedName>
    <definedName name="__________________mm111">#REF!</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#REF!</definedName>
    <definedName name="__________________var4">#REF!</definedName>
    <definedName name="__________________vat1">NA()</definedName>
    <definedName name="_________________bla1">#REF!</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#REF!</definedName>
    <definedName name="_________________knr2">#REF!</definedName>
    <definedName name="_________________l1">#REF!</definedName>
    <definedName name="_________________l12">#REF!</definedName>
    <definedName name="_________________l2">#REF!</definedName>
    <definedName name="_________________l3">#REF!</definedName>
    <definedName name="_________________l4">#REF!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#REF!</definedName>
    <definedName name="_________________lj900">#REF!</definedName>
    <definedName name="_________________LL3">#REF!</definedName>
    <definedName name="_________________LSO24">#REF!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#REF!</definedName>
    <definedName name="_________________mm1000">#REF!</definedName>
    <definedName name="_________________mm11">#REF!</definedName>
    <definedName name="_________________mm111">#REF!</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#REF!</definedName>
    <definedName name="_________________var4">#REF!</definedName>
    <definedName name="_________________vat1">NA()</definedName>
    <definedName name="________________bla1">#REF!</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#REF!</definedName>
    <definedName name="________________knr2">#REF!</definedName>
    <definedName name="________________l1">#REF!</definedName>
    <definedName name="________________l12">#REF!</definedName>
    <definedName name="________________l2">#REF!</definedName>
    <definedName name="________________l3">#REF!</definedName>
    <definedName name="________________l4">#REF!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#REF!</definedName>
    <definedName name="________________lj900">#REF!</definedName>
    <definedName name="________________LL3">#REF!</definedName>
    <definedName name="________________LSO24">#REF!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#REF!</definedName>
    <definedName name="________________mm1000">#REF!</definedName>
    <definedName name="________________mm11">#REF!</definedName>
    <definedName name="________________mm111">#REF!</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#REF!</definedName>
    <definedName name="________________var4">#REF!</definedName>
    <definedName name="________________vat1">NA()</definedName>
    <definedName name="_______________bla1">#REF!</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#REF!</definedName>
    <definedName name="_______________knr2">#REF!</definedName>
    <definedName name="_______________l1">#REF!</definedName>
    <definedName name="_______________l12">#REF!</definedName>
    <definedName name="_______________l2">#REF!</definedName>
    <definedName name="_______________l3">#REF!</definedName>
    <definedName name="_______________l4">#REF!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#REF!</definedName>
    <definedName name="_______________lj900">#REF!</definedName>
    <definedName name="_______________LL3">#REF!</definedName>
    <definedName name="_______________LSO24">#REF!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#REF!</definedName>
    <definedName name="_______________mm1000">#REF!</definedName>
    <definedName name="_______________mm11">#REF!</definedName>
    <definedName name="_______________mm111">#REF!</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#REF!</definedName>
    <definedName name="_______________var4">#REF!</definedName>
    <definedName name="_______________vat1">NA()</definedName>
    <definedName name="______________bla1">#REF!</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#REF!</definedName>
    <definedName name="______________knr2">#REF!</definedName>
    <definedName name="______________l1">#REF!</definedName>
    <definedName name="______________l12">#REF!</definedName>
    <definedName name="______________l2">#REF!</definedName>
    <definedName name="______________l3">#REF!</definedName>
    <definedName name="______________l4">#REF!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#REF!</definedName>
    <definedName name="______________lj900">#REF!</definedName>
    <definedName name="______________LL3">#REF!</definedName>
    <definedName name="______________LSO24">#REF!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#REF!</definedName>
    <definedName name="______________mm1000">#REF!</definedName>
    <definedName name="______________mm11">#REF!</definedName>
    <definedName name="______________mm111">#REF!</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#REF!</definedName>
    <definedName name="______________var4">#REF!</definedName>
    <definedName name="______________vat1">NA()</definedName>
    <definedName name="_____________bla1">#REF!</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#REF!</definedName>
    <definedName name="_____________knr2">#REF!</definedName>
    <definedName name="_____________l1">#REF!</definedName>
    <definedName name="_____________l12">#REF!</definedName>
    <definedName name="_____________l2">#REF!</definedName>
    <definedName name="_____________l3">#REF!</definedName>
    <definedName name="_____________l4">#REF!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#REF!</definedName>
    <definedName name="_____________lj900">#REF!</definedName>
    <definedName name="_____________LL3">#REF!</definedName>
    <definedName name="_____________LSO24">#REF!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#REF!</definedName>
    <definedName name="_____________mm1000">#REF!</definedName>
    <definedName name="_____________mm11">#REF!</definedName>
    <definedName name="_____________mm111">#REF!</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#REF!</definedName>
    <definedName name="_____________var4">#REF!</definedName>
    <definedName name="_____________vat1">NA()</definedName>
    <definedName name="____________bla1">#REF!</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#REF!</definedName>
    <definedName name="____________knr2">NA()</definedName>
    <definedName name="____________l1">#REF!</definedName>
    <definedName name="____________l12">#REF!</definedName>
    <definedName name="____________l2">#REF!</definedName>
    <definedName name="____________l3">#REF!</definedName>
    <definedName name="____________l4">#REF!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#REF!</definedName>
    <definedName name="____________lj900">#REF!</definedName>
    <definedName name="____________LL3">#REF!</definedName>
    <definedName name="____________LSO24">#REF!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#REF!</definedName>
    <definedName name="____________mm1000">#REF!</definedName>
    <definedName name="____________mm11">#REF!</definedName>
    <definedName name="____________mm111">#REF!</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#REF!</definedName>
    <definedName name="___________knr2">NA()</definedName>
    <definedName name="___________l1">#REF!</definedName>
    <definedName name="___________l12">#REF!</definedName>
    <definedName name="___________l2">#REF!</definedName>
    <definedName name="___________l3">#REF!</definedName>
    <definedName name="___________l4">#REF!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#REF!</definedName>
    <definedName name="___________mm1000">#REF!</definedName>
    <definedName name="___________mm11">#REF!</definedName>
    <definedName name="___________mm111">#REF!</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#REF!</definedName>
    <definedName name="__________KC139">NA()</definedName>
    <definedName name="__________knr2">NA()</definedName>
    <definedName name="__________l1">#REF!</definedName>
    <definedName name="__________l12">#REF!</definedName>
    <definedName name="__________l2">#REF!</definedName>
    <definedName name="__________l3">#REF!</definedName>
    <definedName name="__________l4">#REF!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#REF!</definedName>
    <definedName name="__________lj900">#REF!</definedName>
    <definedName name="__________LL3">#REF!</definedName>
    <definedName name="__________LSO24">#REF!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#REF!</definedName>
    <definedName name="__________mm1000">#REF!</definedName>
    <definedName name="__________mm11">#REF!</definedName>
    <definedName name="__________mm111">#REF!</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#REF!</definedName>
    <definedName name="_________l2">#REF!</definedName>
    <definedName name="_________l3">#REF!</definedName>
    <definedName name="_________l4">#REF!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#REF!</definedName>
    <definedName name="_________mm11">#REF!</definedName>
    <definedName name="_________mm111">#REF!</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#REF!</definedName>
    <definedName name="_________rr3">#REF!</definedName>
    <definedName name="_________rrr1">#REF!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#REF!</definedName>
    <definedName name="________l2">#REF!</definedName>
    <definedName name="________l3">#REF!</definedName>
    <definedName name="________l4">#REF!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#REF!</definedName>
    <definedName name="_______l2">#REF!</definedName>
    <definedName name="_______l3">#REF!</definedName>
    <definedName name="_______l4">#REF!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#REF!</definedName>
    <definedName name="_______rr3">#REF!</definedName>
    <definedName name="_______rrr1">#REF!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#REF!</definedName>
    <definedName name="______f1">NA()</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#REF!</definedName>
    <definedName name="______l2">#REF!</definedName>
    <definedName name="______l3">#REF!</definedName>
    <definedName name="______l4">#REF!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#REF!</definedName>
    <definedName name="_____bla1">#REF!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#REF!</definedName>
    <definedName name="_____f1">NA()</definedName>
    <definedName name="_____G120907">#REF!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#REF!</definedName>
    <definedName name="_____l2">#REF!</definedName>
    <definedName name="_____l3">#REF!</definedName>
    <definedName name="_____l4">#REF!</definedName>
    <definedName name="_____l5">#REF!</definedName>
    <definedName name="_____l6">#REF!</definedName>
    <definedName name="_____l7">#REF!</definedName>
    <definedName name="_____l8">#REF!</definedName>
    <definedName name="_____l9">#REF!</definedName>
    <definedName name="_____LJ6">#REF!</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#REF!</definedName>
    <definedName name="_____rrr1">#REF!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#REF!</definedName>
    <definedName name="____ewe1">NA()</definedName>
    <definedName name="____f1">NA()</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#REF!</definedName>
    <definedName name="____l1">#REF!</definedName>
    <definedName name="____l12">#REF!</definedName>
    <definedName name="____l2">#REF!</definedName>
    <definedName name="____l3">#REF!</definedName>
    <definedName name="____l4">#REF!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#REF!</definedName>
    <definedName name="___ewe1">NA()</definedName>
    <definedName name="___f1">NA()</definedName>
    <definedName name="___G120907">#REF!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#REF!</definedName>
    <definedName name="___KNR3">NA()</definedName>
    <definedName name="___l1">#REF!</definedName>
    <definedName name="___l12">#REF!</definedName>
    <definedName name="___l2">#REF!</definedName>
    <definedName name="___l3">#REF!</definedName>
    <definedName name="___l4">#REF!</definedName>
    <definedName name="___l5">#REF!</definedName>
    <definedName name="___l6">#REF!</definedName>
    <definedName name="___l7">#REF!</definedName>
    <definedName name="___l8">#REF!</definedName>
    <definedName name="___l9">#REF!</definedName>
    <definedName name="___LJ6">#REF!</definedName>
    <definedName name="___lj600">#REF!</definedName>
    <definedName name="___lj90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#REF!</definedName>
    <definedName name="___rrr1">#REF!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#REF!</definedName>
    <definedName name="__AUX111">#REF!</definedName>
    <definedName name="__aux2">#REF!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#REF!</definedName>
    <definedName name="__ewe1">NA()</definedName>
    <definedName name="__f1">NA()</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#REF!</definedName>
    <definedName name="__KNR3">NA()</definedName>
    <definedName name="__l1">#REF!</definedName>
    <definedName name="__l12">#REF!</definedName>
    <definedName name="__l2">#REF!</definedName>
    <definedName name="__l3">#REF!</definedName>
    <definedName name="__l4">#REF!</definedName>
    <definedName name="__l5">#REF!</definedName>
    <definedName name="__l6">#REF!</definedName>
    <definedName name="__l7">#REF!</definedName>
    <definedName name="__l8">#REF!</definedName>
    <definedName name="__l9">#REF!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#REF!</definedName>
    <definedName name="__QS40">#REF!</definedName>
    <definedName name="__rr3">#REF!</definedName>
    <definedName name="__rrr1">#REF!</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#REF!</definedName>
    <definedName name="__TB2">#REF!</definedName>
    <definedName name="__tw2">#REF!</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#REF!</definedName>
    <definedName name="_E05">#REF!</definedName>
    <definedName name="_E12">#REF!</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#REF!</definedName>
    <definedName name="_xlnm._FilterDatabase" localSheetId="6" hidden="1">EQP_List!$E$1:$E$48</definedName>
    <definedName name="_xlnm._FilterDatabase" localSheetId="0" hidden="1">RE!$L$1:$L$771</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#REF!</definedName>
    <definedName name="_l12">#REF!</definedName>
    <definedName name="_l2">#REF!</definedName>
    <definedName name="_l3">#REF!</definedName>
    <definedName name="_l4">#REF!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#REF!</definedName>
    <definedName name="_M38">#REF!</definedName>
    <definedName name="_M55">NA()</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#REF!</definedName>
    <definedName name="_pipe_con_700">#REF!</definedName>
    <definedName name="_pipe_ic_1100">#REF!</definedName>
    <definedName name="_pipe_ic_50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#REF!</definedName>
    <definedName name="cx">NA()</definedName>
    <definedName name="d">#REF!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#REF!</definedName>
    <definedName name="djb">NA()</definedName>
    <definedName name="DJD">NA()</definedName>
    <definedName name="DJE">NA()</definedName>
    <definedName name="DKDK">#REF!</definedName>
    <definedName name="DM">NA()</definedName>
    <definedName name="Dname">#REF!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#REF!</definedName>
    <definedName name="EWCONVEYANCE">NA()</definedName>
    <definedName name="ewe">#REF!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#REF!</definedName>
    <definedName name="GI_CLL">#REF!</definedName>
    <definedName name="GI_D_R">#REF!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#REF!</definedName>
    <definedName name="GPC">#REF!</definedName>
    <definedName name="GPF">NA()</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#REF!</definedName>
    <definedName name="guiol">#REF!</definedName>
    <definedName name="GULOADING">NA()</definedName>
    <definedName name="Gunduvarigudem">NA()</definedName>
    <definedName name="GUS">#REF!</definedName>
    <definedName name="GUSAUX">#REF!</definedName>
    <definedName name="GUSSW">#REF!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#REF!</definedName>
    <definedName name="LEAD_Y1">NA()</definedName>
    <definedName name="LEAD_Y2">NA()</definedName>
    <definedName name="lead3">#REF!</definedName>
    <definedName name="leada">NA()</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#REF!</definedName>
    <definedName name="N_S_P">NA()</definedName>
    <definedName name="nagara">#REF!</definedName>
    <definedName name="nagaraj">#REF!</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#REF!</definedName>
    <definedName name="new_111">Scheduled_Payment+Extra_Payment</definedName>
    <definedName name="newdata">#REF!</definedName>
    <definedName name="nh">NA()</definedName>
    <definedName name="NH4vorklmg">#REF!</definedName>
    <definedName name="nl">#REF!</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#REF!</definedName>
    <definedName name="OHBRCOLUMNONETOSIX">#REF!</definedName>
    <definedName name="OHBRCOLUMNSEVENTOTHIRTEEN">#REF!</definedName>
    <definedName name="OHR">#REF!</definedName>
    <definedName name="ohs">NA()</definedName>
    <definedName name="OHSR">NA()</definedName>
    <definedName name="OHSR2">NA()</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#REF!</definedName>
    <definedName name="Prasad">#REF!</definedName>
    <definedName name="praveen">#REF!</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ABSTRACT!$B$1:$I$41</definedName>
    <definedName name="_xlnm.Print_Area" localSheetId="3">'Civil Data'!$B$2:$I$115</definedName>
    <definedName name="_xlnm.Print_Area" localSheetId="0">RE!$A$1:$N$769</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1">ABSTRACT!$3:$3</definedName>
    <definedName name="_xlnm.Print_Titles" localSheetId="0">RE!$2:$3</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#REF!</definedName>
    <definedName name="Q_EW_FOUND">NA()</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#REF!</definedName>
    <definedName name="Q_GROUT_REV">NA()</definedName>
    <definedName name="Q_GS">NA()</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#REF!</definedName>
    <definedName name="Q_PLAST">NA()</definedName>
    <definedName name="Q_REV300">NA()</definedName>
    <definedName name="Q_SANDFILL">NA()</definedName>
    <definedName name="Q_SCAR_BT">NA()</definedName>
    <definedName name="Q_SCAR_GRA">NA()</definedName>
    <definedName name="Q_SCSD">#REF!</definedName>
    <definedName name="Q_SCSD_6070">NA()</definedName>
    <definedName name="Q_SCSD_80100">NA()</definedName>
    <definedName name="Q_SDBC">#REF!</definedName>
    <definedName name="Q_TACK">#REF!</definedName>
    <definedName name="Q_WBM2">#REF!</definedName>
    <definedName name="Q_WBM3">#REF!</definedName>
    <definedName name="Q_WMM">NA()</definedName>
    <definedName name="QQ">#REF!</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#REF!</definedName>
    <definedName name="rates1">#REF!</definedName>
    <definedName name="rates11">#REF!</definedName>
    <definedName name="rates4">#REF!</definedName>
    <definedName name="ratesand">#REF!</definedName>
    <definedName name="Ravu">#REF!</definedName>
    <definedName name="rax">#REF!</definedName>
    <definedName name="rb">#REF!</definedName>
    <definedName name="rbsw">NA()</definedName>
    <definedName name="rbw">NA()</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#REF!</definedName>
    <definedName name="Road_Roller">NA()</definedName>
    <definedName name="Road_Sections_list">#REF!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#REF!</definedName>
    <definedName name="rrrrrrrrr">"[71]material!#ref!"</definedName>
    <definedName name="rrs">#REF!</definedName>
    <definedName name="rs">NA()</definedName>
    <definedName name="RSDP">#REF!</definedName>
    <definedName name="rstone">#REF!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#REF!</definedName>
    <definedName name="saa">"[307]data_bit_i!#ref!"</definedName>
    <definedName name="Saas">"[71]works!#ref!"</definedName>
    <definedName name="sad">#REF!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#REF!</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#REF!</definedName>
    <definedName name="vertical">#REF!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#REF!</definedName>
    <definedName name="wsss">#REF!</definedName>
    <definedName name="wsw">NA()</definedName>
    <definedName name="wtd">NA()</definedName>
    <definedName name="ww">#REF!</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#REF!</definedName>
    <definedName name="yu">NA()</definedName>
    <definedName name="YY">#REF!</definedName>
    <definedName name="YYYY">#REF!</definedName>
    <definedName name="yyyyy">NA()</definedName>
    <definedName name="yyyyyyyyyyyyy">"[71]material!#ref!"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45621"/>
</workbook>
</file>

<file path=xl/calcChain.xml><?xml version="1.0" encoding="utf-8"?>
<calcChain xmlns="http://schemas.openxmlformats.org/spreadsheetml/2006/main">
  <c r="L770" i="1" l="1"/>
  <c r="M13" i="3"/>
  <c r="M12" i="3"/>
  <c r="M11" i="3"/>
  <c r="K764" i="1" l="1"/>
  <c r="L764" i="1" s="1"/>
  <c r="K763" i="1"/>
  <c r="M763" i="1" s="1"/>
  <c r="P762" i="1"/>
  <c r="K762" i="1"/>
  <c r="L762" i="1" s="1"/>
  <c r="P761" i="1"/>
  <c r="K761" i="1"/>
  <c r="L761" i="1" s="1"/>
  <c r="K760" i="1"/>
  <c r="M760" i="1" s="1"/>
  <c r="K759" i="1"/>
  <c r="L759" i="1" s="1"/>
  <c r="K758" i="1"/>
  <c r="L758" i="1" s="1"/>
  <c r="K757" i="1"/>
  <c r="L757" i="1" s="1"/>
  <c r="K756" i="1"/>
  <c r="L756" i="1" s="1"/>
  <c r="K755" i="1"/>
  <c r="L755" i="1" s="1"/>
  <c r="K754" i="1"/>
  <c r="L754" i="1" s="1"/>
  <c r="K753" i="1"/>
  <c r="M753" i="1" s="1"/>
  <c r="K752" i="1"/>
  <c r="M752" i="1" s="1"/>
  <c r="K751" i="1"/>
  <c r="L751" i="1" s="1"/>
  <c r="K750" i="1"/>
  <c r="M750" i="1" s="1"/>
  <c r="K749" i="1"/>
  <c r="M749" i="1" s="1"/>
  <c r="K748" i="1"/>
  <c r="M748" i="1" s="1"/>
  <c r="K747" i="1"/>
  <c r="M747" i="1" s="1"/>
  <c r="K746" i="1"/>
  <c r="M746" i="1" s="1"/>
  <c r="K745" i="1"/>
  <c r="M745" i="1" s="1"/>
  <c r="K744" i="1"/>
  <c r="M744" i="1" s="1"/>
  <c r="K743" i="1"/>
  <c r="M743" i="1" s="1"/>
  <c r="K742" i="1"/>
  <c r="M742" i="1" s="1"/>
  <c r="K741" i="1"/>
  <c r="M741" i="1" s="1"/>
  <c r="K765" i="1" l="1"/>
  <c r="L749" i="1"/>
  <c r="L752" i="1"/>
  <c r="L760" i="1"/>
  <c r="L763" i="1"/>
  <c r="M761" i="1"/>
  <c r="M762" i="1"/>
  <c r="M751" i="1"/>
  <c r="L753" i="1"/>
  <c r="L750" i="1"/>
  <c r="L745" i="1"/>
  <c r="L741" i="1"/>
  <c r="L743" i="1"/>
  <c r="L747" i="1"/>
  <c r="L742" i="1"/>
  <c r="L744" i="1"/>
  <c r="L746" i="1"/>
  <c r="L748" i="1"/>
  <c r="M765" i="1" l="1"/>
  <c r="H19" i="3" s="1"/>
  <c r="F19" i="3"/>
  <c r="L765" i="1"/>
  <c r="G19" i="3" s="1"/>
  <c r="B48" i="8" l="1"/>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G33" i="3" l="1"/>
  <c r="Q19" i="1" l="1"/>
  <c r="Q18" i="1"/>
  <c r="Q17" i="1"/>
  <c r="Q16" i="1"/>
  <c r="Q15" i="1"/>
  <c r="E14" i="3" s="1"/>
  <c r="Q14" i="1"/>
  <c r="E13" i="3" s="1"/>
  <c r="H33" i="3"/>
  <c r="E15" i="3"/>
  <c r="E16" i="3"/>
  <c r="E17" i="3"/>
  <c r="E18" i="3"/>
  <c r="G20" i="6" l="1"/>
  <c r="G24" i="6"/>
  <c r="G14" i="6"/>
  <c r="H54" i="6" l="1"/>
  <c r="F39" i="6" s="1"/>
  <c r="G32" i="6"/>
  <c r="H32" i="6"/>
  <c r="Q716" i="1" l="1"/>
  <c r="J702" i="1" l="1"/>
  <c r="I112" i="5" l="1"/>
  <c r="I113" i="5" s="1"/>
  <c r="I114" i="5" l="1"/>
  <c r="J663"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660" i="1" s="1"/>
  <c r="D21" i="5"/>
  <c r="D22" i="5" s="1"/>
  <c r="D23" i="5" s="1"/>
  <c r="H21" i="5"/>
  <c r="H22" i="5" s="1"/>
  <c r="H23" i="5" s="1"/>
  <c r="F44" i="5" l="1"/>
  <c r="I44" i="5" s="1"/>
  <c r="I45" i="5" s="1"/>
  <c r="I46" i="5" s="1"/>
  <c r="J662" i="1" s="1"/>
  <c r="G103" i="5"/>
  <c r="H100" i="5"/>
  <c r="F104" i="5"/>
  <c r="F105" i="5" s="1"/>
  <c r="F106" i="5" s="1"/>
  <c r="F107" i="5" s="1"/>
  <c r="H103" i="5" l="1"/>
  <c r="I100" i="5"/>
  <c r="I103" i="5" s="1"/>
  <c r="G104" i="5"/>
  <c r="G105" i="5" s="1"/>
  <c r="G106" i="5" s="1"/>
  <c r="G107" i="5" s="1"/>
  <c r="J665" i="1" s="1"/>
  <c r="I104" i="5" l="1"/>
  <c r="I105" i="5" s="1"/>
  <c r="I106" i="5" s="1"/>
  <c r="I107" i="5" s="1"/>
  <c r="H104" i="5"/>
  <c r="H105" i="5" s="1"/>
  <c r="H106" i="5" s="1"/>
  <c r="H107" i="5" s="1"/>
  <c r="K128" i="1" l="1"/>
  <c r="L128" i="1" s="1"/>
  <c r="K131" i="1"/>
  <c r="L131" i="1" s="1"/>
  <c r="L650" i="1" l="1"/>
  <c r="M650" i="1"/>
  <c r="A652" i="1"/>
  <c r="A653" i="1" s="1"/>
  <c r="A654" i="1" s="1"/>
  <c r="A655" i="1" s="1"/>
  <c r="A656" i="1" s="1"/>
  <c r="A658" i="1" s="1"/>
  <c r="A657" i="1" s="1"/>
  <c r="K713" i="1" l="1"/>
  <c r="L713" i="1" s="1"/>
  <c r="C771" i="1" l="1"/>
  <c r="A731" i="1" l="1"/>
  <c r="A732" i="1" s="1"/>
  <c r="A733" i="1" s="1"/>
  <c r="A734" i="1" s="1"/>
  <c r="A735" i="1" s="1"/>
  <c r="A736" i="1" s="1"/>
  <c r="A737" i="1" s="1"/>
  <c r="A738" i="1" s="1"/>
  <c r="K699" i="1" l="1"/>
  <c r="M699" i="1" s="1"/>
  <c r="L699" i="1" l="1"/>
  <c r="P220" i="1" l="1"/>
  <c r="K622" i="1"/>
  <c r="K623" i="1"/>
  <c r="K624" i="1"/>
  <c r="K625" i="1"/>
  <c r="K626" i="1"/>
  <c r="K697" i="1"/>
  <c r="L697" i="1" s="1"/>
  <c r="M697" i="1" l="1"/>
  <c r="K653" i="1" l="1"/>
  <c r="L653" i="1" s="1"/>
  <c r="K654" i="1"/>
  <c r="L654" i="1" s="1"/>
  <c r="K655" i="1"/>
  <c r="L655" i="1" s="1"/>
  <c r="K656" i="1"/>
  <c r="L656" i="1" s="1"/>
  <c r="K658" i="1"/>
  <c r="L658" i="1" s="1"/>
  <c r="K652" i="1"/>
  <c r="L652" i="1" s="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9" i="1"/>
  <c r="B130"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7" i="1"/>
  <c r="B8" i="1"/>
  <c r="B9" i="1"/>
  <c r="B6" i="1"/>
  <c r="P160" i="1"/>
  <c r="K114" i="1"/>
  <c r="L114" i="1" s="1"/>
  <c r="K115" i="1"/>
  <c r="L115" i="1" s="1"/>
  <c r="H238" i="1"/>
  <c r="P206" i="1"/>
  <c r="M115" i="1" l="1"/>
  <c r="M114" i="1"/>
  <c r="K710" i="1"/>
  <c r="L710" i="1" s="1"/>
  <c r="K707" i="1"/>
  <c r="L707" i="1" l="1"/>
  <c r="M710" i="1"/>
  <c r="M707" i="1"/>
  <c r="K657" i="1" l="1"/>
  <c r="L657" i="1" s="1"/>
  <c r="Q619" i="1" l="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7" i="3" s="1"/>
  <c r="G27" i="3" l="1"/>
  <c r="H27"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L718" i="1" l="1"/>
  <c r="M718" i="1"/>
  <c r="L721" i="1"/>
  <c r="M721" i="1"/>
  <c r="L724" i="1"/>
  <c r="M724" i="1"/>
  <c r="L675" i="1"/>
  <c r="M675" i="1"/>
  <c r="L678" i="1"/>
  <c r="M678" i="1"/>
  <c r="L681" i="1"/>
  <c r="M681" i="1"/>
  <c r="L684" i="1"/>
  <c r="M684" i="1"/>
  <c r="L687" i="1"/>
  <c r="M687" i="1"/>
  <c r="L690" i="1"/>
  <c r="M690" i="1"/>
  <c r="L693" i="1"/>
  <c r="M693" i="1"/>
  <c r="L700" i="1"/>
  <c r="M700" i="1"/>
  <c r="L631" i="1"/>
  <c r="M631" i="1"/>
  <c r="L634" i="1"/>
  <c r="M634" i="1"/>
  <c r="L667" i="1"/>
  <c r="M667" i="1"/>
  <c r="L636" i="1"/>
  <c r="M636" i="1"/>
  <c r="L637" i="1"/>
  <c r="M637" i="1"/>
  <c r="L639" i="1"/>
  <c r="M639" i="1"/>
  <c r="L640" i="1"/>
  <c r="M640" i="1"/>
  <c r="L642" i="1"/>
  <c r="M642" i="1"/>
  <c r="L643" i="1"/>
  <c r="M643" i="1"/>
  <c r="L567" i="1"/>
  <c r="M567" i="1"/>
  <c r="L570" i="1"/>
  <c r="M570" i="1"/>
  <c r="L573" i="1"/>
  <c r="M573" i="1"/>
  <c r="L576" i="1"/>
  <c r="M576" i="1"/>
  <c r="L579" i="1"/>
  <c r="M579" i="1"/>
  <c r="L583" i="1"/>
  <c r="M583" i="1"/>
  <c r="L586" i="1"/>
  <c r="M586" i="1"/>
  <c r="L589" i="1"/>
  <c r="M589" i="1"/>
  <c r="L599" i="1"/>
  <c r="M599" i="1"/>
  <c r="L602" i="1"/>
  <c r="M602" i="1"/>
  <c r="L605" i="1"/>
  <c r="M605" i="1"/>
  <c r="L608" i="1"/>
  <c r="M608" i="1"/>
  <c r="L611" i="1"/>
  <c r="M611" i="1"/>
  <c r="L614" i="1"/>
  <c r="M614" i="1"/>
  <c r="L479" i="1"/>
  <c r="M479" i="1"/>
  <c r="L481" i="1"/>
  <c r="M481" i="1"/>
  <c r="L484" i="1"/>
  <c r="M484" i="1"/>
  <c r="L486" i="1"/>
  <c r="M486" i="1"/>
  <c r="L489" i="1"/>
  <c r="M489" i="1"/>
  <c r="L492" i="1"/>
  <c r="M492" i="1"/>
  <c r="L495" i="1"/>
  <c r="M495" i="1"/>
  <c r="L497" i="1"/>
  <c r="M497" i="1"/>
  <c r="L500" i="1"/>
  <c r="M500" i="1"/>
  <c r="L503" i="1"/>
  <c r="M503" i="1"/>
  <c r="L506" i="1"/>
  <c r="M506" i="1"/>
  <c r="L508" i="1"/>
  <c r="M508" i="1"/>
  <c r="L510" i="1"/>
  <c r="M510" i="1"/>
  <c r="L512" i="1"/>
  <c r="M512" i="1"/>
  <c r="L514" i="1"/>
  <c r="M514" i="1"/>
  <c r="L516" i="1"/>
  <c r="M516" i="1"/>
  <c r="L520" i="1"/>
  <c r="M520" i="1"/>
  <c r="L525" i="1"/>
  <c r="M525" i="1"/>
  <c r="L528" i="1"/>
  <c r="M528" i="1"/>
  <c r="L538" i="1"/>
  <c r="M538" i="1"/>
  <c r="L541" i="1"/>
  <c r="M541" i="1"/>
  <c r="L551" i="1"/>
  <c r="M551" i="1"/>
  <c r="L554" i="1"/>
  <c r="M554" i="1"/>
  <c r="L560" i="1"/>
  <c r="M560" i="1"/>
  <c r="L456" i="1"/>
  <c r="M456" i="1"/>
  <c r="L459" i="1"/>
  <c r="M459" i="1"/>
  <c r="L462" i="1"/>
  <c r="M462" i="1"/>
  <c r="L465" i="1"/>
  <c r="M465" i="1"/>
  <c r="L468" i="1"/>
  <c r="M468" i="1"/>
  <c r="L445" i="1"/>
  <c r="M445" i="1"/>
  <c r="L448" i="1"/>
  <c r="M448" i="1"/>
  <c r="L451" i="1"/>
  <c r="M451" i="1"/>
  <c r="L312" i="1"/>
  <c r="M312" i="1"/>
  <c r="L318" i="1"/>
  <c r="M318" i="1"/>
  <c r="L340" i="1"/>
  <c r="M340" i="1"/>
  <c r="L346" i="1"/>
  <c r="M346" i="1"/>
  <c r="L348" i="1"/>
  <c r="M348" i="1"/>
  <c r="L352" i="1"/>
  <c r="M352" i="1"/>
  <c r="L354" i="1"/>
  <c r="M354" i="1"/>
  <c r="L364" i="1"/>
  <c r="M364" i="1"/>
  <c r="L366" i="1"/>
  <c r="M366" i="1"/>
  <c r="L368" i="1"/>
  <c r="M368" i="1"/>
  <c r="L387" i="1"/>
  <c r="M387" i="1"/>
  <c r="L393" i="1"/>
  <c r="M393" i="1"/>
  <c r="L396" i="1"/>
  <c r="M396" i="1"/>
  <c r="L406" i="1"/>
  <c r="M406" i="1"/>
  <c r="L429" i="1"/>
  <c r="M429" i="1"/>
  <c r="L432" i="1"/>
  <c r="M432" i="1"/>
  <c r="L435" i="1"/>
  <c r="M435" i="1"/>
  <c r="L438" i="1"/>
  <c r="M438" i="1"/>
  <c r="L440" i="1"/>
  <c r="M440" i="1"/>
  <c r="L254" i="1"/>
  <c r="M254" i="1"/>
  <c r="L260" i="1"/>
  <c r="M260" i="1"/>
  <c r="L262" i="1"/>
  <c r="M262" i="1"/>
  <c r="L264" i="1"/>
  <c r="M264" i="1"/>
  <c r="L267" i="1"/>
  <c r="M267" i="1"/>
  <c r="L270" i="1"/>
  <c r="M270" i="1"/>
  <c r="L273" i="1"/>
  <c r="M273" i="1"/>
  <c r="L276" i="1"/>
  <c r="M276" i="1"/>
  <c r="L279" i="1"/>
  <c r="M279" i="1"/>
  <c r="L282" i="1"/>
  <c r="M282" i="1"/>
  <c r="L285" i="1"/>
  <c r="M285" i="1"/>
  <c r="L288" i="1"/>
  <c r="M288" i="1"/>
  <c r="L291" i="1"/>
  <c r="M291" i="1"/>
  <c r="L149" i="1"/>
  <c r="M149" i="1"/>
  <c r="L159" i="1"/>
  <c r="M159" i="1"/>
  <c r="L171" i="1"/>
  <c r="M171" i="1"/>
  <c r="L174" i="1"/>
  <c r="M174" i="1"/>
  <c r="L180" i="1"/>
  <c r="M180" i="1"/>
  <c r="L183" i="1"/>
  <c r="M183" i="1"/>
  <c r="L190" i="1"/>
  <c r="M190" i="1"/>
  <c r="L192" i="1"/>
  <c r="M192" i="1"/>
  <c r="L194" i="1"/>
  <c r="M194" i="1"/>
  <c r="L197" i="1"/>
  <c r="M197" i="1"/>
  <c r="L215" i="1"/>
  <c r="M215" i="1"/>
  <c r="L221" i="1"/>
  <c r="M221" i="1"/>
  <c r="L224" i="1"/>
  <c r="M224" i="1"/>
  <c r="L247" i="1"/>
  <c r="M247" i="1"/>
  <c r="L38" i="1"/>
  <c r="M38" i="1"/>
  <c r="L41" i="1"/>
  <c r="M41" i="1"/>
  <c r="L44" i="1"/>
  <c r="M44" i="1"/>
  <c r="L47" i="1"/>
  <c r="M47" i="1"/>
  <c r="L50" i="1"/>
  <c r="M50" i="1"/>
  <c r="L53" i="1"/>
  <c r="M53" i="1"/>
  <c r="L56" i="1"/>
  <c r="M56" i="1"/>
  <c r="L59" i="1"/>
  <c r="M59" i="1"/>
  <c r="L62" i="1"/>
  <c r="M62" i="1"/>
  <c r="L65" i="1"/>
  <c r="M65" i="1"/>
  <c r="L68" i="1"/>
  <c r="M68" i="1"/>
  <c r="L71" i="1"/>
  <c r="M71" i="1"/>
  <c r="L74" i="1"/>
  <c r="M74" i="1"/>
  <c r="L77" i="1"/>
  <c r="M77" i="1"/>
  <c r="L80" i="1"/>
  <c r="M80" i="1"/>
  <c r="L83" i="1"/>
  <c r="M83" i="1"/>
  <c r="L86" i="1"/>
  <c r="M86" i="1"/>
  <c r="L89" i="1"/>
  <c r="M89" i="1"/>
  <c r="L92" i="1"/>
  <c r="M92" i="1"/>
  <c r="L95" i="1"/>
  <c r="M95" i="1"/>
  <c r="L98" i="1"/>
  <c r="M98" i="1"/>
  <c r="L101" i="1"/>
  <c r="M101" i="1"/>
  <c r="L104" i="1"/>
  <c r="M104" i="1"/>
  <c r="L107" i="1"/>
  <c r="M107" i="1"/>
  <c r="L110" i="1"/>
  <c r="M110" i="1"/>
  <c r="L111" i="1"/>
  <c r="M111" i="1"/>
  <c r="L112" i="1"/>
  <c r="M112" i="1"/>
  <c r="L118" i="1"/>
  <c r="M118" i="1"/>
  <c r="L120" i="1"/>
  <c r="M120" i="1"/>
  <c r="L123" i="1"/>
  <c r="M123" i="1"/>
  <c r="L126" i="1"/>
  <c r="M126" i="1"/>
  <c r="L129" i="1"/>
  <c r="M129" i="1"/>
  <c r="L132" i="1"/>
  <c r="M132" i="1"/>
  <c r="L134" i="1"/>
  <c r="M134" i="1"/>
  <c r="L136" i="1"/>
  <c r="M136" i="1"/>
  <c r="L139" i="1"/>
  <c r="M139" i="1"/>
  <c r="L142" i="1"/>
  <c r="M142" i="1"/>
  <c r="L143" i="1"/>
  <c r="M143" i="1"/>
  <c r="L144" i="1"/>
  <c r="M144" i="1"/>
  <c r="K730" i="1"/>
  <c r="L730" i="1" s="1"/>
  <c r="K731" i="1"/>
  <c r="L731" i="1" s="1"/>
  <c r="K732" i="1"/>
  <c r="L732" i="1" s="1"/>
  <c r="K733" i="1"/>
  <c r="L733" i="1" s="1"/>
  <c r="K734" i="1"/>
  <c r="M734" i="1" s="1"/>
  <c r="K735" i="1"/>
  <c r="L735" i="1" s="1"/>
  <c r="K736" i="1"/>
  <c r="L736" i="1" s="1"/>
  <c r="K737" i="1"/>
  <c r="L737" i="1" s="1"/>
  <c r="K738" i="1"/>
  <c r="L738" i="1" s="1"/>
  <c r="K729" i="1"/>
  <c r="K739" i="1" s="1"/>
  <c r="K719" i="1"/>
  <c r="L719" i="1" s="1"/>
  <c r="K722" i="1"/>
  <c r="L722" i="1" s="1"/>
  <c r="K725" i="1"/>
  <c r="L725" i="1" s="1"/>
  <c r="K716" i="1"/>
  <c r="K676" i="1"/>
  <c r="L676" i="1" s="1"/>
  <c r="K679" i="1"/>
  <c r="L679" i="1" s="1"/>
  <c r="K682" i="1"/>
  <c r="L682" i="1" s="1"/>
  <c r="K685" i="1"/>
  <c r="L685" i="1" s="1"/>
  <c r="K688" i="1"/>
  <c r="L688" i="1" s="1"/>
  <c r="K691" i="1"/>
  <c r="L691" i="1" s="1"/>
  <c r="K694" i="1"/>
  <c r="L694" i="1" s="1"/>
  <c r="K702" i="1"/>
  <c r="L702" i="1" s="1"/>
  <c r="K673" i="1"/>
  <c r="K670" i="1"/>
  <c r="R16" i="1" s="1"/>
  <c r="F15" i="3" s="1"/>
  <c r="K632" i="1"/>
  <c r="L632" i="1" s="1"/>
  <c r="K660" i="1"/>
  <c r="L660" i="1" s="1"/>
  <c r="K663" i="1"/>
  <c r="L663" i="1" s="1"/>
  <c r="K665" i="1"/>
  <c r="L665" i="1" s="1"/>
  <c r="K635" i="1"/>
  <c r="L635" i="1" s="1"/>
  <c r="K638" i="1"/>
  <c r="L638" i="1" s="1"/>
  <c r="K641" i="1"/>
  <c r="K644" i="1"/>
  <c r="L644" i="1" s="1"/>
  <c r="K648" i="1"/>
  <c r="L648" i="1" s="1"/>
  <c r="K662" i="1"/>
  <c r="K651" i="1"/>
  <c r="M651" i="1" s="1"/>
  <c r="L622" i="1"/>
  <c r="L623" i="1"/>
  <c r="L624" i="1"/>
  <c r="M625" i="1"/>
  <c r="L626" i="1"/>
  <c r="K621" i="1"/>
  <c r="K378" i="1"/>
  <c r="L378" i="1" s="1"/>
  <c r="G568" i="1"/>
  <c r="G571" i="1"/>
  <c r="G574" i="1"/>
  <c r="G577" i="1"/>
  <c r="G580" i="1"/>
  <c r="G584" i="1"/>
  <c r="G587" i="1"/>
  <c r="G590" i="1"/>
  <c r="G594" i="1"/>
  <c r="G598" i="1"/>
  <c r="L598" i="1" s="1"/>
  <c r="G600" i="1"/>
  <c r="G603" i="1"/>
  <c r="G606" i="1"/>
  <c r="G609" i="1"/>
  <c r="G612" i="1"/>
  <c r="G615" i="1"/>
  <c r="G565" i="1"/>
  <c r="G478" i="1"/>
  <c r="L478" i="1" s="1"/>
  <c r="G480" i="1"/>
  <c r="L480" i="1" s="1"/>
  <c r="G482" i="1"/>
  <c r="G485" i="1"/>
  <c r="L485" i="1" s="1"/>
  <c r="G487" i="1"/>
  <c r="G490" i="1"/>
  <c r="G493" i="1"/>
  <c r="G496" i="1"/>
  <c r="L496" i="1" s="1"/>
  <c r="G498" i="1"/>
  <c r="G501" i="1"/>
  <c r="G504" i="1"/>
  <c r="G507" i="1"/>
  <c r="G509" i="1"/>
  <c r="G511" i="1"/>
  <c r="G513" i="1"/>
  <c r="G515" i="1"/>
  <c r="G517" i="1"/>
  <c r="G519" i="1"/>
  <c r="G521" i="1"/>
  <c r="G523" i="1"/>
  <c r="G526" i="1"/>
  <c r="G529" i="1"/>
  <c r="G533" i="1"/>
  <c r="G537" i="1"/>
  <c r="M537" i="1" s="1"/>
  <c r="G539" i="1"/>
  <c r="G542" i="1"/>
  <c r="G546" i="1"/>
  <c r="G550" i="1"/>
  <c r="L550" i="1" s="1"/>
  <c r="G552" i="1"/>
  <c r="G555" i="1"/>
  <c r="G559" i="1"/>
  <c r="G561" i="1"/>
  <c r="G474" i="1"/>
  <c r="G457" i="1"/>
  <c r="G460" i="1"/>
  <c r="G463" i="1"/>
  <c r="G466" i="1"/>
  <c r="G469" i="1"/>
  <c r="G454" i="1"/>
  <c r="G446" i="1"/>
  <c r="G449" i="1"/>
  <c r="G443" i="1"/>
  <c r="G298" i="1"/>
  <c r="G302" i="1"/>
  <c r="G306" i="1"/>
  <c r="G310" i="1"/>
  <c r="G313" i="1"/>
  <c r="G317" i="1"/>
  <c r="L317" i="1" s="1"/>
  <c r="G319" i="1"/>
  <c r="G323" i="1"/>
  <c r="G327" i="1"/>
  <c r="G331" i="1"/>
  <c r="G335" i="1"/>
  <c r="G339" i="1"/>
  <c r="L339" i="1" s="1"/>
  <c r="G341" i="1"/>
  <c r="G345" i="1"/>
  <c r="L345" i="1" s="1"/>
  <c r="G347" i="1"/>
  <c r="G350" i="1"/>
  <c r="G353" i="1"/>
  <c r="L353" i="1" s="1"/>
  <c r="G355" i="1"/>
  <c r="G359" i="1"/>
  <c r="G363" i="1"/>
  <c r="L363" i="1" s="1"/>
  <c r="G365" i="1"/>
  <c r="L365" i="1" s="1"/>
  <c r="G367" i="1"/>
  <c r="M367" i="1" s="1"/>
  <c r="G369" i="1"/>
  <c r="G373" i="1"/>
  <c r="G377" i="1"/>
  <c r="G381" i="1"/>
  <c r="G385" i="1"/>
  <c r="G388" i="1"/>
  <c r="G391" i="1"/>
  <c r="G394" i="1"/>
  <c r="G397" i="1"/>
  <c r="G401" i="1"/>
  <c r="G405" i="1"/>
  <c r="L405" i="1" s="1"/>
  <c r="G407" i="1"/>
  <c r="G411" i="1"/>
  <c r="G415" i="1"/>
  <c r="G419" i="1"/>
  <c r="G423" i="1"/>
  <c r="G427" i="1"/>
  <c r="G430" i="1"/>
  <c r="G433" i="1"/>
  <c r="G436" i="1"/>
  <c r="G439" i="1"/>
  <c r="M439" i="1" s="1"/>
  <c r="G294" i="1"/>
  <c r="G255" i="1"/>
  <c r="G259" i="1"/>
  <c r="M259" i="1" s="1"/>
  <c r="G261" i="1"/>
  <c r="L261" i="1" s="1"/>
  <c r="G263" i="1"/>
  <c r="G266" i="1"/>
  <c r="M266" i="1" s="1"/>
  <c r="G268" i="1"/>
  <c r="G271" i="1"/>
  <c r="G274" i="1"/>
  <c r="G277" i="1"/>
  <c r="G280" i="1"/>
  <c r="G283" i="1"/>
  <c r="G286" i="1"/>
  <c r="G289" i="1"/>
  <c r="G253" i="1"/>
  <c r="G150" i="1"/>
  <c r="G154" i="1"/>
  <c r="G158" i="1"/>
  <c r="M158" i="1" s="1"/>
  <c r="G160" i="1"/>
  <c r="G162" i="1"/>
  <c r="G166" i="1"/>
  <c r="G170" i="1"/>
  <c r="L170" i="1" s="1"/>
  <c r="G172" i="1"/>
  <c r="G175" i="1"/>
  <c r="G179" i="1"/>
  <c r="L179" i="1" s="1"/>
  <c r="G181" i="1"/>
  <c r="L181" i="1" s="1"/>
  <c r="G184" i="1"/>
  <c r="G188" i="1"/>
  <c r="G191" i="1"/>
  <c r="L191" i="1" s="1"/>
  <c r="G193" i="1"/>
  <c r="M193" i="1" s="1"/>
  <c r="G195" i="1"/>
  <c r="G198" i="1"/>
  <c r="G202" i="1"/>
  <c r="G206" i="1"/>
  <c r="G210" i="1"/>
  <c r="G214" i="1"/>
  <c r="M214" i="1" s="1"/>
  <c r="G216" i="1"/>
  <c r="G220" i="1"/>
  <c r="G222" i="1"/>
  <c r="G225" i="1"/>
  <c r="G229" i="1"/>
  <c r="G233" i="1"/>
  <c r="G237" i="1"/>
  <c r="G241" i="1"/>
  <c r="G245" i="1"/>
  <c r="G248" i="1"/>
  <c r="G147" i="1"/>
  <c r="G9" i="1"/>
  <c r="G12" i="1"/>
  <c r="G15" i="1"/>
  <c r="G18" i="1"/>
  <c r="G21" i="1"/>
  <c r="G24" i="1"/>
  <c r="G27" i="1"/>
  <c r="G30" i="1"/>
  <c r="G33" i="1"/>
  <c r="G36" i="1"/>
  <c r="G39" i="1"/>
  <c r="G42" i="1"/>
  <c r="G45" i="1"/>
  <c r="G48" i="1"/>
  <c r="G51" i="1"/>
  <c r="G54" i="1"/>
  <c r="G57" i="1"/>
  <c r="G60" i="1"/>
  <c r="G63" i="1"/>
  <c r="G66" i="1"/>
  <c r="G69" i="1"/>
  <c r="G72" i="1"/>
  <c r="G75" i="1"/>
  <c r="G78" i="1"/>
  <c r="G81" i="1"/>
  <c r="G84" i="1"/>
  <c r="G87" i="1"/>
  <c r="G90" i="1"/>
  <c r="G93" i="1"/>
  <c r="G96" i="1"/>
  <c r="G99" i="1"/>
  <c r="G102" i="1"/>
  <c r="G105" i="1"/>
  <c r="G108" i="1"/>
  <c r="G113" i="1"/>
  <c r="G116" i="1"/>
  <c r="G119" i="1"/>
  <c r="G121" i="1"/>
  <c r="G124" i="1"/>
  <c r="G127" i="1"/>
  <c r="G130" i="1"/>
  <c r="G133" i="1"/>
  <c r="G135" i="1"/>
  <c r="G137" i="1"/>
  <c r="G140" i="1"/>
  <c r="G6" i="1"/>
  <c r="P725" i="1"/>
  <c r="P722" i="1"/>
  <c r="F28" i="3"/>
  <c r="F29" i="3"/>
  <c r="G766" i="1"/>
  <c r="H629" i="1"/>
  <c r="K629" i="1" s="1"/>
  <c r="Q11" i="1" l="1"/>
  <c r="E9" i="3" s="1"/>
  <c r="Q12" i="1"/>
  <c r="E10" i="3" s="1"/>
  <c r="R18" i="1"/>
  <c r="F17" i="3" s="1"/>
  <c r="R15" i="1"/>
  <c r="F14" i="3" s="1"/>
  <c r="M729" i="1"/>
  <c r="R19" i="1"/>
  <c r="F18" i="3" s="1"/>
  <c r="Q6" i="1"/>
  <c r="E4" i="3" s="1"/>
  <c r="Q7" i="1"/>
  <c r="E5" i="3" s="1"/>
  <c r="L253" i="1"/>
  <c r="Q8" i="1"/>
  <c r="E6" i="3" s="1"/>
  <c r="Q9" i="1"/>
  <c r="E7" i="3" s="1"/>
  <c r="Q10" i="1"/>
  <c r="E8" i="3" s="1"/>
  <c r="Q13" i="1"/>
  <c r="E11" i="3" s="1"/>
  <c r="K627" i="1"/>
  <c r="L627" i="1" s="1"/>
  <c r="R14" i="1"/>
  <c r="F13" i="3" s="1"/>
  <c r="M16" i="3" s="1"/>
  <c r="R17" i="1"/>
  <c r="F16" i="3" s="1"/>
  <c r="H29" i="3"/>
  <c r="G29" i="3"/>
  <c r="H28" i="3"/>
  <c r="G28" i="3"/>
  <c r="M670" i="1"/>
  <c r="T16" i="1" s="1"/>
  <c r="H15" i="3" s="1"/>
  <c r="K727" i="1"/>
  <c r="M627" i="1"/>
  <c r="L662" i="1"/>
  <c r="K668" i="1"/>
  <c r="M621" i="1"/>
  <c r="M673" i="1"/>
  <c r="K704" i="1"/>
  <c r="L641" i="1"/>
  <c r="M629" i="1"/>
  <c r="L716" i="1"/>
  <c r="L439" i="1"/>
  <c r="L266" i="1"/>
  <c r="L158" i="1"/>
  <c r="L214" i="1"/>
  <c r="L537" i="1"/>
  <c r="M253" i="1"/>
  <c r="M716" i="1"/>
  <c r="L259" i="1"/>
  <c r="L367" i="1"/>
  <c r="L193" i="1"/>
  <c r="L625" i="1"/>
  <c r="L734" i="1"/>
  <c r="L651" i="1"/>
  <c r="M598" i="1"/>
  <c r="M624" i="1"/>
  <c r="M665" i="1"/>
  <c r="M632" i="1"/>
  <c r="M694" i="1"/>
  <c r="M685" i="1"/>
  <c r="M679" i="1"/>
  <c r="M725" i="1"/>
  <c r="L729" i="1"/>
  <c r="M733" i="1"/>
  <c r="M191" i="1"/>
  <c r="M181" i="1"/>
  <c r="M405" i="1"/>
  <c r="M365" i="1"/>
  <c r="M339" i="1"/>
  <c r="M317" i="1"/>
  <c r="M496" i="1"/>
  <c r="M480" i="1"/>
  <c r="M623" i="1"/>
  <c r="M662" i="1"/>
  <c r="M641" i="1"/>
  <c r="M738" i="1"/>
  <c r="L621" i="1"/>
  <c r="M663" i="1"/>
  <c r="L670" i="1"/>
  <c r="S16" i="1" s="1"/>
  <c r="G15" i="3" s="1"/>
  <c r="M691" i="1"/>
  <c r="M682" i="1"/>
  <c r="M676" i="1"/>
  <c r="M722" i="1"/>
  <c r="M737" i="1"/>
  <c r="M732" i="1"/>
  <c r="M179" i="1"/>
  <c r="M170" i="1"/>
  <c r="M261" i="1"/>
  <c r="M363" i="1"/>
  <c r="M353" i="1"/>
  <c r="M345" i="1"/>
  <c r="M550" i="1"/>
  <c r="M485" i="1"/>
  <c r="M478" i="1"/>
  <c r="M622" i="1"/>
  <c r="M648" i="1"/>
  <c r="L673" i="1"/>
  <c r="M736" i="1"/>
  <c r="M731" i="1"/>
  <c r="M378" i="1"/>
  <c r="M626" i="1"/>
  <c r="L629" i="1"/>
  <c r="M644" i="1"/>
  <c r="M638" i="1"/>
  <c r="M635" i="1"/>
  <c r="M660" i="1"/>
  <c r="M702" i="1"/>
  <c r="M688" i="1"/>
  <c r="M719" i="1"/>
  <c r="M735" i="1"/>
  <c r="M730" i="1"/>
  <c r="G452" i="1"/>
  <c r="G472" i="1"/>
  <c r="G441" i="1"/>
  <c r="G563" i="1"/>
  <c r="G618" i="1"/>
  <c r="G251" i="1"/>
  <c r="G292" i="1"/>
  <c r="G145" i="1"/>
  <c r="E20" i="3"/>
  <c r="S19" i="1" l="1"/>
  <c r="G18" i="3" s="1"/>
  <c r="L739" i="1"/>
  <c r="M739" i="1"/>
  <c r="F20" i="3"/>
  <c r="S15" i="1"/>
  <c r="G14" i="3" s="1"/>
  <c r="L704" i="1"/>
  <c r="S17" i="1"/>
  <c r="G16" i="3" s="1"/>
  <c r="S14" i="1"/>
  <c r="G13" i="3" s="1"/>
  <c r="L727" i="1"/>
  <c r="S18" i="1"/>
  <c r="G17" i="3" s="1"/>
  <c r="T17" i="1"/>
  <c r="H16" i="3" s="1"/>
  <c r="T18" i="1"/>
  <c r="H17" i="3" s="1"/>
  <c r="T15" i="1"/>
  <c r="H14" i="3" s="1"/>
  <c r="T14" i="1"/>
  <c r="H13" i="3" s="1"/>
  <c r="T19" i="1"/>
  <c r="H18" i="3" s="1"/>
  <c r="M668" i="1"/>
  <c r="L668" i="1"/>
  <c r="M704" i="1"/>
  <c r="M727" i="1"/>
  <c r="G619" i="1"/>
  <c r="C619" i="1" s="1"/>
  <c r="K671" i="1"/>
  <c r="K766" i="1" s="1"/>
  <c r="H356" i="1"/>
  <c r="H155" i="1"/>
  <c r="I734" i="1"/>
  <c r="I733" i="1"/>
  <c r="I732" i="1"/>
  <c r="I731" i="1"/>
  <c r="I730" i="1"/>
  <c r="I729" i="1"/>
  <c r="H20" i="3" l="1"/>
  <c r="G20" i="3"/>
  <c r="L671" i="1"/>
  <c r="H595" i="1" l="1"/>
  <c r="H591" i="1"/>
  <c r="H314" i="1"/>
  <c r="H307" i="1"/>
  <c r="H534" i="1"/>
  <c r="H242" i="1"/>
  <c r="H217" i="1"/>
  <c r="H203" i="1"/>
  <c r="H211" i="1"/>
  <c r="H256" i="1"/>
  <c r="H424" i="1"/>
  <c r="H420" i="1"/>
  <c r="H416" i="1"/>
  <c r="H412" i="1"/>
  <c r="H408" i="1"/>
  <c r="H303" i="1"/>
  <c r="H185" i="1"/>
  <c r="H176" i="1"/>
  <c r="H167" i="1"/>
  <c r="H163" i="1"/>
  <c r="H151" i="1"/>
  <c r="H147" i="1"/>
  <c r="J518" i="1" l="1"/>
  <c r="K518" i="1" l="1"/>
  <c r="L518" i="1" l="1"/>
  <c r="M518" i="1"/>
  <c r="J556" i="1"/>
  <c r="K556" i="1" s="1"/>
  <c r="J547" i="1"/>
  <c r="K547" i="1" s="1"/>
  <c r="J543" i="1"/>
  <c r="K543" i="1" s="1"/>
  <c r="J475" i="1"/>
  <c r="K475" i="1" s="1"/>
  <c r="J389" i="1"/>
  <c r="K389" i="1" s="1"/>
  <c r="J242" i="1"/>
  <c r="K242" i="1" s="1"/>
  <c r="J230" i="1"/>
  <c r="K230" i="1" s="1"/>
  <c r="J226" i="1"/>
  <c r="K226" i="1" s="1"/>
  <c r="J199" i="1"/>
  <c r="K199" i="1" s="1"/>
  <c r="J185" i="1"/>
  <c r="K185" i="1" s="1"/>
  <c r="L199" i="1" l="1"/>
  <c r="M199" i="1"/>
  <c r="L389" i="1"/>
  <c r="M389" i="1"/>
  <c r="L185" i="1"/>
  <c r="M185" i="1"/>
  <c r="L547" i="1"/>
  <c r="M547" i="1"/>
  <c r="L226" i="1"/>
  <c r="M226" i="1"/>
  <c r="L230" i="1"/>
  <c r="M230" i="1"/>
  <c r="L242" i="1"/>
  <c r="M242" i="1"/>
  <c r="L475" i="1"/>
  <c r="M475" i="1"/>
  <c r="L543" i="1"/>
  <c r="M543" i="1"/>
  <c r="L556" i="1"/>
  <c r="M556" i="1"/>
  <c r="J203" i="1"/>
  <c r="K203" i="1" s="1"/>
  <c r="L203" i="1" l="1"/>
  <c r="M203" i="1"/>
  <c r="H294" i="1"/>
  <c r="H298" i="1"/>
  <c r="H302" i="1"/>
  <c r="H319" i="1"/>
  <c r="H323" i="1"/>
  <c r="H327" i="1"/>
  <c r="H331" i="1"/>
  <c r="H335" i="1"/>
  <c r="H359" i="1"/>
  <c r="H369" i="1"/>
  <c r="H373" i="1"/>
  <c r="H388" i="1"/>
  <c r="H391" i="1"/>
  <c r="H443" i="1"/>
  <c r="H446" i="1"/>
  <c r="H449" i="1"/>
  <c r="H474" i="1"/>
  <c r="H482" i="1"/>
  <c r="H487" i="1"/>
  <c r="H513" i="1"/>
  <c r="H517" i="1"/>
  <c r="H519" i="1"/>
  <c r="H521" i="1"/>
  <c r="H529" i="1"/>
  <c r="H539" i="1"/>
  <c r="H542" i="1"/>
  <c r="H546" i="1"/>
  <c r="H552" i="1"/>
  <c r="H555" i="1"/>
  <c r="H559" i="1"/>
  <c r="H561" i="1"/>
  <c r="J6" i="1"/>
  <c r="K6" i="1" s="1"/>
  <c r="J9" i="1"/>
  <c r="K9" i="1" s="1"/>
  <c r="J12" i="1"/>
  <c r="K12" i="1" s="1"/>
  <c r="J15" i="1"/>
  <c r="K15" i="1" s="1"/>
  <c r="J18" i="1"/>
  <c r="K18" i="1" s="1"/>
  <c r="J21" i="1"/>
  <c r="K21" i="1" s="1"/>
  <c r="J24" i="1"/>
  <c r="K24" i="1" s="1"/>
  <c r="J27" i="1"/>
  <c r="K27" i="1" s="1"/>
  <c r="J30" i="1"/>
  <c r="K30" i="1" s="1"/>
  <c r="J33" i="1"/>
  <c r="K33" i="1" s="1"/>
  <c r="J36" i="1"/>
  <c r="K36" i="1" s="1"/>
  <c r="J39" i="1"/>
  <c r="K39" i="1" s="1"/>
  <c r="J42" i="1"/>
  <c r="K42" i="1" s="1"/>
  <c r="J45" i="1"/>
  <c r="K45" i="1" s="1"/>
  <c r="J48" i="1"/>
  <c r="K48" i="1" s="1"/>
  <c r="J51" i="1"/>
  <c r="K51" i="1" s="1"/>
  <c r="J54" i="1"/>
  <c r="K54" i="1" s="1"/>
  <c r="J57" i="1"/>
  <c r="K57" i="1" s="1"/>
  <c r="J60" i="1"/>
  <c r="K60" i="1" s="1"/>
  <c r="J63" i="1"/>
  <c r="K63" i="1" s="1"/>
  <c r="J66" i="1"/>
  <c r="K66" i="1" s="1"/>
  <c r="J69" i="1"/>
  <c r="K69" i="1" s="1"/>
  <c r="J72" i="1"/>
  <c r="K72" i="1" s="1"/>
  <c r="J75" i="1"/>
  <c r="K75" i="1" s="1"/>
  <c r="J78" i="1"/>
  <c r="K78" i="1" s="1"/>
  <c r="J81" i="1"/>
  <c r="K81" i="1" s="1"/>
  <c r="J84" i="1"/>
  <c r="K84" i="1" s="1"/>
  <c r="J87" i="1"/>
  <c r="K87" i="1" s="1"/>
  <c r="J90" i="1"/>
  <c r="K90" i="1" s="1"/>
  <c r="J93" i="1"/>
  <c r="K93" i="1" s="1"/>
  <c r="J96" i="1"/>
  <c r="K96" i="1" s="1"/>
  <c r="J99" i="1"/>
  <c r="K99" i="1" s="1"/>
  <c r="J102" i="1"/>
  <c r="K102" i="1" s="1"/>
  <c r="J105" i="1"/>
  <c r="K105" i="1" s="1"/>
  <c r="J108" i="1"/>
  <c r="K108" i="1" s="1"/>
  <c r="J111" i="1"/>
  <c r="J113" i="1"/>
  <c r="K113" i="1" s="1"/>
  <c r="J116" i="1"/>
  <c r="K116" i="1" s="1"/>
  <c r="J119" i="1"/>
  <c r="K119" i="1" s="1"/>
  <c r="J121" i="1"/>
  <c r="K121" i="1" s="1"/>
  <c r="J124" i="1"/>
  <c r="K124" i="1" s="1"/>
  <c r="J127" i="1"/>
  <c r="K127" i="1" s="1"/>
  <c r="J130" i="1"/>
  <c r="K130" i="1" s="1"/>
  <c r="J133" i="1"/>
  <c r="K133" i="1" s="1"/>
  <c r="J135" i="1"/>
  <c r="K135" i="1" s="1"/>
  <c r="J137" i="1"/>
  <c r="K137" i="1" s="1"/>
  <c r="J140" i="1"/>
  <c r="K140" i="1" s="1"/>
  <c r="J143" i="1"/>
  <c r="J147" i="1"/>
  <c r="K147" i="1" s="1"/>
  <c r="J150" i="1"/>
  <c r="J154" i="1"/>
  <c r="J158" i="1"/>
  <c r="J160" i="1"/>
  <c r="J162" i="1"/>
  <c r="J166" i="1"/>
  <c r="J170" i="1"/>
  <c r="J172" i="1"/>
  <c r="K172" i="1" s="1"/>
  <c r="J175" i="1"/>
  <c r="J179" i="1"/>
  <c r="J181" i="1"/>
  <c r="J184" i="1"/>
  <c r="K184" i="1" s="1"/>
  <c r="J188" i="1"/>
  <c r="K188" i="1" s="1"/>
  <c r="J191" i="1"/>
  <c r="J193" i="1"/>
  <c r="J195" i="1"/>
  <c r="K195" i="1" s="1"/>
  <c r="J198" i="1"/>
  <c r="K198" i="1" s="1"/>
  <c r="J202" i="1"/>
  <c r="K202" i="1" s="1"/>
  <c r="J206" i="1"/>
  <c r="J210" i="1"/>
  <c r="J214" i="1"/>
  <c r="J216" i="1"/>
  <c r="J220" i="1"/>
  <c r="K220" i="1" s="1"/>
  <c r="J253" i="1"/>
  <c r="J255" i="1"/>
  <c r="J259" i="1"/>
  <c r="J261" i="1"/>
  <c r="J263" i="1"/>
  <c r="K263" i="1" s="1"/>
  <c r="J266" i="1"/>
  <c r="J268" i="1"/>
  <c r="K268" i="1" s="1"/>
  <c r="J271" i="1"/>
  <c r="K271" i="1" s="1"/>
  <c r="J274" i="1"/>
  <c r="K274" i="1" s="1"/>
  <c r="J277" i="1"/>
  <c r="K277" i="1" s="1"/>
  <c r="J280" i="1"/>
  <c r="K280" i="1" s="1"/>
  <c r="J283" i="1"/>
  <c r="K283" i="1" s="1"/>
  <c r="J286" i="1"/>
  <c r="K286" i="1" s="1"/>
  <c r="J289" i="1"/>
  <c r="K289" i="1" s="1"/>
  <c r="J222" i="1"/>
  <c r="K222" i="1" s="1"/>
  <c r="J225" i="1"/>
  <c r="K225" i="1" s="1"/>
  <c r="J229" i="1"/>
  <c r="K229" i="1" s="1"/>
  <c r="J233" i="1"/>
  <c r="J237" i="1"/>
  <c r="J241" i="1"/>
  <c r="K241" i="1" s="1"/>
  <c r="J245" i="1"/>
  <c r="K245" i="1" s="1"/>
  <c r="J248" i="1"/>
  <c r="K248" i="1" s="1"/>
  <c r="J294" i="1"/>
  <c r="J295" i="1" s="1"/>
  <c r="J298" i="1"/>
  <c r="J299" i="1" s="1"/>
  <c r="K299" i="1" s="1"/>
  <c r="J302" i="1"/>
  <c r="J303" i="1" s="1"/>
  <c r="J306" i="1"/>
  <c r="J310" i="1"/>
  <c r="K310" i="1" s="1"/>
  <c r="J313" i="1"/>
  <c r="J317" i="1"/>
  <c r="J319" i="1"/>
  <c r="J320" i="1" s="1"/>
  <c r="J323" i="1"/>
  <c r="J324" i="1" s="1"/>
  <c r="J327" i="1"/>
  <c r="J328" i="1" s="1"/>
  <c r="J331" i="1"/>
  <c r="J332" i="1" s="1"/>
  <c r="J335" i="1"/>
  <c r="J336" i="1" s="1"/>
  <c r="J339" i="1"/>
  <c r="J341" i="1"/>
  <c r="J345" i="1"/>
  <c r="J347" i="1"/>
  <c r="K347" i="1" s="1"/>
  <c r="J350" i="1"/>
  <c r="K350" i="1" s="1"/>
  <c r="J353" i="1"/>
  <c r="J355" i="1"/>
  <c r="J359" i="1"/>
  <c r="J360" i="1" s="1"/>
  <c r="J363" i="1"/>
  <c r="J365" i="1"/>
  <c r="J367" i="1"/>
  <c r="J369" i="1"/>
  <c r="J370" i="1" s="1"/>
  <c r="J373" i="1"/>
  <c r="J374" i="1" s="1"/>
  <c r="J377" i="1"/>
  <c r="K377" i="1" s="1"/>
  <c r="J381" i="1"/>
  <c r="J385" i="1"/>
  <c r="K385" i="1" s="1"/>
  <c r="J388" i="1"/>
  <c r="J391" i="1"/>
  <c r="J394" i="1"/>
  <c r="K394" i="1" s="1"/>
  <c r="J397" i="1"/>
  <c r="J401" i="1"/>
  <c r="J405" i="1"/>
  <c r="J407" i="1"/>
  <c r="J411" i="1"/>
  <c r="J415" i="1"/>
  <c r="J419" i="1"/>
  <c r="J423" i="1"/>
  <c r="J427" i="1"/>
  <c r="K427" i="1" s="1"/>
  <c r="J430" i="1"/>
  <c r="K430" i="1" s="1"/>
  <c r="J433" i="1"/>
  <c r="K433" i="1" s="1"/>
  <c r="J436" i="1"/>
  <c r="K436" i="1" s="1"/>
  <c r="J439" i="1"/>
  <c r="J443" i="1"/>
  <c r="J446" i="1"/>
  <c r="J457" i="1"/>
  <c r="K457" i="1" s="1"/>
  <c r="J449" i="1"/>
  <c r="J454" i="1"/>
  <c r="K454" i="1" s="1"/>
  <c r="R11" i="1" s="1"/>
  <c r="F9" i="3" s="1"/>
  <c r="J460" i="1"/>
  <c r="K460" i="1" s="1"/>
  <c r="J463" i="1"/>
  <c r="K463" i="1" s="1"/>
  <c r="J466" i="1"/>
  <c r="K466" i="1" s="1"/>
  <c r="J469" i="1"/>
  <c r="K469" i="1" s="1"/>
  <c r="J474" i="1"/>
  <c r="J478" i="1"/>
  <c r="J480" i="1"/>
  <c r="J482" i="1"/>
  <c r="J485" i="1"/>
  <c r="J487" i="1"/>
  <c r="J490" i="1"/>
  <c r="K490" i="1" s="1"/>
  <c r="J493" i="1"/>
  <c r="K493" i="1" s="1"/>
  <c r="J496" i="1"/>
  <c r="J498" i="1"/>
  <c r="K498" i="1" s="1"/>
  <c r="J501" i="1"/>
  <c r="K501" i="1" s="1"/>
  <c r="J504" i="1"/>
  <c r="K504" i="1" s="1"/>
  <c r="J507" i="1"/>
  <c r="K507" i="1" s="1"/>
  <c r="J509" i="1"/>
  <c r="K509" i="1" s="1"/>
  <c r="J511" i="1"/>
  <c r="J513" i="1"/>
  <c r="J515" i="1"/>
  <c r="J517" i="1"/>
  <c r="J519" i="1"/>
  <c r="J521" i="1"/>
  <c r="J522" i="1" s="1"/>
  <c r="K522" i="1" s="1"/>
  <c r="J523" i="1"/>
  <c r="K523" i="1" s="1"/>
  <c r="J526" i="1"/>
  <c r="K526" i="1" s="1"/>
  <c r="J529" i="1"/>
  <c r="J530" i="1" s="1"/>
  <c r="J533" i="1"/>
  <c r="J537" i="1"/>
  <c r="J539" i="1"/>
  <c r="J542" i="1"/>
  <c r="J546" i="1"/>
  <c r="J550" i="1"/>
  <c r="J552" i="1"/>
  <c r="J555" i="1"/>
  <c r="J559" i="1"/>
  <c r="J561" i="1"/>
  <c r="J565" i="1"/>
  <c r="K565" i="1" s="1"/>
  <c r="J568" i="1"/>
  <c r="K568" i="1" s="1"/>
  <c r="J571" i="1"/>
  <c r="K571" i="1" s="1"/>
  <c r="J574" i="1"/>
  <c r="K574" i="1" s="1"/>
  <c r="J577" i="1"/>
  <c r="K577" i="1" s="1"/>
  <c r="J580" i="1"/>
  <c r="J584" i="1"/>
  <c r="K584" i="1" s="1"/>
  <c r="J587" i="1"/>
  <c r="K587" i="1" s="1"/>
  <c r="J590" i="1"/>
  <c r="J594" i="1"/>
  <c r="J598" i="1"/>
  <c r="J600" i="1"/>
  <c r="K600" i="1" s="1"/>
  <c r="J603" i="1"/>
  <c r="K603" i="1" s="1"/>
  <c r="J606" i="1"/>
  <c r="K606" i="1" s="1"/>
  <c r="J609" i="1"/>
  <c r="K609" i="1" s="1"/>
  <c r="J612" i="1"/>
  <c r="K612" i="1" s="1"/>
  <c r="J615" i="1"/>
  <c r="K615" i="1" s="1"/>
  <c r="L6" i="1" l="1"/>
  <c r="R6" i="1"/>
  <c r="F4" i="3" s="1"/>
  <c r="M220" i="1"/>
  <c r="L220" i="1"/>
  <c r="L522" i="1"/>
  <c r="M522" i="1"/>
  <c r="K160" i="1"/>
  <c r="J161" i="1"/>
  <c r="K161" i="1" s="1"/>
  <c r="L116" i="1"/>
  <c r="M116" i="1"/>
  <c r="K580" i="1"/>
  <c r="L580" i="1" s="1"/>
  <c r="J581" i="1"/>
  <c r="K581" i="1" s="1"/>
  <c r="M147" i="1"/>
  <c r="L147" i="1"/>
  <c r="L113" i="1"/>
  <c r="M113" i="1"/>
  <c r="L78" i="1"/>
  <c r="M78" i="1"/>
  <c r="L42" i="1"/>
  <c r="M42" i="1"/>
  <c r="M184" i="1"/>
  <c r="L184" i="1"/>
  <c r="L140" i="1"/>
  <c r="M140" i="1"/>
  <c r="L69" i="1"/>
  <c r="M69" i="1"/>
  <c r="M498" i="1"/>
  <c r="L498" i="1"/>
  <c r="L460" i="1"/>
  <c r="M460" i="1"/>
  <c r="L280" i="1"/>
  <c r="M280" i="1"/>
  <c r="M274" i="1"/>
  <c r="L274" i="1"/>
  <c r="L135" i="1"/>
  <c r="M135" i="1"/>
  <c r="L102" i="1"/>
  <c r="M102" i="1"/>
  <c r="L66" i="1"/>
  <c r="M66" i="1"/>
  <c r="M30" i="1"/>
  <c r="L30" i="1"/>
  <c r="L286" i="1"/>
  <c r="M286" i="1"/>
  <c r="L72" i="1"/>
  <c r="M72" i="1"/>
  <c r="M33" i="1"/>
  <c r="L33" i="1"/>
  <c r="L271" i="1"/>
  <c r="M271" i="1"/>
  <c r="L133" i="1"/>
  <c r="M133" i="1"/>
  <c r="L99" i="1"/>
  <c r="M99" i="1"/>
  <c r="L63" i="1"/>
  <c r="M63" i="1"/>
  <c r="M27" i="1"/>
  <c r="L27" i="1"/>
  <c r="L463" i="1"/>
  <c r="M463" i="1"/>
  <c r="L75" i="1"/>
  <c r="M75" i="1"/>
  <c r="L137" i="1"/>
  <c r="M137" i="1"/>
  <c r="M202" i="1"/>
  <c r="L202" i="1"/>
  <c r="L96" i="1"/>
  <c r="M96" i="1"/>
  <c r="L60" i="1"/>
  <c r="M60" i="1"/>
  <c r="M24" i="1"/>
  <c r="L24" i="1"/>
  <c r="M377" i="1"/>
  <c r="L377" i="1"/>
  <c r="L241" i="1"/>
  <c r="M241" i="1"/>
  <c r="L198" i="1"/>
  <c r="M198" i="1"/>
  <c r="L127" i="1"/>
  <c r="M127" i="1"/>
  <c r="L93" i="1"/>
  <c r="M93" i="1"/>
  <c r="L57" i="1"/>
  <c r="M57" i="1"/>
  <c r="L21" i="1"/>
  <c r="M21" i="1"/>
  <c r="L565" i="1"/>
  <c r="M565" i="1"/>
  <c r="L299" i="1"/>
  <c r="M299" i="1"/>
  <c r="M454" i="1"/>
  <c r="L454" i="1"/>
  <c r="L248" i="1"/>
  <c r="M248" i="1"/>
  <c r="L172" i="1"/>
  <c r="M172" i="1"/>
  <c r="L584" i="1"/>
  <c r="M584" i="1"/>
  <c r="L268" i="1"/>
  <c r="M268" i="1"/>
  <c r="L615" i="1"/>
  <c r="M615" i="1"/>
  <c r="L436" i="1"/>
  <c r="M436" i="1"/>
  <c r="L394" i="1"/>
  <c r="M394" i="1"/>
  <c r="L229" i="1"/>
  <c r="M229" i="1"/>
  <c r="L263" i="1"/>
  <c r="M263" i="1"/>
  <c r="L195" i="1"/>
  <c r="M195" i="1"/>
  <c r="L124" i="1"/>
  <c r="M124" i="1"/>
  <c r="L90" i="1"/>
  <c r="M90" i="1"/>
  <c r="L54" i="1"/>
  <c r="M54" i="1"/>
  <c r="M18" i="1"/>
  <c r="L18" i="1"/>
  <c r="L523" i="1"/>
  <c r="M523" i="1"/>
  <c r="L39" i="1"/>
  <c r="M39" i="1"/>
  <c r="L277" i="1"/>
  <c r="M277" i="1"/>
  <c r="L457" i="1"/>
  <c r="M457" i="1"/>
  <c r="L587" i="1"/>
  <c r="M587" i="1"/>
  <c r="L130" i="1"/>
  <c r="M130" i="1"/>
  <c r="L509" i="1"/>
  <c r="M509" i="1"/>
  <c r="L612" i="1"/>
  <c r="M612" i="1"/>
  <c r="L574" i="1"/>
  <c r="M574" i="1"/>
  <c r="M507" i="1"/>
  <c r="L507" i="1"/>
  <c r="L433" i="1"/>
  <c r="M433" i="1"/>
  <c r="L225" i="1"/>
  <c r="M225" i="1"/>
  <c r="L121" i="1"/>
  <c r="M121" i="1"/>
  <c r="L87" i="1"/>
  <c r="M87" i="1"/>
  <c r="L51" i="1"/>
  <c r="M51" i="1"/>
  <c r="M15" i="1"/>
  <c r="L15" i="1"/>
  <c r="M526" i="1"/>
  <c r="L526" i="1"/>
  <c r="M283" i="1"/>
  <c r="L283" i="1"/>
  <c r="L108" i="1"/>
  <c r="M108" i="1"/>
  <c r="M490" i="1"/>
  <c r="L490" i="1"/>
  <c r="L609" i="1"/>
  <c r="M609" i="1"/>
  <c r="L504" i="1"/>
  <c r="M504" i="1"/>
  <c r="L469" i="1"/>
  <c r="M469" i="1"/>
  <c r="M430" i="1"/>
  <c r="L430" i="1"/>
  <c r="M350" i="1"/>
  <c r="L350" i="1"/>
  <c r="M310" i="1"/>
  <c r="L310" i="1"/>
  <c r="M222" i="1"/>
  <c r="L222" i="1"/>
  <c r="L119" i="1"/>
  <c r="M119" i="1"/>
  <c r="L84" i="1"/>
  <c r="M84" i="1"/>
  <c r="L48" i="1"/>
  <c r="M48" i="1"/>
  <c r="M12" i="1"/>
  <c r="L12" i="1"/>
  <c r="L603" i="1"/>
  <c r="M603" i="1"/>
  <c r="L600" i="1"/>
  <c r="M600" i="1"/>
  <c r="L493" i="1"/>
  <c r="M493" i="1"/>
  <c r="M36" i="1"/>
  <c r="L36" i="1"/>
  <c r="L105" i="1"/>
  <c r="M105" i="1"/>
  <c r="M245" i="1"/>
  <c r="L245" i="1"/>
  <c r="L577" i="1"/>
  <c r="M577" i="1"/>
  <c r="L571" i="1"/>
  <c r="M571" i="1"/>
  <c r="L606" i="1"/>
  <c r="M606" i="1"/>
  <c r="L568" i="1"/>
  <c r="M568" i="1"/>
  <c r="L501" i="1"/>
  <c r="M501" i="1"/>
  <c r="L466" i="1"/>
  <c r="M466" i="1"/>
  <c r="L427" i="1"/>
  <c r="M427" i="1"/>
  <c r="L385" i="1"/>
  <c r="M385" i="1"/>
  <c r="L347" i="1"/>
  <c r="M347" i="1"/>
  <c r="L289" i="1"/>
  <c r="M289" i="1"/>
  <c r="L188" i="1"/>
  <c r="M188" i="1"/>
  <c r="L81" i="1"/>
  <c r="M81" i="1"/>
  <c r="L45" i="1"/>
  <c r="M45" i="1"/>
  <c r="M9" i="1"/>
  <c r="L9" i="1"/>
  <c r="K517" i="1"/>
  <c r="K515" i="1"/>
  <c r="K487" i="1"/>
  <c r="K331" i="1"/>
  <c r="K482" i="1"/>
  <c r="K327" i="1"/>
  <c r="J424" i="1"/>
  <c r="K423" i="1"/>
  <c r="J382" i="1"/>
  <c r="K381" i="1"/>
  <c r="K303" i="1"/>
  <c r="M6" i="1"/>
  <c r="K145" i="1"/>
  <c r="H370" i="1"/>
  <c r="K370" i="1" s="1"/>
  <c r="K369" i="1"/>
  <c r="J420" i="1"/>
  <c r="K419" i="1"/>
  <c r="J342" i="1"/>
  <c r="K341" i="1"/>
  <c r="K561" i="1"/>
  <c r="K513" i="1"/>
  <c r="H360" i="1"/>
  <c r="K360" i="1" s="1"/>
  <c r="K359" i="1"/>
  <c r="J256" i="1"/>
  <c r="K255" i="1"/>
  <c r="J151" i="1"/>
  <c r="K151" i="1" s="1"/>
  <c r="K150" i="1"/>
  <c r="H374" i="1"/>
  <c r="K374" i="1" s="1"/>
  <c r="K373" i="1"/>
  <c r="J416" i="1"/>
  <c r="K415" i="1"/>
  <c r="K295" i="1"/>
  <c r="J217" i="1"/>
  <c r="K216" i="1"/>
  <c r="K559" i="1"/>
  <c r="K511" i="1"/>
  <c r="K335" i="1"/>
  <c r="J412" i="1"/>
  <c r="K411" i="1"/>
  <c r="J591" i="1"/>
  <c r="K590" i="1"/>
  <c r="K546" i="1"/>
  <c r="K474" i="1"/>
  <c r="K323" i="1"/>
  <c r="J307" i="1"/>
  <c r="K306" i="1"/>
  <c r="K552" i="1"/>
  <c r="J207" i="1"/>
  <c r="K206" i="1"/>
  <c r="J402" i="1"/>
  <c r="K401" i="1"/>
  <c r="K324" i="1"/>
  <c r="J238" i="1"/>
  <c r="K237" i="1"/>
  <c r="J167" i="1"/>
  <c r="K166" i="1"/>
  <c r="K542" i="1"/>
  <c r="K449" i="1"/>
  <c r="K319" i="1"/>
  <c r="K332" i="1"/>
  <c r="J211" i="1"/>
  <c r="K210" i="1"/>
  <c r="J398" i="1"/>
  <c r="K398" i="1" s="1"/>
  <c r="K397" i="1"/>
  <c r="K320" i="1"/>
  <c r="J234" i="1"/>
  <c r="K234" i="1" s="1"/>
  <c r="K233" i="1"/>
  <c r="J163" i="1"/>
  <c r="K162" i="1"/>
  <c r="K539" i="1"/>
  <c r="K446" i="1"/>
  <c r="K302" i="1"/>
  <c r="K336" i="1"/>
  <c r="K555" i="1"/>
  <c r="J356" i="1"/>
  <c r="K355" i="1"/>
  <c r="H530" i="1"/>
  <c r="K530" i="1" s="1"/>
  <c r="K529" i="1"/>
  <c r="K443" i="1"/>
  <c r="K298" i="1"/>
  <c r="K328" i="1"/>
  <c r="J314" i="1"/>
  <c r="K313" i="1"/>
  <c r="K521" i="1"/>
  <c r="K391" i="1"/>
  <c r="K294" i="1"/>
  <c r="J595" i="1"/>
  <c r="K595" i="1" s="1"/>
  <c r="K594" i="1"/>
  <c r="J176" i="1"/>
  <c r="K175" i="1"/>
  <c r="J408" i="1"/>
  <c r="K407" i="1"/>
  <c r="J534" i="1"/>
  <c r="K533" i="1"/>
  <c r="K472" i="1"/>
  <c r="J155" i="1"/>
  <c r="K155" i="1" s="1"/>
  <c r="K154" i="1"/>
  <c r="K519" i="1"/>
  <c r="K388" i="1"/>
  <c r="R10" i="1" l="1"/>
  <c r="F8" i="3" s="1"/>
  <c r="T6" i="1"/>
  <c r="H4" i="3" s="1"/>
  <c r="S11" i="1"/>
  <c r="G9" i="3" s="1"/>
  <c r="S6" i="1"/>
  <c r="G4" i="3" s="1"/>
  <c r="T11" i="1"/>
  <c r="H9" i="3" s="1"/>
  <c r="M580" i="1"/>
  <c r="M161" i="1"/>
  <c r="L161" i="1"/>
  <c r="M160" i="1"/>
  <c r="L160" i="1"/>
  <c r="L581" i="1"/>
  <c r="M581" i="1"/>
  <c r="M294" i="1"/>
  <c r="L294" i="1"/>
  <c r="L401" i="1"/>
  <c r="M401" i="1"/>
  <c r="L411" i="1"/>
  <c r="M411" i="1"/>
  <c r="L374" i="1"/>
  <c r="M374" i="1"/>
  <c r="M331" i="1"/>
  <c r="L331" i="1"/>
  <c r="L369" i="1"/>
  <c r="M369" i="1"/>
  <c r="L336" i="1"/>
  <c r="M336" i="1"/>
  <c r="L332" i="1"/>
  <c r="M332" i="1"/>
  <c r="L515" i="1"/>
  <c r="M515" i="1"/>
  <c r="L150" i="1"/>
  <c r="M150" i="1"/>
  <c r="L302" i="1"/>
  <c r="M302" i="1"/>
  <c r="L206" i="1"/>
  <c r="M206" i="1"/>
  <c r="L313" i="1"/>
  <c r="M313" i="1"/>
  <c r="L517" i="1"/>
  <c r="M517" i="1"/>
  <c r="L487" i="1"/>
  <c r="M487" i="1"/>
  <c r="L552" i="1"/>
  <c r="M552" i="1"/>
  <c r="L559" i="1"/>
  <c r="M559" i="1"/>
  <c r="M555" i="1"/>
  <c r="L555" i="1"/>
  <c r="L521" i="1"/>
  <c r="M521" i="1"/>
  <c r="L335" i="1"/>
  <c r="M335" i="1"/>
  <c r="M319" i="1"/>
  <c r="L319" i="1"/>
  <c r="L162" i="1"/>
  <c r="M162" i="1"/>
  <c r="L542" i="1"/>
  <c r="M542" i="1"/>
  <c r="L306" i="1"/>
  <c r="M306" i="1"/>
  <c r="L216" i="1"/>
  <c r="M216" i="1"/>
  <c r="M359" i="1"/>
  <c r="L359" i="1"/>
  <c r="L303" i="1"/>
  <c r="M303" i="1"/>
  <c r="L370" i="1"/>
  <c r="M370" i="1"/>
  <c r="L360" i="1"/>
  <c r="M360" i="1"/>
  <c r="L381" i="1"/>
  <c r="M381" i="1"/>
  <c r="L210" i="1"/>
  <c r="M210" i="1"/>
  <c r="L155" i="1"/>
  <c r="M155" i="1"/>
  <c r="M446" i="1"/>
  <c r="L446" i="1"/>
  <c r="L255" i="1"/>
  <c r="M255" i="1"/>
  <c r="L449" i="1"/>
  <c r="M449" i="1"/>
  <c r="M443" i="1"/>
  <c r="L443" i="1"/>
  <c r="M233" i="1"/>
  <c r="L233" i="1"/>
  <c r="M166" i="1"/>
  <c r="L166" i="1"/>
  <c r="L323" i="1"/>
  <c r="M323" i="1"/>
  <c r="L295" i="1"/>
  <c r="M295" i="1"/>
  <c r="M513" i="1"/>
  <c r="L513" i="1"/>
  <c r="M519" i="1"/>
  <c r="L519" i="1"/>
  <c r="L154" i="1"/>
  <c r="M154" i="1"/>
  <c r="L539" i="1"/>
  <c r="M539" i="1"/>
  <c r="M175" i="1"/>
  <c r="L175" i="1"/>
  <c r="L529" i="1"/>
  <c r="M529" i="1"/>
  <c r="L234" i="1"/>
  <c r="M234" i="1"/>
  <c r="M474" i="1"/>
  <c r="L474" i="1"/>
  <c r="L415" i="1"/>
  <c r="M415" i="1"/>
  <c r="L561" i="1"/>
  <c r="M561" i="1"/>
  <c r="L423" i="1"/>
  <c r="M423" i="1"/>
  <c r="L391" i="1"/>
  <c r="M391" i="1"/>
  <c r="L151" i="1"/>
  <c r="M151" i="1"/>
  <c r="L511" i="1"/>
  <c r="M511" i="1"/>
  <c r="L533" i="1"/>
  <c r="M533" i="1"/>
  <c r="L328" i="1"/>
  <c r="M328" i="1"/>
  <c r="M407" i="1"/>
  <c r="L407" i="1"/>
  <c r="M298" i="1"/>
  <c r="L298" i="1"/>
  <c r="L530" i="1"/>
  <c r="M530" i="1"/>
  <c r="L320" i="1"/>
  <c r="M320" i="1"/>
  <c r="L237" i="1"/>
  <c r="M237" i="1"/>
  <c r="M546" i="1"/>
  <c r="L546" i="1"/>
  <c r="M341" i="1"/>
  <c r="L341" i="1"/>
  <c r="L327" i="1"/>
  <c r="M327" i="1"/>
  <c r="L594" i="1"/>
  <c r="M594" i="1"/>
  <c r="L355" i="1"/>
  <c r="M355" i="1"/>
  <c r="M397" i="1"/>
  <c r="L397" i="1"/>
  <c r="L590" i="1"/>
  <c r="M590" i="1"/>
  <c r="M388" i="1"/>
  <c r="L388" i="1"/>
  <c r="L595" i="1"/>
  <c r="M595" i="1"/>
  <c r="L398" i="1"/>
  <c r="M398" i="1"/>
  <c r="L324" i="1"/>
  <c r="M324" i="1"/>
  <c r="L373" i="1"/>
  <c r="M373" i="1"/>
  <c r="M419" i="1"/>
  <c r="L419" i="1"/>
  <c r="M482" i="1"/>
  <c r="L482" i="1"/>
  <c r="K314" i="1"/>
  <c r="K534" i="1"/>
  <c r="R12" i="1" s="1"/>
  <c r="F10" i="3" s="1"/>
  <c r="K163" i="1"/>
  <c r="K402" i="1"/>
  <c r="K307" i="1"/>
  <c r="K452" i="1"/>
  <c r="K416" i="1"/>
  <c r="K342" i="1"/>
  <c r="K591" i="1"/>
  <c r="R13" i="1" s="1"/>
  <c r="F11" i="3" s="1"/>
  <c r="K207" i="1"/>
  <c r="K420" i="1"/>
  <c r="K217" i="1"/>
  <c r="K256" i="1"/>
  <c r="R8" i="1" s="1"/>
  <c r="F6" i="3" s="1"/>
  <c r="K408" i="1"/>
  <c r="K382" i="1"/>
  <c r="K176" i="1"/>
  <c r="K167" i="1"/>
  <c r="K412" i="1"/>
  <c r="K211" i="1"/>
  <c r="K356" i="1"/>
  <c r="K424" i="1"/>
  <c r="K238" i="1"/>
  <c r="E12" i="3"/>
  <c r="E21" i="3" s="1"/>
  <c r="E22" i="3" s="1"/>
  <c r="G767" i="1"/>
  <c r="T10" i="1" l="1"/>
  <c r="H8" i="3" s="1"/>
  <c r="R9" i="1"/>
  <c r="F7" i="3" s="1"/>
  <c r="R7" i="1"/>
  <c r="F5" i="3" s="1"/>
  <c r="S10" i="1"/>
  <c r="G8" i="3" s="1"/>
  <c r="L176" i="1"/>
  <c r="M176" i="1"/>
  <c r="L307" i="1"/>
  <c r="M307" i="1"/>
  <c r="L382" i="1"/>
  <c r="M382" i="1"/>
  <c r="L163" i="1"/>
  <c r="M163" i="1"/>
  <c r="L408" i="1"/>
  <c r="M408" i="1"/>
  <c r="L402" i="1"/>
  <c r="M402" i="1"/>
  <c r="L238" i="1"/>
  <c r="M238" i="1"/>
  <c r="L314" i="1"/>
  <c r="M314" i="1"/>
  <c r="L207" i="1"/>
  <c r="M207" i="1"/>
  <c r="L256" i="1"/>
  <c r="L292" i="1" s="1"/>
  <c r="M256" i="1"/>
  <c r="M292" i="1" s="1"/>
  <c r="L534" i="1"/>
  <c r="L563" i="1" s="1"/>
  <c r="M534" i="1"/>
  <c r="M563" i="1" s="1"/>
  <c r="L420" i="1"/>
  <c r="M420" i="1"/>
  <c r="L424" i="1"/>
  <c r="M424" i="1"/>
  <c r="L591" i="1"/>
  <c r="L618" i="1" s="1"/>
  <c r="M591" i="1"/>
  <c r="M618" i="1" s="1"/>
  <c r="L217" i="1"/>
  <c r="M217" i="1"/>
  <c r="L356" i="1"/>
  <c r="M356" i="1"/>
  <c r="L211" i="1"/>
  <c r="M211" i="1"/>
  <c r="L342" i="1"/>
  <c r="M342" i="1"/>
  <c r="L412" i="1"/>
  <c r="M412" i="1"/>
  <c r="L416" i="1"/>
  <c r="M416" i="1"/>
  <c r="L167" i="1"/>
  <c r="M167" i="1"/>
  <c r="K563" i="1"/>
  <c r="K441" i="1"/>
  <c r="K292" i="1"/>
  <c r="K618" i="1"/>
  <c r="K251" i="1"/>
  <c r="E23" i="3"/>
  <c r="L472" i="1"/>
  <c r="M472" i="1"/>
  <c r="L452" i="1"/>
  <c r="M452" i="1"/>
  <c r="M145" i="1"/>
  <c r="L145" i="1"/>
  <c r="S7" i="1" l="1"/>
  <c r="G5" i="3" s="1"/>
  <c r="S9" i="1"/>
  <c r="G7" i="3" s="1"/>
  <c r="T7" i="1"/>
  <c r="H5" i="3" s="1"/>
  <c r="T9" i="1"/>
  <c r="H7" i="3" s="1"/>
  <c r="S8" i="1"/>
  <c r="G6" i="3" s="1"/>
  <c r="T13" i="1"/>
  <c r="H11" i="3" s="1"/>
  <c r="S13" i="1"/>
  <c r="G11" i="3" s="1"/>
  <c r="T12" i="1"/>
  <c r="H10" i="3" s="1"/>
  <c r="T8" i="1"/>
  <c r="H6" i="3" s="1"/>
  <c r="S12" i="1"/>
  <c r="G10" i="3" s="1"/>
  <c r="E24" i="3"/>
  <c r="E35" i="3" s="1"/>
  <c r="M251" i="1"/>
  <c r="M441" i="1"/>
  <c r="L441" i="1"/>
  <c r="L251" i="1"/>
  <c r="K619" i="1"/>
  <c r="M619" i="1" l="1"/>
  <c r="L619" i="1"/>
  <c r="H12" i="3"/>
  <c r="G12" i="3"/>
  <c r="F12" i="3"/>
  <c r="H21" i="3" l="1"/>
  <c r="F21" i="3" l="1"/>
  <c r="F22" i="3" s="1"/>
  <c r="G21" i="3"/>
  <c r="I21" i="3" s="1"/>
  <c r="L766" i="1"/>
  <c r="L767" i="1" s="1"/>
  <c r="M767" i="1"/>
  <c r="K767" i="1"/>
  <c r="F26" i="3" l="1"/>
  <c r="F30" i="3"/>
  <c r="F23" i="3"/>
  <c r="G23" i="3" s="1"/>
  <c r="F25" i="3"/>
  <c r="K768" i="1"/>
  <c r="K771" i="1"/>
  <c r="G25" i="3" l="1"/>
  <c r="H25" i="3"/>
  <c r="F31" i="3"/>
  <c r="H26" i="3"/>
  <c r="G26" i="3"/>
  <c r="H30" i="3"/>
  <c r="G30" i="3"/>
  <c r="H22" i="3"/>
  <c r="G22" i="3"/>
  <c r="G24" i="3" s="1"/>
  <c r="F24" i="3"/>
  <c r="H23" i="3"/>
  <c r="H24" i="3" l="1"/>
  <c r="G31" i="3"/>
  <c r="H31" i="3"/>
  <c r="F32" i="3"/>
  <c r="H32" i="3" s="1"/>
  <c r="F34" i="3" l="1"/>
  <c r="H34" i="3"/>
  <c r="H35" i="3" s="1"/>
  <c r="H38" i="3" s="1"/>
  <c r="F35" i="3"/>
  <c r="F38" i="3" s="1"/>
  <c r="F39" i="3" s="1"/>
  <c r="G32" i="3"/>
  <c r="G34" i="3" s="1"/>
  <c r="G35" i="3" l="1"/>
  <c r="H37" i="3" l="1"/>
  <c r="H39" i="3" s="1"/>
  <c r="I35" i="3"/>
</calcChain>
</file>

<file path=xl/sharedStrings.xml><?xml version="1.0" encoding="utf-8"?>
<sst xmlns="http://schemas.openxmlformats.org/spreadsheetml/2006/main" count="2621" uniqueCount="691">
  <si>
    <t>QTY</t>
  </si>
  <si>
    <t xml:space="preserve">REVISED ESTIMATE </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</si>
  <si>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</si>
  <si>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</si>
  <si>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</si>
  <si>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</si>
  <si>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</si>
  <si>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</si>
  <si>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</si>
  <si>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</si>
  <si>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</si>
  <si>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</si>
  <si>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</si>
  <si>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</si>
  <si>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</si>
  <si>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</si>
  <si>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</si>
  <si>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</si>
  <si>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</si>
  <si>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</si>
  <si>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</si>
  <si>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</si>
  <si>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Oxygen  Flowmeter with  Humidifier,  CE Certified with four digit number  as  per  enclosed  technical  specifications  -  Imported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</si>
  <si>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</si>
  <si>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</si>
  <si>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</si>
  <si>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</si>
  <si>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</si>
  <si>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</si>
  <si>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</si>
  <si>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</si>
  <si>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</si>
  <si>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</si>
  <si>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</si>
  <si>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ELECTRICAL WORKS</t>
  </si>
  <si>
    <t>PLUMBING WORKS</t>
  </si>
  <si>
    <t>ELV WORKS</t>
  </si>
  <si>
    <t>FIRE FIGHTING WORKS</t>
  </si>
  <si>
    <t>AIR CONDITIONING</t>
  </si>
  <si>
    <t>MGPS</t>
  </si>
  <si>
    <t xml:space="preserve"> </t>
  </si>
  <si>
    <t>EQUIPMENT</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</si>
  <si>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</si>
  <si>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</si>
  <si>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</si>
  <si>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</si>
  <si>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</si>
  <si>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</si>
  <si>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</si>
  <si>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</si>
  <si>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</si>
  <si>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</si>
  <si>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</si>
  <si>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</si>
  <si>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</si>
  <si>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</si>
  <si>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</si>
  <si>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</si>
  <si>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</si>
  <si>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</si>
  <si>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</si>
  <si>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</si>
  <si>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</si>
  <si>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</si>
  <si>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</si>
  <si>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</si>
  <si>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</si>
  <si>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</si>
  <si>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</si>
  <si>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</si>
  <si>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</si>
  <si>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</si>
  <si>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</si>
  <si>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</si>
  <si>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</si>
  <si>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</si>
  <si>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</si>
  <si>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</si>
  <si>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</si>
  <si>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</si>
  <si>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</si>
  <si>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</si>
  <si>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</si>
  <si>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</si>
  <si>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</si>
  <si>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</si>
  <si>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</si>
  <si>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</si>
  <si>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</si>
  <si>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</si>
  <si>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</si>
  <si>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</si>
  <si>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</si>
  <si>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</si>
  <si>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</si>
  <si>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</si>
  <si>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</si>
  <si>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</si>
  <si>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</si>
  <si>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</si>
  <si>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</si>
  <si>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</si>
  <si>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</si>
  <si>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</si>
  <si>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</si>
  <si>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Supply,  installation, testing  and  commissioning  of  16  G  GI powder  coated suitable single person entry air shower </t>
    </r>
    <r>
      <rPr>
        <sz val="12"/>
        <color rgb="FFBE0000"/>
        <rFont val="Arial"/>
        <family val="2"/>
      </rPr>
      <t xml:space="preserve">as per the Technical Specifications </t>
    </r>
    <r>
      <rPr>
        <sz val="12"/>
        <rFont val="Arial"/>
        <family val="2"/>
      </rPr>
      <t>at MGMH Petlaburj</t>
    </r>
  </si>
  <si>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</si>
  <si>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</si>
  <si>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</si>
  <si>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</si>
  <si>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</si>
  <si>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</si>
  <si>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</si>
  <si>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</si>
  <si>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</si>
  <si>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</si>
  <si>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</si>
  <si>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</si>
  <si>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</si>
  <si>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</si>
  <si>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</si>
  <si>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</si>
  <si>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</si>
  <si>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</si>
  <si>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providing of UPS  cum battery rack for 20 batteries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</si>
  <si>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</si>
  <si>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</si>
  <si>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</si>
  <si>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</si>
  <si>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</si>
  <si>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and installation of AHUs stater on/off push button station for Remote control for inside IVF center with control wiring  from AC panel to on /off push button station with necessary items. at MGMH Petlaburj</t>
  </si>
  <si>
    <t>Supply,  installation,  testing  and  commissioning  of  20nos  LAN  points  with cat 6 cable and with suitable network rack and 5nos of telephone points with krone box to existing EPABEX.  at MGMH Petlaburj</t>
  </si>
  <si>
    <t>Supply,  installation,  testing  and  commissioning  of  1  no  of  Access  control system  with  egress  switch,  Power  Cable,  communication  cable  to  control panel with necessary required items Etc. at MGMH Petlaburj</t>
  </si>
  <si>
    <t>Supply,  installation,  testing  and  commissioning  of  5nos  IP  Based  CCTV cameras and Cat 6 Cable with NVR system.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</si>
  <si>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</si>
  <si>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</si>
  <si>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</si>
  <si>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</si>
  <si>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</si>
  <si>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</si>
  <si>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</si>
  <si>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</si>
  <si>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</si>
  <si>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</si>
  <si>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</si>
  <si>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</si>
  <si>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</si>
  <si>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</si>
  <si>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</si>
  <si>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to  measure  the  room  differential  pressures  in operation  theatres  with  SS  mounting  box,  SS  nozzles,  food  grade  PVC tubing, etc.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</si>
  <si>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</si>
  <si>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</si>
  <si>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</si>
  <si>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</si>
  <si>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</si>
  <si>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</si>
  <si>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</si>
  <si>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</si>
  <si>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SITC  of  Oxygen  Manifold  Emergency  for  1  plus  1  Cylinders,  as         per technical specifications. at MGMH Petlaburj</t>
  </si>
  <si>
    <t>SITC  of  Oxygen  Outlets  with  matching  probes,  as  per  HTM-2022/02-01 of UK/NFPA99C of USA as per enclosed technical specifications - Imported at MGMH Petlaburj</t>
  </si>
  <si>
    <t>SITC of C02 Manifold for 2 Cylinders, with high pressure  Regulator, NRV, tailpipes etc. as per technical specifications  at MGMH Petlaburj</t>
  </si>
  <si>
    <t>SITC   of   C02   Outlets   with   matching   probes,   as   per   HTM-2022102- 01ofUK/NFPA99C   of   USA   as   per   enclosed   technical   specifications   - Imported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</si>
  <si>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</si>
  <si>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</si>
  <si>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</si>
  <si>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</si>
  <si>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sz val="12"/>
        <color rgb="FF333333"/>
        <rFont val="Arial"/>
        <family val="2"/>
      </rPr>
      <t>e</t>
    </r>
    <r>
      <rPr>
        <sz val="12"/>
        <rFont val="Arial"/>
        <family val="2"/>
      </rPr>
      <t>a</t>
    </r>
    <r>
      <rPr>
        <sz val="12"/>
        <color rgb="FF333333"/>
        <rFont val="Arial"/>
        <family val="2"/>
      </rPr>
      <t>c</t>
    </r>
    <r>
      <rPr>
        <sz val="12"/>
        <rFont val="Arial"/>
        <family val="2"/>
      </rPr>
      <t>h</t>
    </r>
  </si>
  <si>
    <t>SITC  of    Medical  Line  Valve,    As  per  CE  Certified/UL  Listed,  As  per Technical Specifications- Indian 15mm 0D at MGMH Petlaburj</t>
  </si>
  <si>
    <t>SITC  of    Medical  Line  Valve,    As  per  CE  Certified/UL  Listed,  As  per Technical Specifications- Indian 22mm 0D at MGMH Petlaburj</t>
  </si>
  <si>
    <t>SITC  of    Medical  Line  Valve,    As  per  CE  Certified/UL  Listed,  As  per Technical Specifications- Indian 28mm 0D at MGMH Petlaburj</t>
  </si>
  <si>
    <t>SITC of  Bed Head Panel - as  per  HTM  2022/02-01/  NFPA99C  as  per enclosed technical specifications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</si>
  <si>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</si>
  <si>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</si>
  <si>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</si>
  <si>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</si>
  <si>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</si>
  <si>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</si>
  <si>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</si>
  <si>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</si>
  <si>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</si>
  <si>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</si>
  <si>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</si>
  <si>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</si>
  <si>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</si>
  <si>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</si>
  <si>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</si>
  <si>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</si>
  <si>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</si>
  <si>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</si>
  <si>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</si>
  <si>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</si>
  <si>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</si>
  <si>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</si>
  <si>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</si>
  <si>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</si>
  <si>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</si>
  <si>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</si>
  <si>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</si>
  <si>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</si>
  <si>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</si>
  <si>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</si>
  <si>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</si>
  <si>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</si>
  <si>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</si>
  <si>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</si>
  <si>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</si>
  <si>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</si>
  <si>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</si>
  <si>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</si>
  <si>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</si>
  <si>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</si>
  <si>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</si>
  <si>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</si>
  <si>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</si>
  <si>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</si>
  <si>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</si>
  <si>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</si>
  <si>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</si>
  <si>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</si>
  <si>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</si>
  <si>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</si>
  <si>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</si>
  <si>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</si>
  <si>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</si>
  <si>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</si>
  <si>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</si>
  <si>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</si>
  <si>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</si>
  <si>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</si>
  <si>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</si>
  <si>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</si>
  <si>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</si>
  <si>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</si>
  <si>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</si>
  <si>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</si>
  <si>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</si>
  <si>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</si>
  <si>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</si>
  <si>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</si>
  <si>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</si>
  <si>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</si>
  <si>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</si>
  <si>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</si>
  <si>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</si>
  <si>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</si>
  <si>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</si>
  <si>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</si>
  <si>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</si>
  <si>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</si>
  <si>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</si>
  <si>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</si>
  <si>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</si>
  <si>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ELV</t>
  </si>
  <si>
    <t>FF</t>
  </si>
  <si>
    <t>AC</t>
  </si>
  <si>
    <t>G</t>
  </si>
  <si>
    <t>EQP</t>
  </si>
  <si>
    <t>EQPS</t>
  </si>
  <si>
    <t>CS</t>
  </si>
  <si>
    <t>PS</t>
  </si>
  <si>
    <t>ES</t>
  </si>
  <si>
    <t>ACS</t>
  </si>
  <si>
    <t>GS</t>
  </si>
  <si>
    <t>AS PER AGREEMENT</t>
  </si>
  <si>
    <t>AS PER WORKDONE</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</si>
  <si>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</si>
  <si>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</si>
  <si>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</si>
  <si>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</si>
  <si>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</si>
  <si>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</si>
  <si>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</si>
  <si>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</si>
  <si>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</si>
  <si>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</si>
  <si>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</si>
  <si>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</si>
  <si>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</si>
  <si>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</si>
  <si>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</si>
  <si>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</si>
  <si>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</si>
  <si>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</si>
  <si>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</si>
  <si>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</si>
  <si>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</si>
  <si>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</si>
  <si>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</si>
  <si>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</si>
  <si>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</si>
  <si>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</si>
  <si>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</si>
  <si>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</si>
  <si>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</si>
  <si>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</si>
  <si>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</si>
  <si>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</si>
  <si>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</si>
  <si>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</si>
  <si>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</si>
  <si>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</si>
  <si>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</si>
  <si>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The item executed as per agreement quantity</t>
  </si>
  <si>
    <t>Item Deleted</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</si>
  <si>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</si>
  <si>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</si>
  <si>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</si>
  <si>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</si>
  <si>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</si>
  <si>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</si>
  <si>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</si>
  <si>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</si>
  <si>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</si>
  <si>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</si>
  <si>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</si>
  <si>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</si>
  <si>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</si>
  <si>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</si>
  <si>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</si>
  <si>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</si>
  <si>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</si>
  <si>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</si>
  <si>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</si>
  <si>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</si>
  <si>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</si>
  <si>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</si>
  <si>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</si>
  <si>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</si>
  <si>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Qty V.Pg No-01 of MB-10</t>
  </si>
  <si>
    <t>Qty V.Pg No-01 of MB-10, Qty V.Pg No-01 of MB-11</t>
  </si>
  <si>
    <t>Qty V.Pg No-01 of MB-10, Qty V.Pg No-02 of MB-11</t>
  </si>
  <si>
    <t>Qty V.Pg No-02 of MB-10, Qty V.Pg No-03 of MB-11</t>
  </si>
  <si>
    <t>Qty V.Pg No-02 of MB-10</t>
  </si>
  <si>
    <t>Qty V.Pg No-02 of MB-10, Qty V.Pg No-05 of MB-11</t>
  </si>
  <si>
    <t>Qty V.Pg No-02 of MB-10, Qty V.Pg No-01 of MB-11</t>
  </si>
  <si>
    <t>Qty V.Pg No-03 of MB-10</t>
  </si>
  <si>
    <t>Qty V.Pg No-04 of MB-10</t>
  </si>
  <si>
    <t>Qty V.Pg No-05 of MB-10</t>
  </si>
  <si>
    <t>Qty V.Pg No-06 of MB-10</t>
  </si>
  <si>
    <t>Qty V.Pg No-07 of MB-10</t>
  </si>
  <si>
    <t>Qty V.Pg No-08 of MB-10</t>
  </si>
  <si>
    <t>Qty V.Pg No-08 of MB-10, Qty V.Pg No-32 of MB-11</t>
  </si>
  <si>
    <t>Qty V.Pg No-09 of MB-10</t>
  </si>
  <si>
    <t>Qty V.Pg No-10 of MB-10</t>
  </si>
  <si>
    <t>Qty V.Pg No-11 of MB-10, Qty V.Pg No-38 of MB-11</t>
  </si>
  <si>
    <t>Qty V.Pg No-11 of MB-10</t>
  </si>
  <si>
    <t>Qty V.Pg No-12 of MB-10</t>
  </si>
  <si>
    <t>Qty V.Pg No-13 of MB-10</t>
  </si>
  <si>
    <t>Qty V.Pg No-14 of MB-10</t>
  </si>
  <si>
    <t>Qty V.Pg No-15 of MB-10</t>
  </si>
  <si>
    <t>Qty V.Pg No-04 of MB-11</t>
  </si>
  <si>
    <t>Qty V.Pg No-06 of MB-11</t>
  </si>
  <si>
    <t>Qty V.Pg No-13 of MB-11</t>
  </si>
  <si>
    <t>Qty V.Pg No-16 of MB-11</t>
  </si>
  <si>
    <t>Qty V.Pg No-23 of MB-11</t>
  </si>
  <si>
    <t>Qty V.Pg No-26 of MB-11</t>
  </si>
  <si>
    <t>Qty V.Pg No-27 of MB-11</t>
  </si>
  <si>
    <t>Qty V.Pg No-28 of MB-11</t>
  </si>
  <si>
    <t>Qty V.Pg No-29 of MB-11</t>
  </si>
  <si>
    <t>Qty V.Pg No-24 of MB-11</t>
  </si>
  <si>
    <t>Qty V.Pg No-46 of MB-11</t>
  </si>
  <si>
    <t>Qty V.Pg No-49 of MB-11</t>
  </si>
  <si>
    <t>Qty V.Pg No-51 of MB-11</t>
  </si>
  <si>
    <t>Qty V.Pg No-52 of MB-11</t>
  </si>
  <si>
    <t>Qty V.Pg No-53 of MB-11</t>
  </si>
  <si>
    <t>Qty V.Pg No-54 of MB-11</t>
  </si>
  <si>
    <t>Qty V.Pg No-55 of MB-11</t>
  </si>
  <si>
    <t>Qty V.Pg No-56 of MB-11</t>
  </si>
  <si>
    <t>Qty V.Pg No-57 of MB-11</t>
  </si>
  <si>
    <t>Qty V.Pg No-25 of MB-11</t>
  </si>
  <si>
    <t>Kg</t>
  </si>
  <si>
    <t>Qty V.Pg No-58 of MB-11</t>
  </si>
  <si>
    <t>Qty V.Pg No-33 of MB-11</t>
  </si>
  <si>
    <t>Qty V.Pg No-34 of MB-11</t>
  </si>
  <si>
    <t>Qty V.Pg No-35 of MB-11</t>
  </si>
  <si>
    <t>Qty V.Pg No-36 of MB-11</t>
  </si>
  <si>
    <t>Qty V.Pg No-37 of MB-11</t>
  </si>
  <si>
    <t>Qty V.Pg No-38 of MB-11</t>
  </si>
  <si>
    <t>Qty V.Pg No-39 of MB-11</t>
  </si>
  <si>
    <t>Qty V.Pg No-40 of MB-11</t>
  </si>
  <si>
    <t>Qty V.Pg No-41 of MB-11</t>
  </si>
  <si>
    <t>Qty V.Pg No-42 of MB-11</t>
  </si>
  <si>
    <t>Qty V.Pg No-43 of MB-11</t>
  </si>
  <si>
    <t>Qty V.Pg No-44 of MB-11</t>
  </si>
  <si>
    <t>Qty V.Pg No-59 of MB-11</t>
  </si>
  <si>
    <t>Qty V.Pg No-60 of MB-11</t>
  </si>
  <si>
    <t>Qty V.Pg No-61 of MB-11</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</si>
  <si>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</si>
  <si>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</si>
  <si>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</si>
  <si>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</si>
  <si>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</si>
  <si>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</si>
  <si>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</si>
  <si>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</si>
  <si>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</si>
  <si>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</si>
  <si>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</si>
  <si>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</si>
  <si>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</si>
  <si>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</si>
  <si>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</si>
  <si>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</si>
  <si>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</si>
  <si>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</si>
  <si>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</si>
  <si>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</si>
  <si>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</si>
  <si>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</si>
  <si>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</si>
  <si>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</si>
  <si>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</si>
  <si>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</si>
  <si>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</si>
  <si>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</si>
  <si>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</si>
  <si>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</si>
  <si>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</si>
  <si>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</si>
  <si>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</si>
  <si>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</si>
  <si>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</si>
  <si>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</si>
  <si>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</si>
  <si>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</si>
  <si>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</si>
  <si>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</si>
  <si>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</si>
  <si>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</si>
  <si>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MGMH Petlaburj</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</si>
  <si>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</si>
  <si>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</si>
  <si>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</si>
  <si>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</si>
  <si>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</si>
  <si>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</si>
  <si>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</si>
  <si>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</si>
  <si>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</si>
  <si>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</si>
  <si>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</si>
  <si>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</si>
  <si>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</si>
  <si>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Providing and fixing of 125A 25KA TPN Thermal Magnetic Release Based MCCB and Terminal Spreaders in Existing panel board with 1 No. and 1 Set of  Indication Lamps, LED type, R,Y,B and breaker ON, OFF, TRIP and spring charged lamps and replace with above Mentioned with required Drilling Holes, removing and Making Busbar  connections etc, as required. Makes: Legrand / Schneider/ ABB /LandT/CandS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</si>
  <si>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</si>
  <si>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</si>
  <si>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</si>
  <si>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</si>
  <si>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</si>
  <si>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</si>
  <si>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</si>
  <si>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</si>
  <si>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</si>
  <si>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</si>
  <si>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4Cx6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</si>
  <si>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4Cx4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</si>
  <si>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</si>
  <si>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installation, testing and commissioning of Audio and video recording of counseling rooms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</si>
  <si>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</si>
  <si>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</si>
  <si>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</si>
  <si>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</si>
  <si>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</si>
  <si>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</si>
  <si>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0.8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</si>
  <si>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</si>
  <si>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</si>
  <si>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</si>
  <si>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SITC  of  N20  Outlets  with  matching  probes,  as  per  HTM-2022/02-01  of UK/NFPA99C of USA as per enclosed technical specifications - Imported at MGMH Petlaburj</t>
  </si>
  <si>
    <t>SITC  of  Nitrous  Oxide  Manifold  Emergency  for  1  Cylinder,  with  high pressure  Regulator,  NRV,  tailpipes  etc.  as  per  technical  specifications  at MGMH Petlaburj</t>
  </si>
  <si>
    <t>SITC of Touch type LCD Area Alarm and Zonal Valve box- as per HTM 2022/02-01/ NFPA99C as per enclosed technical specifications imported for 3 gases at MGMH Petlaburj</t>
  </si>
  <si>
    <t>SITC of Touch type LCD Area Alarm and Zonal Valve box-as per HTM 2022/02-01/ NFPA99C as per enclosed technical specifications imported for Master Main Alarm including all Gases at MGMH Petlaburj</t>
  </si>
  <si>
    <t>Equipment Supplemental Works (RATES Adopted From IVF Gandhi Hospital RE)</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</si>
  <si>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</si>
  <si>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</si>
  <si>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</si>
  <si>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</si>
  <si>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</si>
  <si>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Civil Supplimental Items  (RATES Adopted From IVF Gandhi Hospital RE)</t>
  </si>
  <si>
    <t>Civil Supplimental Items  (RATES as per Quotation and SSR 2022-23)</t>
  </si>
  <si>
    <t>Plumbing Supplimental Works (RATES Adopted From IVF Gandhi Hospital RE)</t>
  </si>
  <si>
    <t>Electrical Supplimental Items (RATES Adopted From IVF Gandhi Hospital RE)</t>
  </si>
  <si>
    <t>Air Conditioning Supplemental Works (RATES Adopted From IVF Gandhi Hospital RE)</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</si>
  <si>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</si>
  <si>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</si>
  <si>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Air Conditioning Supplemental Works (RATES as per Quotation)</t>
  </si>
  <si>
    <t xml:space="preserve"> Electrical Supplimental Items (RATES as per SSR 2022-23)</t>
  </si>
  <si>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</si>
  <si>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</si>
  <si>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</si>
  <si>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</si>
  <si>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</si>
  <si>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</si>
  <si>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</si>
  <si>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</si>
  <si>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</si>
  <si>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</si>
  <si>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</si>
  <si>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</si>
  <si>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</si>
  <si>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</si>
  <si>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</si>
  <si>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</si>
  <si>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</si>
  <si>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</si>
  <si>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</si>
  <si>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</si>
  <si>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</si>
  <si>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</si>
  <si>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</si>
  <si>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</si>
  <si>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</si>
  <si>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</si>
  <si>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</si>
  <si>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</si>
  <si>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</si>
  <si>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</si>
  <si>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</si>
  <si>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</si>
  <si>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</si>
  <si>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</si>
  <si>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</si>
  <si>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</si>
  <si>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</si>
  <si>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</si>
  <si>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</si>
  <si>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</si>
  <si>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</si>
  <si>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</si>
  <si>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</si>
  <si>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</si>
  <si>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</si>
  <si>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</si>
  <si>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</si>
  <si>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</si>
  <si>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</si>
  <si>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</si>
  <si>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</si>
  <si>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</si>
  <si>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</si>
  <si>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</si>
  <si>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</si>
  <si>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</si>
  <si>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</si>
  <si>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</si>
  <si>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</si>
  <si>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</si>
  <si>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</si>
  <si>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</si>
  <si>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</si>
  <si>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</si>
  <si>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</si>
  <si>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</si>
  <si>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</si>
  <si>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</si>
  <si>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</si>
  <si>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</si>
  <si>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</si>
  <si>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</si>
  <si>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</si>
  <si>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</si>
  <si>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</si>
  <si>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</si>
  <si>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</si>
  <si>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</si>
  <si>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</si>
  <si>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</si>
  <si>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</si>
  <si>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</si>
  <si>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</si>
  <si>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</si>
  <si>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</si>
  <si>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</si>
  <si>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</si>
  <si>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</si>
  <si>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</si>
  <si>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</si>
  <si>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</si>
  <si>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</si>
  <si>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</si>
  <si>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</si>
  <si>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</si>
  <si>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</si>
  <si>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</si>
  <si>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</si>
  <si>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</si>
  <si>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</si>
  <si>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</si>
  <si>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</si>
  <si>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</si>
  <si>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</si>
  <si>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</si>
  <si>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</si>
  <si>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</si>
  <si>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</si>
  <si>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</si>
  <si>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</si>
  <si>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</si>
  <si>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</si>
  <si>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</si>
  <si>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</si>
  <si>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</si>
  <si>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</si>
  <si>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</si>
  <si>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Qty increased so as to provide AC in Anesthetist room, Embryologist room, Sample collection room and proposed as AE</t>
  </si>
  <si>
    <t>As per the site condition &amp; floor plans approved, the increase of indoor units as the new rooms added requires higher capacity of VRV system. Proposed a Supplimental item and quantity of this item not utilized. Hence savings</t>
  </si>
  <si>
    <t>Supply, Installation, Testing and commissioning of Hard copper REFRIGERANT PIPING of 16swg various sizes with necessary supports, fittings, interconnecting the liquid and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</si>
  <si>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</si>
  <si>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</si>
  <si>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</si>
  <si>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t xml:space="preserve">Embryologist, Anethesist and Sr. Faculty Room Requires this furniture as per the instructions of Enduser &amp; TSMSIDC Higher officials. hence procured </t>
  </si>
  <si>
    <t xml:space="preserve">Embryologist, Anethesist and Sr. Faculty Room requires this furniture as per the instructions of Enduser &amp; TSMSIDC Higher officials. hence procured </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</si>
  <si>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</si>
  <si>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</si>
  <si>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</si>
  <si>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</si>
  <si>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</si>
  <si>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</si>
  <si>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</si>
  <si>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</si>
  <si>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</si>
  <si>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</si>
  <si>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</si>
  <si>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</si>
  <si>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</si>
  <si>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</si>
  <si>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</si>
  <si>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</si>
  <si>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</si>
  <si>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</si>
  <si>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</si>
  <si>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</si>
  <si>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</si>
  <si>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</si>
  <si>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</si>
  <si>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</si>
  <si>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</si>
  <si>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</si>
  <si>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</si>
  <si>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</si>
  <si>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</si>
  <si>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</si>
  <si>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</si>
  <si>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</si>
  <si>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</si>
  <si>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</si>
  <si>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</si>
  <si>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</si>
  <si>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</si>
  <si>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</si>
  <si>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</si>
  <si>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</si>
  <si>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</si>
  <si>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</si>
  <si>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This item is executed since it is required for ICMR Clearance. Hence Procured</t>
  </si>
  <si>
    <t xml:space="preserve">Bed side Table with ABS Plastic body construction having 1 drawer and an adequated space with openable door with handle of size </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</si>
  <si>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</si>
  <si>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</si>
  <si>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</si>
  <si>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</si>
  <si>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This chair is mandatory for a patient for ICMR Clearance. Hence Procured</t>
  </si>
  <si>
    <t>Cryo Can 11 Ltr without wheels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</si>
  <si>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</si>
  <si>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NEW ITEMS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</si>
  <si>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</si>
  <si>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This is mandatory as per ICMR guidelines, hence item is procured as per the instructions of Enduser.</t>
  </si>
  <si>
    <t>Providing MDF 18 mm thick wooden table of size 900x450 mm with 1 drawer at right side of the table. The table includes keyboard tray. Bottom equipped with nylone bushes for floor protection and easy movement.</t>
  </si>
  <si>
    <t>This table is necessary to place the computer for ultrasound machine. Hence Procured</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</si>
  <si>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</si>
  <si>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 xml:space="preserve">It is necessary to place the equipments, hence procured as per the instructions of Higher officials. this stand is necessary to place the  Hysterscopy &amp; Laproscopy set </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</si>
  <si>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</si>
  <si>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This item is procured  as per the instructions of TSMSIDC Higher officials.</t>
  </si>
  <si>
    <r>
      <rPr>
        <b/>
        <u/>
        <sz val="12"/>
        <rFont val="Arial"/>
        <family val="2"/>
      </rPr>
      <t xml:space="preserve">Office table </t>
    </r>
    <r>
      <rPr>
        <sz val="12"/>
        <rFont val="Arial"/>
        <family val="2"/>
      </rPr>
      <t>should be made up of steel of high quality, aesthetic and ergonomic design. Top made of pre-laminated with high density Pressed wood, properly treated. Flame and water retardant with one drawer and one shelf of Size Height -750mm, Width –800mm, and Length –1200mm.</t>
    </r>
  </si>
  <si>
    <t xml:space="preserve">Embryologist and Anethesist Room requires this furniture as per the instructions of Enduser &amp; TSMSIDC Higher officials. hence procured </t>
  </si>
  <si>
    <t>Supply of Venetian blinds Vertical blinds 100 mm wide with all accessories. (For semen collection room &amp; Counselling room Windows)</t>
  </si>
  <si>
    <t>This work was taken up at Reception Area, Sr. Faculty Room, Counselling Rooms and Embryologist Room as per the instructions issued by the End user and TSMSIDC higher officials.</t>
  </si>
  <si>
    <t>Supply and fixing of High Quality IVF Procedural photos placed between two transparent acrylic boards fixed with studs at four corners to the PVC frame placed on DBs. (2' x 2' and above)</t>
  </si>
  <si>
    <t>the work was taken up at reception and entrance area as per the instructions issued by the End user and TSMSIDC higher officials.</t>
  </si>
  <si>
    <t>B) Providing and fixing the 60mm Thick Box framing as the back support for the name plate installed of 18mm BWP 710 Gurjan and 1mm thick high glossy laminate finish</t>
  </si>
  <si>
    <r>
      <rPr>
        <b/>
        <sz val="12"/>
        <rFont val="Arial"/>
        <family val="2"/>
      </rPr>
      <t>SIDE PANELING</t>
    </r>
    <r>
      <rPr>
        <sz val="12"/>
        <rFont val="Arial"/>
        <family val="2"/>
      </rPr>
      <t xml:space="preserve">
A) Door Frame Paneling with laminate Finish of 1 mm 
thick. Providing &amp; Fixing full height solid 12mm BWP 
710 GURJAN PLY Board panneling till Name Plate Height 
wooden framing in line and level including the 
neccesary hardware and cutouts</t>
    </r>
  </si>
  <si>
    <t xml:space="preserve">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Hard Ware-Handles-4 No's, Door 
Stoper-2 No's,Door Closer-1 No and Nessary Glass 
Included for (1800 x 2100 mm door) </t>
  </si>
  <si>
    <t>Providing and Fixing of  2 Feet Deep Of Ceiling Top Of 
The Name Plate With Glossy Laminate With"L" Shaped 
Wooden Supports.</t>
  </si>
  <si>
    <t>Double side ACP sheet with vinyl stickering of size 1200 mm x 450 mm hanging with chain complete for finished item of work. (Name board wth three languages fixed at IVF Entrance Corridor)</t>
  </si>
  <si>
    <t>Foam Board with eco solvent vinyl pasting of size 750 mm x 450 mm with 3M double side tape and bond. (Name board wth three languages with direction to IVF Center fixed at 3rd floor)</t>
  </si>
  <si>
    <t>Foam Board with eco solvent vinyl pasting of size 610 mm x 610 mm with 3M double side tape and bond. (Name board wth with direction to Rooms fixed to wall in IVF Corridor,)</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</si>
  <si>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</si>
  <si>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It is necessary to monitor fire alaram detectors in case of emergency. This work is executed as per the instructions of TSMSIDC Higher officials</t>
  </si>
  <si>
    <t>FFS</t>
  </si>
  <si>
    <t>Installed</t>
  </si>
  <si>
    <t>Billed</t>
  </si>
  <si>
    <t>Deleted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</si>
</sst>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 #,##0.00_ ;_ * \-#,##0.00_ ;_ * &quot;-&quot;??_ ;_ @_ "/>
    <numFmt numFmtId="164" formatCode="_(* #,##0.00_);_(* \(#,##0.00\);_(* &quot;-&quot;??_);_(@_)"/>
    <numFmt numFmtId="165" formatCode="0.0"/>
    <numFmt numFmtId="166" formatCode="_ * #,##0_ ;_ * \-#,##0_ ;_ * &quot;-&quot;??_ ;_ @_ "/>
    <numFmt numFmtId="167" formatCode="_(* #,##0_);_(* \(#,##0\);_(* &quot;-&quot;??_);_(@_)"/>
    <numFmt numFmtId="168" formatCode="0.000"/>
    <numFmt numFmtId="169" formatCode="0.00&quot;  &quot;"/>
    <numFmt numFmtId="170" formatCode="0.00000"/>
    <numFmt numFmtId="171" formatCode="#,##0.0\%_);\(#,##0.0&quot;%)&quot;"/>
    <numFmt numFmtId="172" formatCode="\\#,##0.00"/>
    <numFmt numFmtId="173" formatCode="\\#,##0"/>
    <numFmt numFmtId="174" formatCode="0%;\(0%\)"/>
    <numFmt numFmtId="175" formatCode="0.0%"/>
    <numFmt numFmtId="176" formatCode="0.000000"/>
    <numFmt numFmtId="177" formatCode="_(* #,##0_);_(* \(#,##0\);_(* \-?????_);_(@_)"/>
    <numFmt numFmtId="178" formatCode="0.000%"/>
  </numFmts>
  <fonts count="56">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BE0000"/>
      <name val="Arial"/>
      <family val="2"/>
    </font>
    <font>
      <sz val="12"/>
      <color rgb="FFFF0000"/>
      <name val="Arial"/>
      <family val="2"/>
    </font>
    <font>
      <sz val="12"/>
      <color rgb="FF333333"/>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sz val="14"/>
      <color rgb="FF000000"/>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theme="1"/>
      <name val="Arial"/>
      <family val="2"/>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
      <sz val="11"/>
      <color rgb="FF000000"/>
      <name val="Times New Roman"/>
      <family val="1"/>
    </font>
    <font>
      <b/>
      <i/>
      <sz val="12"/>
      <name val="Arial"/>
      <family val="2"/>
    </font>
  </fonts>
  <fills count="2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theme="5"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3">
    <xf numFmtId="0" fontId="0" fillId="0" borderId="0"/>
    <xf numFmtId="43" fontId="4" fillId="0" borderId="0" applyFont="0" applyFill="0" applyBorder="0" applyAlignment="0" applyProtection="0"/>
    <xf numFmtId="0" fontId="16" fillId="0" borderId="0"/>
    <xf numFmtId="0" fontId="16" fillId="0" borderId="0"/>
    <xf numFmtId="0" fontId="16" fillId="0" borderId="0"/>
    <xf numFmtId="0" fontId="4" fillId="0" borderId="0"/>
    <xf numFmtId="0" fontId="3" fillId="0" borderId="0"/>
    <xf numFmtId="0" fontId="3" fillId="0" borderId="0"/>
    <xf numFmtId="43" fontId="3"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31"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6" fillId="0" borderId="0"/>
    <xf numFmtId="0" fontId="32" fillId="0" borderId="0"/>
    <xf numFmtId="0" fontId="16" fillId="0" borderId="0"/>
    <xf numFmtId="0" fontId="31" fillId="0" borderId="0"/>
    <xf numFmtId="0" fontId="16" fillId="0" borderId="0"/>
    <xf numFmtId="0" fontId="31" fillId="0" borderId="0"/>
    <xf numFmtId="0" fontId="16" fillId="0" borderId="0"/>
    <xf numFmtId="0" fontId="4" fillId="0" borderId="0"/>
    <xf numFmtId="0" fontId="2" fillId="0" borderId="0"/>
    <xf numFmtId="0" fontId="2" fillId="0" borderId="0"/>
    <xf numFmtId="0" fontId="31" fillId="0" borderId="0"/>
    <xf numFmtId="0" fontId="31" fillId="0" borderId="0"/>
    <xf numFmtId="0" fontId="16" fillId="0" borderId="0"/>
    <xf numFmtId="0" fontId="31" fillId="0" borderId="0"/>
    <xf numFmtId="0" fontId="33" fillId="0" borderId="0"/>
    <xf numFmtId="0" fontId="31" fillId="0" borderId="0"/>
    <xf numFmtId="0" fontId="31" fillId="0" borderId="0"/>
    <xf numFmtId="0" fontId="16" fillId="0" borderId="0"/>
    <xf numFmtId="0" fontId="16" fillId="0" borderId="0"/>
    <xf numFmtId="0" fontId="2" fillId="0" borderId="0"/>
    <xf numFmtId="0" fontId="2" fillId="0" borderId="0"/>
    <xf numFmtId="0" fontId="2" fillId="0" borderId="0"/>
    <xf numFmtId="0" fontId="2" fillId="0" borderId="0"/>
    <xf numFmtId="0" fontId="16" fillId="0" borderId="0"/>
    <xf numFmtId="0" fontId="32" fillId="0" borderId="0"/>
    <xf numFmtId="0" fontId="31" fillId="0" borderId="0"/>
    <xf numFmtId="0" fontId="16" fillId="0" borderId="0"/>
    <xf numFmtId="0" fontId="16" fillId="0" borderId="0"/>
    <xf numFmtId="0" fontId="16" fillId="0" borderId="0"/>
    <xf numFmtId="0" fontId="16" fillId="0" borderId="0"/>
    <xf numFmtId="0" fontId="31" fillId="0" borderId="0"/>
    <xf numFmtId="0" fontId="2" fillId="0" borderId="0"/>
    <xf numFmtId="0" fontId="2" fillId="0" borderId="0"/>
    <xf numFmtId="0" fontId="31" fillId="0" borderId="0">
      <alignment vertical="center"/>
    </xf>
    <xf numFmtId="0" fontId="31" fillId="0" borderId="0"/>
    <xf numFmtId="0" fontId="31" fillId="0" borderId="0"/>
    <xf numFmtId="0" fontId="16" fillId="0" borderId="0"/>
    <xf numFmtId="0" fontId="34" fillId="0" borderId="0"/>
    <xf numFmtId="9" fontId="16"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0" fontId="35" fillId="0" borderId="0"/>
    <xf numFmtId="9" fontId="33"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44" fillId="0" borderId="0">
      <alignment horizontal="center"/>
    </xf>
    <xf numFmtId="0" fontId="4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7" fillId="0" borderId="0"/>
    <xf numFmtId="171" fontId="46" fillId="0" borderId="0"/>
    <xf numFmtId="10" fontId="48" fillId="0" borderId="0"/>
    <xf numFmtId="0" fontId="33" fillId="0" borderId="0"/>
    <xf numFmtId="0" fontId="4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72" fontId="45"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3" fontId="50" fillId="0" borderId="0"/>
    <xf numFmtId="174" fontId="33" fillId="0" borderId="0"/>
    <xf numFmtId="0" fontId="49" fillId="0" borderId="0"/>
    <xf numFmtId="0" fontId="46" fillId="0" borderId="0"/>
    <xf numFmtId="0" fontId="46" fillId="0" borderId="0"/>
    <xf numFmtId="175" fontId="33" fillId="0" borderId="0"/>
    <xf numFmtId="10" fontId="33" fillId="0" borderId="0"/>
    <xf numFmtId="176" fontId="46" fillId="0" borderId="0"/>
    <xf numFmtId="177" fontId="33" fillId="0" borderId="0"/>
    <xf numFmtId="0" fontId="46" fillId="0"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0" borderId="0"/>
    <xf numFmtId="0" fontId="45" fillId="18" borderId="0"/>
    <xf numFmtId="0" fontId="45" fillId="18" borderId="0"/>
    <xf numFmtId="0" fontId="45" fillId="10" borderId="0"/>
    <xf numFmtId="0" fontId="45" fillId="18"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8" borderId="0"/>
    <xf numFmtId="0" fontId="45" fillId="19" borderId="0"/>
    <xf numFmtId="0" fontId="45" fillId="19" borderId="0"/>
    <xf numFmtId="0" fontId="45" fillId="18" borderId="0"/>
    <xf numFmtId="0" fontId="45" fillId="19"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16" fillId="0"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cellStyleXfs>
  <cellXfs count="455">
    <xf numFmtId="0" fontId="0" fillId="0" borderId="0" xfId="0" applyAlignment="1">
      <alignment horizontal="left" vertical="top"/>
    </xf>
    <xf numFmtId="1" fontId="8" fillId="0" borderId="1" xfId="0" applyNumberFormat="1" applyFont="1" applyBorder="1" applyAlignment="1">
      <alignment horizontal="center" vertical="center" shrinkToFit="1"/>
    </xf>
    <xf numFmtId="0" fontId="9" fillId="0" borderId="1" xfId="0" applyFont="1" applyBorder="1" applyAlignment="1">
      <alignment horizontal="left" vertical="top" wrapText="1"/>
    </xf>
    <xf numFmtId="0" fontId="8" fillId="0" borderId="1" xfId="0" applyFont="1" applyBorder="1" applyAlignment="1">
      <alignment horizontal="center" vertical="center"/>
    </xf>
    <xf numFmtId="2" fontId="8" fillId="0" borderId="1" xfId="0" applyNumberFormat="1" applyFont="1" applyBorder="1" applyAlignment="1">
      <alignment horizontal="center" vertical="center"/>
    </xf>
    <xf numFmtId="43" fontId="8" fillId="0" borderId="1" xfId="1" applyFont="1" applyFill="1" applyBorder="1" applyAlignment="1">
      <alignment vertical="center" wrapText="1"/>
    </xf>
    <xf numFmtId="1" fontId="8" fillId="2" borderId="1" xfId="0" applyNumberFormat="1" applyFont="1" applyFill="1" applyBorder="1" applyAlignment="1">
      <alignment horizontal="center" vertical="center" shrinkToFit="1"/>
    </xf>
    <xf numFmtId="0" fontId="20" fillId="0" borderId="0" xfId="5" applyFont="1" applyAlignment="1">
      <alignment horizontal="left" vertical="top" wrapText="1"/>
    </xf>
    <xf numFmtId="0" fontId="20" fillId="0" borderId="0" xfId="5" applyFont="1" applyAlignment="1">
      <alignment horizontal="center" vertical="center" wrapText="1"/>
    </xf>
    <xf numFmtId="43" fontId="20" fillId="0" borderId="0" xfId="5" applyNumberFormat="1" applyFont="1" applyAlignment="1">
      <alignment horizontal="left" vertical="top" wrapText="1"/>
    </xf>
    <xf numFmtId="0" fontId="20" fillId="0" borderId="1" xfId="5" applyFont="1" applyBorder="1" applyAlignment="1">
      <alignment horizontal="center" vertical="center" wrapText="1"/>
    </xf>
    <xf numFmtId="0" fontId="22" fillId="0" borderId="1" xfId="6" applyFont="1" applyBorder="1" applyAlignment="1">
      <alignment horizontal="right" vertical="center" wrapText="1"/>
    </xf>
    <xf numFmtId="0" fontId="20" fillId="0" borderId="0" xfId="5" applyFont="1" applyAlignment="1">
      <alignment horizontal="left" vertical="center" wrapText="1"/>
    </xf>
    <xf numFmtId="0" fontId="20" fillId="0" borderId="1" xfId="5" applyFont="1" applyBorder="1" applyAlignment="1">
      <alignment horizontal="left" vertical="center" wrapText="1"/>
    </xf>
    <xf numFmtId="166" fontId="20" fillId="0" borderId="1" xfId="5" applyNumberFormat="1" applyFont="1" applyBorder="1" applyAlignment="1">
      <alignment horizontal="left" vertical="center" wrapText="1"/>
    </xf>
    <xf numFmtId="0" fontId="22" fillId="0" borderId="1" xfId="6" applyFont="1" applyBorder="1" applyAlignment="1">
      <alignment horizontal="left" vertical="center" wrapText="1"/>
    </xf>
    <xf numFmtId="9" fontId="22" fillId="0" borderId="1" xfId="6" applyNumberFormat="1" applyFont="1" applyBorder="1" applyAlignment="1">
      <alignment horizontal="center" vertical="center" wrapText="1"/>
    </xf>
    <xf numFmtId="0" fontId="22" fillId="0" borderId="1" xfId="6" applyFont="1" applyBorder="1" applyAlignment="1">
      <alignment horizontal="center" vertical="center" wrapText="1"/>
    </xf>
    <xf numFmtId="10" fontId="22" fillId="0" borderId="1" xfId="6" applyNumberFormat="1" applyFont="1" applyBorder="1" applyAlignment="1">
      <alignment horizontal="center" vertical="center" wrapText="1"/>
    </xf>
    <xf numFmtId="166" fontId="21" fillId="0" borderId="1" xfId="5" applyNumberFormat="1" applyFont="1" applyBorder="1" applyAlignment="1">
      <alignment horizontal="left" vertical="center" wrapText="1"/>
    </xf>
    <xf numFmtId="0" fontId="21" fillId="0" borderId="1" xfId="5" applyFont="1" applyBorder="1" applyAlignment="1">
      <alignment horizontal="right" vertical="center" wrapText="1"/>
    </xf>
    <xf numFmtId="0" fontId="20" fillId="0" borderId="1" xfId="5" applyFont="1" applyBorder="1" applyAlignment="1">
      <alignment horizontal="right" vertical="center" wrapText="1"/>
    </xf>
    <xf numFmtId="0" fontId="21" fillId="0" borderId="1" xfId="5" applyFont="1" applyBorder="1" applyAlignment="1">
      <alignment horizontal="center" vertical="center" wrapText="1"/>
    </xf>
    <xf numFmtId="0" fontId="21" fillId="0" borderId="1" xfId="5" applyFont="1" applyBorder="1" applyAlignment="1">
      <alignment horizontal="center" vertical="center"/>
    </xf>
    <xf numFmtId="0" fontId="3" fillId="3" borderId="0" xfId="7" applyFill="1"/>
    <xf numFmtId="0" fontId="3" fillId="4" borderId="0" xfId="7" applyFill="1"/>
    <xf numFmtId="0" fontId="3" fillId="5" borderId="0" xfId="7" applyFill="1"/>
    <xf numFmtId="0" fontId="3" fillId="0" borderId="0" xfId="7"/>
    <xf numFmtId="20" fontId="3" fillId="0" borderId="0" xfId="7" applyNumberFormat="1"/>
    <xf numFmtId="0" fontId="3" fillId="0" borderId="0" xfId="7" applyAlignment="1">
      <alignment horizontal="right"/>
    </xf>
    <xf numFmtId="0" fontId="3" fillId="6" borderId="0" xfId="7" applyFill="1"/>
    <xf numFmtId="0" fontId="3" fillId="7" borderId="0" xfId="7" applyFill="1"/>
    <xf numFmtId="0" fontId="0" fillId="0" borderId="1" xfId="0" applyBorder="1" applyAlignment="1">
      <alignment horizontal="left" vertical="top"/>
    </xf>
    <xf numFmtId="2" fontId="29" fillId="0" borderId="1" xfId="0" applyNumberFormat="1" applyFont="1" applyBorder="1" applyAlignment="1">
      <alignment horizontal="center" vertical="center" wrapText="1"/>
    </xf>
    <xf numFmtId="43" fontId="30" fillId="0" borderId="1" xfId="0" applyNumberFormat="1" applyFont="1" applyBorder="1" applyAlignment="1">
      <alignment horizontal="left" vertical="top"/>
    </xf>
    <xf numFmtId="2" fontId="3" fillId="0" borderId="1" xfId="7" applyNumberFormat="1" applyBorder="1" applyAlignment="1">
      <alignment horizontal="center" vertical="center"/>
    </xf>
    <xf numFmtId="0" fontId="3" fillId="0" borderId="1" xfId="7" applyBorder="1" applyAlignment="1">
      <alignment horizontal="center" vertical="center"/>
    </xf>
    <xf numFmtId="0" fontId="3" fillId="0" borderId="1" xfId="7" applyBorder="1" applyAlignment="1">
      <alignment horizontal="right" vertical="center"/>
    </xf>
    <xf numFmtId="43" fontId="0" fillId="0" borderId="1" xfId="8" applyFont="1" applyFill="1" applyBorder="1" applyAlignment="1">
      <alignment horizontal="right" vertical="center"/>
    </xf>
    <xf numFmtId="43" fontId="6" fillId="0" borderId="1" xfId="1" applyFont="1" applyFill="1" applyBorder="1" applyAlignment="1">
      <alignment horizontal="center" vertical="center" wrapText="1"/>
    </xf>
    <xf numFmtId="43" fontId="8" fillId="0" borderId="1" xfId="1" applyFont="1" applyFill="1" applyBorder="1" applyAlignment="1">
      <alignment horizontal="right" vertical="center"/>
    </xf>
    <xf numFmtId="43" fontId="8" fillId="0" borderId="1" xfId="1" applyFont="1" applyFill="1" applyBorder="1" applyAlignment="1">
      <alignment horizontal="left" vertical="center"/>
    </xf>
    <xf numFmtId="43" fontId="14" fillId="0" borderId="1" xfId="1" applyFont="1" applyFill="1" applyBorder="1" applyAlignment="1">
      <alignment horizontal="right" vertical="center"/>
    </xf>
    <xf numFmtId="0" fontId="14" fillId="0" borderId="1" xfId="0" applyFont="1" applyBorder="1" applyAlignment="1">
      <alignment horizontal="center" vertical="center"/>
    </xf>
    <xf numFmtId="166" fontId="8" fillId="0" borderId="1" xfId="1" applyNumberFormat="1" applyFont="1" applyFill="1" applyBorder="1" applyAlignment="1">
      <alignment horizontal="right" vertical="center" wrapText="1" shrinkToFit="1"/>
    </xf>
    <xf numFmtId="166" fontId="14" fillId="0" borderId="1" xfId="1" applyNumberFormat="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wrapText="1"/>
    </xf>
    <xf numFmtId="43" fontId="14" fillId="0" borderId="1" xfId="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xf>
    <xf numFmtId="166" fontId="8" fillId="0" borderId="1" xfId="9" applyNumberFormat="1" applyFont="1" applyFill="1" applyBorder="1" applyAlignment="1">
      <alignment horizontal="right" vertical="center" wrapText="1" shrinkToFit="1"/>
    </xf>
    <xf numFmtId="43" fontId="6" fillId="0" borderId="1" xfId="1" applyFont="1" applyFill="1" applyBorder="1" applyAlignment="1">
      <alignment horizontal="right" vertical="center" wrapText="1"/>
    </xf>
    <xf numFmtId="43" fontId="8" fillId="0" borderId="1" xfId="1" applyFont="1" applyFill="1" applyBorder="1" applyAlignment="1">
      <alignment horizontal="right" vertical="center" wrapText="1" shrinkToFit="1"/>
    </xf>
    <xf numFmtId="43" fontId="14" fillId="0" borderId="1" xfId="1" applyFont="1" applyFill="1" applyBorder="1" applyAlignment="1">
      <alignment horizontal="right" vertical="center" wrapText="1" shrinkToFit="1"/>
    </xf>
    <xf numFmtId="43" fontId="9" fillId="0" borderId="1" xfId="1" applyFont="1" applyFill="1" applyBorder="1" applyAlignment="1">
      <alignment horizontal="right" vertical="center" wrapText="1"/>
    </xf>
    <xf numFmtId="0" fontId="22" fillId="0" borderId="0" xfId="71" applyFont="1"/>
    <xf numFmtId="0" fontId="39" fillId="8" borderId="1" xfId="2" applyFont="1" applyFill="1" applyBorder="1"/>
    <xf numFmtId="2" fontId="40" fillId="8" borderId="1" xfId="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shrinkToFit="1"/>
    </xf>
    <xf numFmtId="0" fontId="39" fillId="8" borderId="1" xfId="2" applyFont="1" applyFill="1" applyBorder="1" applyAlignment="1">
      <alignment horizontal="center" vertical="center" shrinkToFit="1"/>
    </xf>
    <xf numFmtId="2" fontId="39" fillId="8" borderId="1" xfId="2" applyNumberFormat="1" applyFont="1" applyFill="1" applyBorder="1" applyAlignment="1">
      <alignment horizontal="center" vertical="center" shrinkToFit="1"/>
    </xf>
    <xf numFmtId="0" fontId="39" fillId="8" borderId="1" xfId="2" applyFont="1" applyFill="1" applyBorder="1" applyAlignment="1">
      <alignment horizontal="justify" vertical="top" wrapText="1"/>
    </xf>
    <xf numFmtId="0" fontId="40" fillId="8" borderId="1" xfId="2" applyFont="1" applyFill="1" applyBorder="1" applyAlignment="1">
      <alignment horizontal="justify" vertical="top" wrapText="1"/>
    </xf>
    <xf numFmtId="0" fontId="40" fillId="8" borderId="1" xfId="2" applyFont="1" applyFill="1" applyBorder="1" applyAlignment="1">
      <alignment horizontal="center" vertical="center" shrinkToFit="1"/>
    </xf>
    <xf numFmtId="0" fontId="40" fillId="8" borderId="1" xfId="2" applyFont="1" applyFill="1" applyBorder="1"/>
    <xf numFmtId="2" fontId="40" fillId="8" borderId="1" xfId="7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xf>
    <xf numFmtId="0" fontId="40" fillId="8" borderId="1" xfId="2" applyFont="1" applyFill="1" applyBorder="1" applyAlignment="1">
      <alignment horizontal="center" vertical="center"/>
    </xf>
    <xf numFmtId="0" fontId="40" fillId="8" borderId="1" xfId="2" applyFont="1" applyFill="1" applyBorder="1" applyAlignment="1">
      <alignment horizontal="justify" wrapText="1"/>
    </xf>
    <xf numFmtId="0" fontId="39" fillId="8" borderId="1" xfId="2" applyFont="1" applyFill="1" applyBorder="1" applyAlignment="1">
      <alignment horizontal="justify" wrapText="1"/>
    </xf>
    <xf numFmtId="2" fontId="39" fillId="8" borderId="1" xfId="2" applyNumberFormat="1" applyFont="1" applyFill="1" applyBorder="1" applyAlignment="1">
      <alignment horizontal="center" vertical="center"/>
    </xf>
    <xf numFmtId="2" fontId="40" fillId="8" borderId="1" xfId="2" applyNumberFormat="1" applyFont="1" applyFill="1" applyBorder="1" applyAlignment="1">
      <alignment horizontal="center" vertical="center"/>
    </xf>
    <xf numFmtId="0" fontId="39" fillId="8" borderId="1" xfId="2" applyFont="1" applyFill="1" applyBorder="1" applyAlignment="1">
      <alignment horizontal="justify" vertical="center" wrapText="1"/>
    </xf>
    <xf numFmtId="1" fontId="39" fillId="8" borderId="1" xfId="2" applyNumberFormat="1" applyFont="1" applyFill="1" applyBorder="1" applyAlignment="1">
      <alignment horizontal="center" vertical="center" shrinkToFit="1"/>
    </xf>
    <xf numFmtId="2" fontId="39" fillId="8" borderId="1" xfId="2" applyNumberFormat="1" applyFont="1" applyFill="1" applyBorder="1" applyAlignment="1">
      <alignment horizontal="right" vertical="center" wrapText="1"/>
    </xf>
    <xf numFmtId="166" fontId="39" fillId="8" borderId="1" xfId="73" applyNumberFormat="1" applyFont="1" applyFill="1" applyBorder="1" applyAlignment="1">
      <alignment horizontal="center" vertical="center" shrinkToFit="1"/>
    </xf>
    <xf numFmtId="166" fontId="39" fillId="2" borderId="1" xfId="73" applyNumberFormat="1" applyFont="1" applyFill="1" applyBorder="1" applyAlignment="1">
      <alignment horizontal="center" vertical="center" shrinkToFit="1"/>
    </xf>
    <xf numFmtId="0" fontId="22" fillId="0" borderId="0" xfId="71" applyFont="1" applyAlignment="1">
      <alignment vertical="center"/>
    </xf>
    <xf numFmtId="0" fontId="42" fillId="0" borderId="10" xfId="2" applyFont="1" applyBorder="1" applyAlignment="1">
      <alignment horizontal="justify" vertical="center" wrapText="1"/>
    </xf>
    <xf numFmtId="0" fontId="42" fillId="0" borderId="11" xfId="2" applyFont="1" applyBorder="1" applyAlignment="1">
      <alignment vertical="center" wrapText="1" shrinkToFit="1"/>
    </xf>
    <xf numFmtId="0" fontId="43" fillId="0" borderId="0" xfId="2" applyFont="1" applyAlignment="1">
      <alignment vertical="center"/>
    </xf>
    <xf numFmtId="0" fontId="43" fillId="0" borderId="10" xfId="2" applyFont="1" applyBorder="1" applyAlignment="1">
      <alignment horizontal="justify" vertical="center" wrapText="1"/>
    </xf>
    <xf numFmtId="0" fontId="43" fillId="0" borderId="11" xfId="2" applyFont="1" applyBorder="1" applyAlignment="1">
      <alignment vertical="center" wrapText="1"/>
    </xf>
    <xf numFmtId="2" fontId="43" fillId="0" borderId="11" xfId="2" applyNumberFormat="1" applyFont="1" applyBorder="1" applyAlignment="1">
      <alignment vertical="center" wrapText="1"/>
    </xf>
    <xf numFmtId="0" fontId="43" fillId="0" borderId="0" xfId="2" applyFont="1" applyAlignment="1">
      <alignment horizontal="justify" vertical="center" wrapText="1"/>
    </xf>
    <xf numFmtId="0" fontId="43" fillId="0" borderId="0" xfId="2" applyFont="1" applyAlignment="1">
      <alignment vertical="center" wrapText="1"/>
    </xf>
    <xf numFmtId="2" fontId="43" fillId="0" borderId="0" xfId="2" applyNumberFormat="1" applyFont="1" applyAlignment="1">
      <alignment vertical="center" wrapText="1"/>
    </xf>
    <xf numFmtId="2" fontId="42" fillId="0" borderId="11" xfId="2" applyNumberFormat="1" applyFont="1" applyBorder="1" applyAlignment="1">
      <alignment vertical="center" wrapText="1"/>
    </xf>
    <xf numFmtId="2" fontId="42" fillId="0" borderId="0" xfId="2" applyNumberFormat="1" applyFont="1" applyAlignment="1">
      <alignment vertical="center" wrapText="1"/>
    </xf>
    <xf numFmtId="0" fontId="42" fillId="0" borderId="0" xfId="2" applyFont="1" applyAlignment="1">
      <alignment horizontal="left" vertical="center" wrapText="1"/>
    </xf>
    <xf numFmtId="0" fontId="43" fillId="0" borderId="0" xfId="2" applyFont="1" applyAlignment="1">
      <alignment horizontal="left" vertical="center" wrapText="1"/>
    </xf>
    <xf numFmtId="0" fontId="43" fillId="0" borderId="0" xfId="2" applyFont="1" applyAlignment="1">
      <alignment horizontal="center" vertical="center" wrapText="1"/>
    </xf>
    <xf numFmtId="0" fontId="40" fillId="0" borderId="10" xfId="2" applyFont="1" applyBorder="1" applyAlignment="1">
      <alignment vertical="center"/>
    </xf>
    <xf numFmtId="0" fontId="40" fillId="0" borderId="0" xfId="2" applyFont="1" applyAlignment="1">
      <alignment vertical="center"/>
    </xf>
    <xf numFmtId="0" fontId="42" fillId="0" borderId="11" xfId="2" applyFont="1" applyBorder="1" applyAlignment="1">
      <alignment vertical="center" wrapText="1"/>
    </xf>
    <xf numFmtId="0" fontId="42" fillId="0" borderId="0" xfId="2" applyFont="1" applyAlignment="1">
      <alignment vertical="center" wrapText="1"/>
    </xf>
    <xf numFmtId="0" fontId="42" fillId="0" borderId="11" xfId="2" applyFont="1" applyBorder="1" applyAlignment="1">
      <alignment vertical="center"/>
    </xf>
    <xf numFmtId="0" fontId="42" fillId="0" borderId="0" xfId="2" applyFont="1" applyAlignment="1">
      <alignment vertical="center"/>
    </xf>
    <xf numFmtId="0" fontId="42" fillId="0" borderId="0" xfId="2" applyFont="1" applyAlignment="1">
      <alignment horizontal="justify" vertical="center" wrapText="1"/>
    </xf>
    <xf numFmtId="0" fontId="43" fillId="0" borderId="11" xfId="2" applyFont="1" applyBorder="1" applyAlignment="1">
      <alignment horizontal="left" vertical="center" wrapText="1" shrinkToFit="1"/>
    </xf>
    <xf numFmtId="1" fontId="43" fillId="0" borderId="11" xfId="2" applyNumberFormat="1" applyFont="1" applyBorder="1" applyAlignment="1">
      <alignment vertical="center" wrapText="1" shrinkToFit="1"/>
    </xf>
    <xf numFmtId="0" fontId="43" fillId="0" borderId="0" xfId="2" applyFont="1" applyAlignment="1">
      <alignment horizontal="left" vertical="center" wrapText="1" shrinkToFit="1"/>
    </xf>
    <xf numFmtId="1" fontId="43" fillId="0" borderId="0" xfId="2" applyNumberFormat="1" applyFont="1" applyAlignment="1">
      <alignment vertical="center" wrapText="1" shrinkToFit="1"/>
    </xf>
    <xf numFmtId="2" fontId="43" fillId="0" borderId="0" xfId="2" applyNumberFormat="1" applyFont="1" applyAlignment="1">
      <alignment horizontal="center" vertical="center" wrapText="1" shrinkToFit="1"/>
    </xf>
    <xf numFmtId="2" fontId="43" fillId="0" borderId="11" xfId="2" applyNumberFormat="1" applyFont="1" applyBorder="1" applyAlignment="1">
      <alignment horizontal="right" vertical="center" wrapText="1" shrinkToFit="1"/>
    </xf>
    <xf numFmtId="2" fontId="43" fillId="0" borderId="0" xfId="2" applyNumberFormat="1" applyFont="1" applyAlignment="1">
      <alignment horizontal="right" vertical="center" wrapText="1" shrinkToFit="1"/>
    </xf>
    <xf numFmtId="0" fontId="43" fillId="0" borderId="10" xfId="2" applyFont="1" applyBorder="1" applyAlignment="1">
      <alignment vertical="center"/>
    </xf>
    <xf numFmtId="0" fontId="43" fillId="0" borderId="0" xfId="2" applyFont="1" applyAlignment="1">
      <alignment horizontal="center" vertical="center"/>
    </xf>
    <xf numFmtId="2" fontId="43" fillId="0" borderId="11" xfId="72" applyNumberFormat="1" applyFont="1" applyBorder="1" applyAlignment="1">
      <alignment horizontal="right" vertical="center" wrapText="1" shrinkToFit="1"/>
    </xf>
    <xf numFmtId="0" fontId="42" fillId="0" borderId="11" xfId="2" applyFont="1" applyBorder="1" applyAlignment="1">
      <alignment horizontal="left" vertical="center" wrapText="1" shrinkToFit="1"/>
    </xf>
    <xf numFmtId="2" fontId="43" fillId="0" borderId="0" xfId="72" applyNumberFormat="1" applyFont="1" applyBorder="1" applyAlignment="1">
      <alignment horizontal="right" vertical="center" wrapText="1" shrinkToFit="1"/>
    </xf>
    <xf numFmtId="0" fontId="42" fillId="0" borderId="0" xfId="2" applyFont="1" applyAlignment="1">
      <alignment horizontal="left" vertical="center" wrapText="1" shrinkToFit="1"/>
    </xf>
    <xf numFmtId="0" fontId="43" fillId="0" borderId="11" xfId="2" applyFont="1" applyBorder="1" applyAlignment="1">
      <alignment vertical="center" wrapText="1" shrinkToFit="1"/>
    </xf>
    <xf numFmtId="1" fontId="43" fillId="0" borderId="11" xfId="2" applyNumberFormat="1" applyFont="1" applyBorder="1" applyAlignment="1">
      <alignment vertical="center" wrapText="1"/>
    </xf>
    <xf numFmtId="0" fontId="43" fillId="0" borderId="11" xfId="2" applyFont="1" applyBorder="1" applyAlignment="1">
      <alignment horizontal="left" vertical="center" wrapText="1"/>
    </xf>
    <xf numFmtId="0" fontId="43" fillId="0" borderId="0" xfId="2" applyFont="1" applyAlignment="1">
      <alignment vertical="center" wrapText="1" shrinkToFit="1"/>
    </xf>
    <xf numFmtId="1" fontId="43" fillId="0" borderId="0" xfId="2" applyNumberFormat="1" applyFont="1" applyAlignment="1">
      <alignment vertical="center" wrapText="1"/>
    </xf>
    <xf numFmtId="0" fontId="42" fillId="0" borderId="10" xfId="2" applyFont="1" applyBorder="1" applyAlignment="1">
      <alignment horizontal="left" vertical="center" wrapText="1"/>
    </xf>
    <xf numFmtId="2" fontId="43" fillId="0" borderId="11" xfId="2" applyNumberFormat="1" applyFont="1" applyBorder="1" applyAlignment="1">
      <alignment vertical="center" wrapText="1" shrinkToFit="1"/>
    </xf>
    <xf numFmtId="2" fontId="43" fillId="0" borderId="0" xfId="2" applyNumberFormat="1" applyFont="1" applyAlignment="1">
      <alignment vertical="center" wrapText="1" shrinkToFit="1"/>
    </xf>
    <xf numFmtId="2" fontId="42" fillId="0" borderId="0" xfId="2" applyNumberFormat="1" applyFont="1" applyAlignment="1">
      <alignment horizontal="center" vertical="center" wrapText="1" shrinkToFit="1"/>
    </xf>
    <xf numFmtId="0" fontId="43" fillId="0" borderId="10" xfId="2" applyFont="1" applyBorder="1" applyAlignment="1">
      <alignment vertical="center" wrapText="1"/>
    </xf>
    <xf numFmtId="170" fontId="43" fillId="0" borderId="11" xfId="72" applyNumberFormat="1" applyFont="1" applyBorder="1" applyAlignment="1">
      <alignment horizontal="right" vertical="center" wrapText="1" shrinkToFit="1"/>
    </xf>
    <xf numFmtId="170" fontId="43" fillId="0" borderId="0" xfId="72" applyNumberFormat="1" applyFont="1" applyBorder="1" applyAlignment="1">
      <alignment horizontal="right" vertical="center" wrapText="1" shrinkToFit="1"/>
    </xf>
    <xf numFmtId="0" fontId="42" fillId="0" borderId="10" xfId="2" applyFont="1" applyBorder="1" applyAlignment="1">
      <alignment vertical="center"/>
    </xf>
    <xf numFmtId="166" fontId="42" fillId="0" borderId="0" xfId="73" applyNumberFormat="1" applyFont="1" applyBorder="1" applyAlignment="1">
      <alignment horizontal="center" vertical="center" wrapText="1" shrinkToFit="1"/>
    </xf>
    <xf numFmtId="0" fontId="42" fillId="0" borderId="0" xfId="2" applyFont="1" applyAlignment="1">
      <alignment horizontal="right" vertical="center" wrapText="1"/>
    </xf>
    <xf numFmtId="0" fontId="43" fillId="0" borderId="10" xfId="2" applyFont="1" applyBorder="1" applyAlignment="1">
      <alignment horizontal="left" vertical="center" wrapText="1"/>
    </xf>
    <xf numFmtId="0" fontId="43" fillId="0" borderId="11" xfId="2" applyFont="1" applyBorder="1" applyAlignment="1">
      <alignment vertical="center"/>
    </xf>
    <xf numFmtId="0" fontId="40" fillId="0" borderId="11" xfId="2" applyFont="1" applyBorder="1" applyAlignment="1">
      <alignment vertical="center"/>
    </xf>
    <xf numFmtId="1" fontId="8" fillId="0" borderId="1" xfId="0" applyNumberFormat="1" applyFont="1" applyFill="1" applyBorder="1" applyAlignment="1">
      <alignment horizontal="left" vertical="center" wrapText="1"/>
    </xf>
    <xf numFmtId="0" fontId="51" fillId="8" borderId="0" xfId="71" applyFont="1" applyFill="1" applyAlignment="1">
      <alignment vertical="center"/>
    </xf>
    <xf numFmtId="0" fontId="22" fillId="0" borderId="1" xfId="71" applyFont="1" applyBorder="1"/>
    <xf numFmtId="166" fontId="51" fillId="2" borderId="1" xfId="1" applyNumberFormat="1" applyFont="1" applyFill="1" applyBorder="1"/>
    <xf numFmtId="0" fontId="42" fillId="0" borderId="12" xfId="2" applyFont="1" applyBorder="1" applyAlignment="1">
      <alignment vertical="center"/>
    </xf>
    <xf numFmtId="0" fontId="43" fillId="0" borderId="9" xfId="2" applyFont="1" applyBorder="1" applyAlignment="1">
      <alignment vertical="center"/>
    </xf>
    <xf numFmtId="0" fontId="43" fillId="0" borderId="9" xfId="2" applyFont="1" applyBorder="1" applyAlignment="1">
      <alignment vertical="center" wrapText="1" shrinkToFit="1"/>
    </xf>
    <xf numFmtId="0" fontId="51" fillId="0" borderId="1" xfId="2" applyFont="1" applyBorder="1"/>
    <xf numFmtId="0" fontId="51" fillId="0" borderId="1" xfId="2" applyFont="1" applyBorder="1" applyAlignment="1">
      <alignment horizontal="justify" vertical="top" wrapText="1"/>
    </xf>
    <xf numFmtId="0" fontId="51" fillId="0" borderId="1" xfId="2" applyFont="1" applyBorder="1" applyAlignment="1">
      <alignment horizontal="center" vertical="top" wrapText="1"/>
    </xf>
    <xf numFmtId="2" fontId="51" fillId="0" borderId="1" xfId="2" applyNumberFormat="1" applyFont="1" applyBorder="1" applyAlignment="1">
      <alignment horizontal="center" vertical="top" wrapText="1"/>
    </xf>
    <xf numFmtId="0" fontId="22" fillId="0" borderId="1" xfId="2" applyFont="1" applyBorder="1" applyAlignment="1">
      <alignment horizontal="justify" vertical="top" wrapText="1"/>
    </xf>
    <xf numFmtId="2" fontId="22" fillId="0" borderId="1" xfId="2" applyNumberFormat="1" applyFont="1" applyBorder="1" applyAlignment="1">
      <alignment horizontal="right" vertical="top" wrapText="1" shrinkToFit="1"/>
    </xf>
    <xf numFmtId="0" fontId="22" fillId="0" borderId="1" xfId="2" applyFont="1" applyBorder="1" applyAlignment="1">
      <alignment horizontal="left" vertical="top" wrapText="1" shrinkToFit="1"/>
    </xf>
    <xf numFmtId="2" fontId="22" fillId="0" borderId="1" xfId="2" applyNumberFormat="1" applyFont="1" applyBorder="1" applyAlignment="1">
      <alignment horizontal="center" vertical="top" wrapText="1" shrinkToFit="1"/>
    </xf>
    <xf numFmtId="1" fontId="22" fillId="0" borderId="1" xfId="2" applyNumberFormat="1" applyFont="1" applyBorder="1" applyAlignment="1">
      <alignment horizontal="right" vertical="top" wrapText="1" shrinkToFit="1"/>
    </xf>
    <xf numFmtId="2" fontId="22" fillId="0" borderId="1" xfId="2" applyNumberFormat="1" applyFont="1" applyBorder="1" applyAlignment="1">
      <alignment vertical="top" wrapText="1"/>
    </xf>
    <xf numFmtId="0" fontId="22" fillId="0" borderId="1" xfId="2" applyFont="1" applyBorder="1" applyAlignment="1">
      <alignment vertical="top" wrapText="1"/>
    </xf>
    <xf numFmtId="2" fontId="22" fillId="0" borderId="1" xfId="2" applyNumberFormat="1" applyFont="1" applyBorder="1" applyAlignment="1">
      <alignment horizontal="center" vertical="top" wrapText="1"/>
    </xf>
    <xf numFmtId="1" fontId="22" fillId="0" borderId="1" xfId="2" applyNumberFormat="1" applyFont="1" applyBorder="1" applyAlignment="1">
      <alignment vertical="top" wrapText="1"/>
    </xf>
    <xf numFmtId="2" fontId="22" fillId="0" borderId="1" xfId="2" applyNumberFormat="1" applyFont="1" applyBorder="1" applyAlignment="1">
      <alignment vertical="top" wrapText="1" shrinkToFit="1"/>
    </xf>
    <xf numFmtId="2" fontId="22" fillId="0" borderId="1" xfId="2" applyNumberFormat="1" applyFont="1" applyBorder="1" applyAlignment="1">
      <alignment horizontal="left" vertical="top" wrapText="1" shrinkToFit="1"/>
    </xf>
    <xf numFmtId="1" fontId="22" fillId="0" borderId="1" xfId="2" applyNumberFormat="1" applyFont="1" applyBorder="1" applyAlignment="1">
      <alignment vertical="top" wrapText="1" shrinkToFit="1"/>
    </xf>
    <xf numFmtId="169" fontId="22" fillId="0" borderId="1" xfId="2" applyNumberFormat="1" applyFont="1" applyBorder="1" applyAlignment="1">
      <alignment horizontal="left" vertical="top" wrapText="1" shrinkToFit="1"/>
    </xf>
    <xf numFmtId="0" fontId="51" fillId="0" borderId="1" xfId="2" applyFont="1" applyBorder="1" applyAlignment="1">
      <alignment horizontal="justify" vertical="center" wrapText="1"/>
    </xf>
    <xf numFmtId="0" fontId="51" fillId="0" borderId="1" xfId="2" applyFont="1" applyBorder="1" applyAlignment="1">
      <alignment horizontal="center" vertical="center" wrapText="1"/>
    </xf>
    <xf numFmtId="2" fontId="51" fillId="0" borderId="1" xfId="2" applyNumberFormat="1" applyFont="1" applyBorder="1" applyAlignment="1">
      <alignment horizontal="center" vertical="center" shrinkToFit="1"/>
    </xf>
    <xf numFmtId="2" fontId="51" fillId="0" borderId="1" xfId="2" applyNumberFormat="1" applyFont="1" applyBorder="1" applyAlignment="1">
      <alignment horizontal="center" vertical="top" shrinkToFit="1"/>
    </xf>
    <xf numFmtId="1" fontId="51" fillId="0" borderId="1" xfId="2" applyNumberFormat="1" applyFont="1" applyBorder="1" applyAlignment="1">
      <alignment horizontal="center" vertical="top" shrinkToFit="1"/>
    </xf>
    <xf numFmtId="0" fontId="51" fillId="0" borderId="1" xfId="2" applyFont="1" applyBorder="1" applyAlignment="1">
      <alignment horizontal="center" vertical="top" shrinkToFit="1"/>
    </xf>
    <xf numFmtId="2" fontId="22" fillId="0" borderId="1" xfId="2" applyNumberFormat="1" applyFont="1" applyBorder="1" applyAlignment="1">
      <alignment horizontal="center" vertical="top" shrinkToFit="1"/>
    </xf>
    <xf numFmtId="2" fontId="22" fillId="0" borderId="1" xfId="2" applyNumberFormat="1" applyFont="1" applyBorder="1" applyAlignment="1">
      <alignment horizontal="center" shrinkToFit="1"/>
    </xf>
    <xf numFmtId="2" fontId="22" fillId="0" borderId="1" xfId="2" applyNumberFormat="1" applyFont="1" applyBorder="1" applyAlignment="1">
      <alignment horizontal="center" vertical="center" shrinkToFit="1"/>
    </xf>
    <xf numFmtId="2" fontId="51" fillId="0" borderId="1" xfId="2" applyNumberFormat="1" applyFont="1" applyBorder="1" applyAlignment="1">
      <alignment horizontal="right" vertical="center" wrapText="1"/>
    </xf>
    <xf numFmtId="1" fontId="51" fillId="0" borderId="1" xfId="2" applyNumberFormat="1" applyFont="1" applyBorder="1" applyAlignment="1">
      <alignment horizontal="center" vertical="center" shrinkToFit="1"/>
    </xf>
    <xf numFmtId="1" fontId="51" fillId="2" borderId="1" xfId="2" applyNumberFormat="1" applyFont="1" applyFill="1" applyBorder="1" applyAlignment="1">
      <alignment horizontal="center" vertical="center" shrinkToFit="1"/>
    </xf>
    <xf numFmtId="0" fontId="51" fillId="0" borderId="11" xfId="2" applyFont="1" applyBorder="1" applyAlignment="1">
      <alignment vertical="top" wrapText="1"/>
    </xf>
    <xf numFmtId="0" fontId="22" fillId="0" borderId="11" xfId="2" applyFont="1" applyBorder="1"/>
    <xf numFmtId="0" fontId="22" fillId="0" borderId="11" xfId="2" applyFont="1" applyBorder="1" applyAlignment="1">
      <alignment horizontal="center"/>
    </xf>
    <xf numFmtId="0" fontId="22" fillId="0" borderId="11" xfId="2" applyFont="1" applyBorder="1" applyAlignment="1">
      <alignment horizontal="justify" vertical="top" wrapText="1"/>
    </xf>
    <xf numFmtId="0" fontId="51" fillId="0" borderId="11" xfId="2" applyFont="1" applyBorder="1" applyAlignment="1">
      <alignment horizontal="left" vertical="top" wrapText="1"/>
    </xf>
    <xf numFmtId="0" fontId="22" fillId="0" borderId="11" xfId="2" applyFont="1" applyBorder="1" applyAlignment="1">
      <alignment horizontal="left" vertical="top" wrapText="1"/>
    </xf>
    <xf numFmtId="0" fontId="22" fillId="0" borderId="11" xfId="2" applyFont="1" applyBorder="1" applyAlignment="1">
      <alignment horizontal="center" vertical="top" wrapText="1"/>
    </xf>
    <xf numFmtId="2" fontId="22" fillId="0" borderId="11" xfId="2" applyNumberFormat="1" applyFont="1" applyBorder="1" applyAlignment="1">
      <alignment vertical="top"/>
    </xf>
    <xf numFmtId="0" fontId="22" fillId="0" borderId="11" xfId="2" applyFont="1" applyBorder="1" applyAlignment="1">
      <alignment vertical="top"/>
    </xf>
    <xf numFmtId="2" fontId="22" fillId="0" borderId="11" xfId="2" applyNumberFormat="1" applyFont="1" applyBorder="1" applyAlignment="1">
      <alignment horizontal="center" vertical="top"/>
    </xf>
    <xf numFmtId="1" fontId="22" fillId="0" borderId="11" xfId="2" applyNumberFormat="1" applyFont="1" applyBorder="1" applyAlignment="1">
      <alignment vertical="top"/>
    </xf>
    <xf numFmtId="2" fontId="22" fillId="0" borderId="11" xfId="2" applyNumberFormat="1" applyFont="1" applyBorder="1" applyAlignment="1">
      <alignment horizontal="center" vertical="top" shrinkToFit="1"/>
    </xf>
    <xf numFmtId="0" fontId="51" fillId="0" borderId="11" xfId="2" applyFont="1" applyBorder="1" applyAlignment="1">
      <alignment horizontal="justify" vertical="top" wrapText="1"/>
    </xf>
    <xf numFmtId="0" fontId="22" fillId="0" borderId="11" xfId="2" applyFont="1" applyBorder="1" applyAlignment="1">
      <alignment horizontal="center" vertical="top"/>
    </xf>
    <xf numFmtId="168" fontId="22" fillId="0" borderId="11" xfId="2" applyNumberFormat="1" applyFont="1" applyBorder="1" applyAlignment="1">
      <alignment vertical="top"/>
    </xf>
    <xf numFmtId="2" fontId="51" fillId="0" borderId="11" xfId="2" applyNumberFormat="1" applyFont="1" applyBorder="1" applyAlignment="1">
      <alignment horizontal="center" vertical="top"/>
    </xf>
    <xf numFmtId="2" fontId="22" fillId="0" borderId="11" xfId="2" applyNumberFormat="1" applyFont="1" applyBorder="1" applyAlignment="1">
      <alignment vertical="top" shrinkToFit="1"/>
    </xf>
    <xf numFmtId="2" fontId="22" fillId="0" borderId="11" xfId="2" applyNumberFormat="1" applyFont="1" applyBorder="1" applyAlignment="1">
      <alignment horizontal="left" vertical="top" shrinkToFit="1"/>
    </xf>
    <xf numFmtId="1" fontId="22" fillId="0" borderId="11" xfId="2" applyNumberFormat="1" applyFont="1" applyBorder="1" applyAlignment="1">
      <alignment vertical="top" shrinkToFit="1"/>
    </xf>
    <xf numFmtId="169" fontId="22" fillId="0" borderId="11" xfId="2" applyNumberFormat="1" applyFont="1" applyBorder="1" applyAlignment="1">
      <alignment horizontal="left" vertical="top" shrinkToFit="1"/>
    </xf>
    <xf numFmtId="0" fontId="22" fillId="0" borderId="11" xfId="2" applyFont="1" applyBorder="1" applyAlignment="1">
      <alignment vertical="center"/>
    </xf>
    <xf numFmtId="0" fontId="22" fillId="0" borderId="11" xfId="2" applyFont="1" applyBorder="1" applyAlignment="1">
      <alignment horizontal="center" vertical="center"/>
    </xf>
    <xf numFmtId="1" fontId="51" fillId="0" borderId="11" xfId="2" applyNumberFormat="1" applyFont="1" applyBorder="1" applyAlignment="1">
      <alignment vertical="center"/>
    </xf>
    <xf numFmtId="1" fontId="22" fillId="0" borderId="11" xfId="2" applyNumberFormat="1" applyFont="1" applyBorder="1"/>
    <xf numFmtId="0" fontId="51" fillId="0" borderId="11" xfId="2" applyFont="1" applyBorder="1" applyAlignment="1">
      <alignment horizontal="center"/>
    </xf>
    <xf numFmtId="2" fontId="51" fillId="0" borderId="11" xfId="2" applyNumberFormat="1" applyFont="1" applyBorder="1" applyAlignment="1">
      <alignment horizontal="center" vertical="center" shrinkToFit="1"/>
    </xf>
    <xf numFmtId="0" fontId="51" fillId="0" borderId="11" xfId="2" applyFont="1" applyBorder="1" applyAlignment="1">
      <alignment horizontal="center" vertical="center"/>
    </xf>
    <xf numFmtId="1" fontId="51" fillId="0" borderId="11" xfId="2" applyNumberFormat="1" applyFont="1" applyBorder="1" applyAlignment="1">
      <alignment horizontal="center" vertical="center"/>
    </xf>
    <xf numFmtId="0" fontId="51" fillId="0" borderId="11" xfId="2" applyFont="1" applyBorder="1" applyAlignment="1">
      <alignment horizontal="left" vertical="top"/>
    </xf>
    <xf numFmtId="0" fontId="51" fillId="0" borderId="11" xfId="2" applyFont="1" applyBorder="1" applyAlignment="1">
      <alignment horizontal="justify" vertical="center" wrapText="1"/>
    </xf>
    <xf numFmtId="2" fontId="22" fillId="0" borderId="11" xfId="2" applyNumberFormat="1" applyFont="1" applyBorder="1" applyAlignment="1">
      <alignment vertical="center"/>
    </xf>
    <xf numFmtId="2" fontId="22" fillId="0" borderId="11" xfId="2" applyNumberFormat="1" applyFont="1" applyBorder="1" applyAlignment="1">
      <alignment horizontal="center" vertical="center"/>
    </xf>
    <xf numFmtId="2" fontId="51" fillId="0" borderId="9" xfId="2" applyNumberFormat="1" applyFont="1" applyBorder="1" applyAlignment="1">
      <alignment horizontal="right" vertical="center" wrapText="1"/>
    </xf>
    <xf numFmtId="1" fontId="51" fillId="0" borderId="9" xfId="2" applyNumberFormat="1" applyFont="1" applyBorder="1" applyAlignment="1">
      <alignment horizontal="center" vertical="center" shrinkToFit="1"/>
    </xf>
    <xf numFmtId="1" fontId="51" fillId="2" borderId="9" xfId="2" applyNumberFormat="1" applyFont="1" applyFill="1" applyBorder="1" applyAlignment="1">
      <alignment horizontal="center" vertical="center" shrinkToFit="1"/>
    </xf>
    <xf numFmtId="0" fontId="22" fillId="0" borderId="1" xfId="18" applyFont="1" applyBorder="1" applyAlignment="1">
      <alignment vertical="top" wrapText="1"/>
    </xf>
    <xf numFmtId="2" fontId="40" fillId="0" borderId="1" xfId="18" applyNumberFormat="1" applyFont="1" applyBorder="1" applyAlignment="1">
      <alignment horizontal="center" vertical="top" wrapText="1"/>
    </xf>
    <xf numFmtId="0" fontId="40" fillId="0" borderId="1" xfId="18" applyFont="1" applyBorder="1" applyAlignment="1">
      <alignment horizontal="center" vertical="top" wrapText="1"/>
    </xf>
    <xf numFmtId="1" fontId="40" fillId="0" borderId="1" xfId="18" applyNumberFormat="1" applyFont="1" applyBorder="1" applyAlignment="1">
      <alignment horizontal="center" vertical="top" wrapText="1"/>
    </xf>
    <xf numFmtId="2" fontId="40" fillId="0" borderId="1" xfId="18" applyNumberFormat="1" applyFont="1" applyBorder="1" applyAlignment="1">
      <alignment horizontal="center" vertical="top"/>
    </xf>
    <xf numFmtId="0" fontId="39" fillId="0" borderId="1" xfId="18" applyFont="1" applyBorder="1" applyAlignment="1">
      <alignment horizontal="right" vertical="top" wrapText="1"/>
    </xf>
    <xf numFmtId="178" fontId="40" fillId="0" borderId="1" xfId="18" applyNumberFormat="1" applyFont="1" applyBorder="1" applyAlignment="1">
      <alignment horizontal="center" vertical="top"/>
    </xf>
    <xf numFmtId="4" fontId="39" fillId="0" borderId="1" xfId="18" applyNumberFormat="1" applyFont="1" applyBorder="1" applyAlignment="1">
      <alignment horizontal="center" vertical="top" wrapText="1"/>
    </xf>
    <xf numFmtId="1" fontId="39" fillId="0" borderId="1" xfId="18" applyNumberFormat="1" applyFont="1" applyBorder="1" applyAlignment="1">
      <alignment horizontal="center" vertical="top" wrapText="1"/>
    </xf>
    <xf numFmtId="2" fontId="39" fillId="0" borderId="1" xfId="18" applyNumberFormat="1" applyFont="1" applyBorder="1" applyAlignment="1">
      <alignment horizontal="center" vertical="top"/>
    </xf>
    <xf numFmtId="0" fontId="22" fillId="0" borderId="1" xfId="18" applyFont="1" applyBorder="1"/>
    <xf numFmtId="2" fontId="22" fillId="0" borderId="1" xfId="18" applyNumberFormat="1" applyFont="1" applyBorder="1" applyAlignment="1">
      <alignment horizontal="center"/>
    </xf>
    <xf numFmtId="2" fontId="43" fillId="0" borderId="15" xfId="2" applyNumberFormat="1" applyFont="1" applyBorder="1" applyAlignment="1">
      <alignment horizontal="center" vertical="center" wrapText="1" shrinkToFit="1"/>
    </xf>
    <xf numFmtId="0" fontId="43" fillId="0" borderId="15" xfId="2" applyFont="1" applyBorder="1" applyAlignment="1">
      <alignment vertical="center" wrapText="1"/>
    </xf>
    <xf numFmtId="0" fontId="42" fillId="0" borderId="15" xfId="2" applyFont="1" applyBorder="1" applyAlignment="1">
      <alignment horizontal="left" vertical="center" wrapText="1"/>
    </xf>
    <xf numFmtId="0" fontId="43" fillId="0" borderId="15" xfId="2" applyFont="1" applyBorder="1" applyAlignment="1">
      <alignment horizontal="center" vertical="center" wrapText="1"/>
    </xf>
    <xf numFmtId="0" fontId="43" fillId="0" borderId="15" xfId="2" applyFont="1" applyBorder="1" applyAlignment="1">
      <alignment vertical="center"/>
    </xf>
    <xf numFmtId="0" fontId="43" fillId="0" borderId="15" xfId="2" applyFont="1" applyBorder="1" applyAlignment="1">
      <alignment horizontal="center" vertical="center"/>
    </xf>
    <xf numFmtId="2" fontId="42" fillId="0" borderId="15" xfId="2" applyNumberFormat="1" applyFont="1" applyBorder="1" applyAlignment="1">
      <alignment horizontal="center" vertical="center" wrapText="1" shrinkToFit="1"/>
    </xf>
    <xf numFmtId="166" fontId="42" fillId="2" borderId="16" xfId="73" applyNumberFormat="1" applyFont="1" applyFill="1" applyBorder="1" applyAlignment="1">
      <alignment horizontal="center" vertical="center" wrapText="1" shrinkToFit="1"/>
    </xf>
    <xf numFmtId="2" fontId="22" fillId="0" borderId="15" xfId="2" applyNumberFormat="1" applyFont="1" applyBorder="1" applyAlignment="1">
      <alignment horizontal="center" vertical="top" wrapText="1"/>
    </xf>
    <xf numFmtId="2" fontId="22" fillId="0" borderId="15" xfId="2" applyNumberFormat="1" applyFont="1" applyBorder="1" applyAlignment="1">
      <alignment horizontal="center" vertical="top" shrinkToFit="1"/>
    </xf>
    <xf numFmtId="2" fontId="22" fillId="0" borderId="15" xfId="2" applyNumberFormat="1" applyFont="1" applyBorder="1" applyAlignment="1">
      <alignment horizontal="center" vertical="top"/>
    </xf>
    <xf numFmtId="2" fontId="51" fillId="0" borderId="15" xfId="2" applyNumberFormat="1" applyFont="1" applyBorder="1" applyAlignment="1">
      <alignment horizontal="center" vertical="center"/>
    </xf>
    <xf numFmtId="2" fontId="51" fillId="0" borderId="15" xfId="2" applyNumberFormat="1" applyFont="1" applyBorder="1" applyAlignment="1">
      <alignment horizontal="center"/>
    </xf>
    <xf numFmtId="1" fontId="51" fillId="0" borderId="15" xfId="2" applyNumberFormat="1" applyFont="1" applyBorder="1" applyAlignment="1">
      <alignment horizontal="center" vertical="center"/>
    </xf>
    <xf numFmtId="2" fontId="22" fillId="0" borderId="15" xfId="2" applyNumberFormat="1" applyFont="1" applyBorder="1" applyAlignment="1">
      <alignment vertical="center"/>
    </xf>
    <xf numFmtId="1" fontId="51" fillId="0" borderId="16" xfId="2" applyNumberFormat="1" applyFont="1" applyBorder="1" applyAlignment="1">
      <alignment horizontal="center" vertical="center" shrinkToFit="1"/>
    </xf>
    <xf numFmtId="166" fontId="20" fillId="0" borderId="0" xfId="5" applyNumberFormat="1" applyFont="1" applyAlignment="1">
      <alignment horizontal="left" vertical="top" wrapText="1"/>
    </xf>
    <xf numFmtId="0" fontId="0" fillId="0" borderId="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52" fillId="0" borderId="1" xfId="0" applyFont="1" applyBorder="1" applyAlignment="1">
      <alignment horizontal="left" vertical="top"/>
    </xf>
    <xf numFmtId="0" fontId="4" fillId="0" borderId="1" xfId="0" applyFont="1" applyBorder="1" applyAlignment="1">
      <alignment horizontal="left" vertical="top"/>
    </xf>
    <xf numFmtId="43" fontId="20" fillId="0" borderId="1" xfId="5" applyNumberFormat="1" applyFont="1" applyBorder="1" applyAlignment="1">
      <alignment horizontal="left" vertical="center" wrapText="1"/>
    </xf>
    <xf numFmtId="0" fontId="20" fillId="0" borderId="0" xfId="5" applyFont="1" applyAlignment="1">
      <alignment horizontal="right" vertical="top" wrapText="1"/>
    </xf>
    <xf numFmtId="43" fontId="20" fillId="0" borderId="0" xfId="5" applyNumberFormat="1" applyFont="1" applyAlignment="1">
      <alignment horizontal="right" vertical="top" wrapText="1"/>
    </xf>
    <xf numFmtId="0" fontId="20" fillId="0" borderId="8" xfId="5" applyFont="1" applyBorder="1" applyAlignment="1">
      <alignment horizontal="right" vertical="top" wrapText="1"/>
    </xf>
    <xf numFmtId="0" fontId="20" fillId="0" borderId="8" xfId="5" applyFont="1" applyBorder="1" applyAlignment="1">
      <alignment horizontal="left" vertical="top" wrapText="1"/>
    </xf>
    <xf numFmtId="166" fontId="20" fillId="0" borderId="8" xfId="5" applyNumberFormat="1" applyFont="1" applyBorder="1" applyAlignment="1">
      <alignment horizontal="left" vertical="top" wrapText="1"/>
    </xf>
    <xf numFmtId="0" fontId="53" fillId="0" borderId="25" xfId="5" applyFont="1" applyBorder="1" applyAlignment="1">
      <alignment horizontal="right" vertical="center" wrapText="1"/>
    </xf>
    <xf numFmtId="0" fontId="53" fillId="0" borderId="25" xfId="5" applyFont="1" applyBorder="1" applyAlignment="1">
      <alignment horizontal="left" vertical="center" wrapText="1"/>
    </xf>
    <xf numFmtId="166" fontId="53" fillId="0" borderId="25" xfId="5" applyNumberFormat="1" applyFont="1" applyBorder="1" applyAlignment="1">
      <alignment horizontal="left" vertical="center" wrapText="1"/>
    </xf>
    <xf numFmtId="0" fontId="20" fillId="0" borderId="25" xfId="5" applyFont="1" applyBorder="1" applyAlignment="1">
      <alignment horizontal="left" vertical="center" wrapText="1"/>
    </xf>
    <xf numFmtId="1" fontId="20" fillId="0" borderId="1" xfId="0" applyNumberFormat="1" applyFont="1" applyBorder="1" applyAlignment="1">
      <alignment horizontal="center" vertical="center" shrinkToFit="1"/>
    </xf>
    <xf numFmtId="0" fontId="40" fillId="0" borderId="1" xfId="0" applyFont="1" applyBorder="1" applyAlignment="1">
      <alignment horizontal="left" vertical="center" wrapText="1"/>
    </xf>
    <xf numFmtId="0" fontId="54" fillId="0" borderId="0" xfId="0" applyFont="1" applyAlignment="1">
      <alignment horizontal="left" vertical="top"/>
    </xf>
    <xf numFmtId="0" fontId="20" fillId="0" borderId="1" xfId="0" applyFont="1" applyBorder="1" applyAlignment="1">
      <alignment horizontal="center" vertical="center"/>
    </xf>
    <xf numFmtId="0" fontId="54" fillId="0" borderId="1" xfId="0" applyFont="1" applyBorder="1" applyAlignment="1">
      <alignment horizontal="left" vertical="top"/>
    </xf>
    <xf numFmtId="0" fontId="20" fillId="0" borderId="1" xfId="0" applyFont="1" applyBorder="1" applyAlignment="1">
      <alignment horizontal="left" vertical="top" wrapText="1"/>
    </xf>
    <xf numFmtId="0" fontId="54" fillId="0" borderId="1" xfId="0" applyFont="1" applyBorder="1" applyAlignment="1">
      <alignment horizontal="center" vertical="center"/>
    </xf>
    <xf numFmtId="0" fontId="21" fillId="0" borderId="1" xfId="0" applyFont="1" applyBorder="1" applyAlignment="1">
      <alignment horizontal="center" vertical="center"/>
    </xf>
    <xf numFmtId="2" fontId="20" fillId="0" borderId="1" xfId="0" applyNumberFormat="1" applyFont="1" applyBorder="1" applyAlignment="1">
      <alignment horizontal="center" vertical="center"/>
    </xf>
    <xf numFmtId="166" fontId="20" fillId="0" borderId="0" xfId="5" applyNumberFormat="1" applyFont="1" applyAlignment="1">
      <alignment horizontal="left" vertical="center" wrapText="1"/>
    </xf>
    <xf numFmtId="43" fontId="8" fillId="0" borderId="1" xfId="1" applyFont="1" applyFill="1" applyBorder="1" applyAlignment="1">
      <alignment horizontal="center" vertical="center" wrapText="1"/>
    </xf>
    <xf numFmtId="0" fontId="23" fillId="0" borderId="1" xfId="5" applyFont="1" applyBorder="1" applyAlignment="1">
      <alignment horizontal="center" wrapText="1"/>
    </xf>
    <xf numFmtId="0" fontId="14" fillId="0" borderId="2" xfId="5" applyFont="1" applyBorder="1" applyAlignment="1">
      <alignment horizontal="center" wrapText="1"/>
    </xf>
    <xf numFmtId="0" fontId="14" fillId="0" borderId="4" xfId="5" applyFont="1" applyBorder="1" applyAlignment="1">
      <alignment horizontal="center" wrapText="1"/>
    </xf>
    <xf numFmtId="0" fontId="14" fillId="0" borderId="3" xfId="5" applyFont="1" applyBorder="1" applyAlignment="1">
      <alignment horizontal="center" wrapText="1"/>
    </xf>
    <xf numFmtId="0" fontId="28" fillId="0" borderId="1" xfId="7" applyFont="1" applyBorder="1" applyAlignment="1">
      <alignment horizontal="center" vertical="center" wrapText="1"/>
    </xf>
    <xf numFmtId="0" fontId="28" fillId="0" borderId="1" xfId="7" applyFont="1" applyBorder="1" applyAlignment="1">
      <alignment horizontal="center" vertical="center"/>
    </xf>
    <xf numFmtId="0" fontId="27" fillId="0" borderId="1" xfId="7" applyFont="1" applyBorder="1" applyAlignment="1">
      <alignment horizontal="center" vertical="center" wrapText="1"/>
    </xf>
    <xf numFmtId="0" fontId="27" fillId="0" borderId="1" xfId="7" applyFont="1" applyBorder="1" applyAlignment="1">
      <alignment horizontal="center" vertical="center"/>
    </xf>
    <xf numFmtId="0" fontId="22" fillId="0" borderId="1" xfId="2" applyFont="1" applyBorder="1" applyAlignment="1">
      <alignment horizontal="left" vertical="top" wrapText="1"/>
    </xf>
    <xf numFmtId="0" fontId="51" fillId="8" borderId="1" xfId="2" applyFont="1" applyFill="1" applyBorder="1" applyAlignment="1">
      <alignment horizontal="center" vertical="center"/>
    </xf>
    <xf numFmtId="0" fontId="38" fillId="8" borderId="1" xfId="71" applyFont="1" applyFill="1" applyBorder="1" applyAlignment="1">
      <alignment horizontal="center" vertical="center"/>
    </xf>
    <xf numFmtId="0" fontId="51" fillId="8" borderId="2" xfId="2" applyFont="1" applyFill="1" applyBorder="1" applyAlignment="1">
      <alignment horizontal="center" vertical="center"/>
    </xf>
    <xf numFmtId="0" fontId="51" fillId="8" borderId="4" xfId="2" applyFont="1" applyFill="1" applyBorder="1" applyAlignment="1">
      <alignment horizontal="center" vertical="center"/>
    </xf>
    <xf numFmtId="0" fontId="51" fillId="8" borderId="3" xfId="2" applyFont="1" applyFill="1" applyBorder="1" applyAlignment="1">
      <alignment horizontal="center" vertical="center"/>
    </xf>
    <xf numFmtId="0" fontId="51" fillId="8" borderId="1" xfId="71" applyFont="1" applyFill="1" applyBorder="1" applyAlignment="1">
      <alignment horizontal="center" vertical="center"/>
    </xf>
    <xf numFmtId="1" fontId="51" fillId="8" borderId="2" xfId="2" applyNumberFormat="1" applyFont="1" applyFill="1" applyBorder="1" applyAlignment="1">
      <alignment horizontal="center" vertical="center"/>
    </xf>
    <xf numFmtId="1" fontId="51" fillId="8" borderId="4" xfId="2" applyNumberFormat="1" applyFont="1" applyFill="1" applyBorder="1" applyAlignment="1">
      <alignment horizontal="center" vertical="center"/>
    </xf>
    <xf numFmtId="1" fontId="51" fillId="8" borderId="3" xfId="2" applyNumberFormat="1" applyFont="1" applyFill="1" applyBorder="1" applyAlignment="1">
      <alignment horizontal="center" vertical="center"/>
    </xf>
    <xf numFmtId="0" fontId="38" fillId="8" borderId="8" xfId="71" applyFont="1" applyFill="1" applyBorder="1" applyAlignment="1">
      <alignment horizontal="center" vertical="center"/>
    </xf>
    <xf numFmtId="0" fontId="39" fillId="8" borderId="2" xfId="2" applyFont="1" applyFill="1" applyBorder="1" applyAlignment="1">
      <alignment horizontal="left" vertical="top" wrapText="1"/>
    </xf>
    <xf numFmtId="0" fontId="39" fillId="8" borderId="4" xfId="2" applyFont="1" applyFill="1" applyBorder="1" applyAlignment="1">
      <alignment horizontal="left" vertical="top" wrapText="1"/>
    </xf>
    <xf numFmtId="0" fontId="39" fillId="8" borderId="3" xfId="2" applyFont="1" applyFill="1" applyBorder="1" applyAlignment="1">
      <alignment horizontal="left" vertical="top" wrapText="1"/>
    </xf>
    <xf numFmtId="1" fontId="51" fillId="8" borderId="17" xfId="2" applyNumberFormat="1" applyFont="1" applyFill="1" applyBorder="1" applyAlignment="1">
      <alignment horizontal="center" vertical="center"/>
    </xf>
    <xf numFmtId="1" fontId="51" fillId="8" borderId="19" xfId="2" applyNumberFormat="1" applyFont="1" applyFill="1" applyBorder="1" applyAlignment="1">
      <alignment horizontal="center" vertical="center"/>
    </xf>
    <xf numFmtId="0" fontId="51" fillId="0" borderId="18" xfId="2" applyFont="1" applyBorder="1" applyAlignment="1">
      <alignment horizontal="left" vertical="top" wrapText="1"/>
    </xf>
    <xf numFmtId="0" fontId="51" fillId="0" borderId="13" xfId="2" applyFont="1" applyBorder="1" applyAlignment="1">
      <alignment horizontal="left" vertical="top" wrapText="1"/>
    </xf>
    <xf numFmtId="0" fontId="51" fillId="0" borderId="14" xfId="2" applyFont="1" applyBorder="1" applyAlignment="1">
      <alignment horizontal="left" vertical="top" wrapText="1"/>
    </xf>
    <xf numFmtId="0" fontId="42" fillId="0" borderId="9" xfId="2" applyFont="1" applyBorder="1" applyAlignment="1">
      <alignment horizontal="right" vertical="center" wrapText="1"/>
    </xf>
    <xf numFmtId="0" fontId="42" fillId="0" borderId="0" xfId="2" applyFont="1" applyAlignment="1">
      <alignment horizontal="right" vertical="center" wrapText="1"/>
    </xf>
    <xf numFmtId="0" fontId="51" fillId="0" borderId="1" xfId="2" applyFont="1" applyBorder="1" applyAlignment="1">
      <alignment horizontal="left" vertical="top" wrapText="1"/>
    </xf>
    <xf numFmtId="0" fontId="51" fillId="8" borderId="5" xfId="71" applyFont="1" applyFill="1" applyBorder="1" applyAlignment="1">
      <alignment horizontal="center" vertical="center"/>
    </xf>
    <xf numFmtId="0" fontId="51" fillId="8" borderId="7" xfId="71" applyFont="1" applyFill="1" applyBorder="1" applyAlignment="1">
      <alignment horizontal="center" vertical="center"/>
    </xf>
    <xf numFmtId="0" fontId="43" fillId="0" borderId="13" xfId="2" applyFont="1" applyBorder="1" applyAlignment="1">
      <alignment horizontal="left" vertical="center" wrapText="1"/>
    </xf>
    <xf numFmtId="0" fontId="43" fillId="0" borderId="14" xfId="2" applyFont="1" applyBorder="1" applyAlignment="1">
      <alignment horizontal="left" vertical="center" wrapText="1"/>
    </xf>
    <xf numFmtId="0" fontId="43" fillId="0" borderId="11" xfId="2" applyFont="1" applyBorder="1" applyAlignment="1">
      <alignment vertical="center"/>
    </xf>
    <xf numFmtId="0" fontId="43" fillId="0" borderId="0" xfId="2" applyFont="1" applyAlignment="1">
      <alignment vertical="center"/>
    </xf>
    <xf numFmtId="0" fontId="40" fillId="0" borderId="11" xfId="2" applyFont="1" applyBorder="1" applyAlignment="1">
      <alignment vertical="center"/>
    </xf>
    <xf numFmtId="0" fontId="40" fillId="0" borderId="0" xfId="2" applyFont="1" applyAlignment="1">
      <alignment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14" fillId="0" borderId="1" xfId="5" applyFont="1" applyBorder="1" applyAlignment="1">
      <alignment horizontal="center" wrapText="1"/>
    </xf>
    <xf numFmtId="0" fontId="23" fillId="0" borderId="2" xfId="5" applyFont="1" applyBorder="1" applyAlignment="1">
      <alignment horizontal="center" vertical="center" wrapText="1"/>
    </xf>
    <xf numFmtId="0" fontId="23" fillId="0" borderId="4" xfId="5" applyFont="1" applyBorder="1" applyAlignment="1">
      <alignment horizontal="center" vertical="center" wrapText="1"/>
    </xf>
    <xf numFmtId="0" fontId="23" fillId="0" borderId="3" xfId="5" applyFont="1" applyBorder="1" applyAlignment="1">
      <alignment horizontal="center" vertical="center" wrapText="1"/>
    </xf>
    <xf numFmtId="0" fontId="5" fillId="0" borderId="1" xfId="0" applyFont="1" applyFill="1" applyBorder="1" applyAlignment="1">
      <alignment horizontal="center" vertical="top" wrapText="1"/>
    </xf>
    <xf numFmtId="0" fontId="8" fillId="0" borderId="1" xfId="0" applyFont="1" applyFill="1" applyBorder="1" applyAlignment="1">
      <alignment horizontal="left" vertical="top"/>
    </xf>
    <xf numFmtId="0" fontId="8"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right" vertical="center" wrapText="1"/>
    </xf>
    <xf numFmtId="2" fontId="6"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8" fillId="0" borderId="1" xfId="0" applyFont="1" applyFill="1" applyBorder="1" applyAlignment="1">
      <alignment horizontal="right" vertical="center"/>
    </xf>
    <xf numFmtId="0" fontId="8" fillId="0" borderId="1" xfId="0" applyFont="1" applyFill="1" applyBorder="1" applyAlignment="1">
      <alignment horizontal="center" vertical="center"/>
    </xf>
    <xf numFmtId="43" fontId="8" fillId="0" borderId="1" xfId="0" applyNumberFormat="1" applyFont="1" applyFill="1" applyBorder="1" applyAlignment="1">
      <alignment horizontal="right" vertical="center"/>
    </xf>
    <xf numFmtId="0" fontId="8"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1" fontId="8" fillId="0" borderId="1" xfId="0" applyNumberFormat="1" applyFont="1" applyFill="1" applyBorder="1" applyAlignment="1">
      <alignment horizontal="center" vertical="center" shrinkToFit="1"/>
    </xf>
    <xf numFmtId="0" fontId="9"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14" fillId="0" borderId="1" xfId="0" applyFont="1" applyFill="1" applyBorder="1" applyAlignment="1">
      <alignment horizontal="left" vertical="center"/>
    </xf>
    <xf numFmtId="43" fontId="25" fillId="0" borderId="1" xfId="0" applyNumberFormat="1" applyFont="1" applyFill="1" applyBorder="1" applyAlignment="1">
      <alignment horizontal="left" vertical="center"/>
    </xf>
    <xf numFmtId="2" fontId="9" fillId="0" borderId="1" xfId="0" applyNumberFormat="1" applyFont="1" applyFill="1" applyBorder="1" applyAlignment="1">
      <alignment horizontal="center" vertical="center"/>
    </xf>
    <xf numFmtId="0" fontId="8" fillId="0" borderId="5" xfId="0" applyFont="1" applyFill="1" applyBorder="1" applyAlignment="1">
      <alignment horizontal="left" vertical="center" wrapText="1"/>
    </xf>
    <xf numFmtId="0" fontId="14" fillId="0" borderId="1" xfId="0" applyFont="1" applyFill="1" applyBorder="1" applyAlignment="1">
      <alignment horizontal="right" vertical="center"/>
    </xf>
    <xf numFmtId="0" fontId="8" fillId="0" borderId="6" xfId="0" applyFont="1" applyFill="1" applyBorder="1" applyAlignment="1">
      <alignment horizontal="left" vertical="center" wrapText="1"/>
    </xf>
    <xf numFmtId="43" fontId="14" fillId="0" borderId="1" xfId="0" applyNumberFormat="1" applyFont="1" applyFill="1" applyBorder="1" applyAlignment="1">
      <alignment horizontal="right" vertical="center"/>
    </xf>
    <xf numFmtId="166" fontId="14" fillId="0" borderId="1" xfId="0" applyNumberFormat="1" applyFont="1" applyFill="1" applyBorder="1" applyAlignment="1">
      <alignment horizontal="right" vertical="center"/>
    </xf>
    <xf numFmtId="0" fontId="10" fillId="0" borderId="1" xfId="0" applyFont="1" applyFill="1" applyBorder="1" applyAlignment="1">
      <alignment horizontal="left" vertical="center"/>
    </xf>
    <xf numFmtId="0" fontId="8" fillId="0" borderId="1" xfId="0" applyFont="1" applyFill="1" applyBorder="1" applyAlignment="1">
      <alignment horizontal="left" vertical="center" wrapText="1"/>
    </xf>
    <xf numFmtId="165" fontId="8" fillId="0" borderId="1" xfId="0" applyNumberFormat="1" applyFont="1" applyFill="1" applyBorder="1" applyAlignment="1">
      <alignment horizontal="center" vertical="center" shrinkToFit="1"/>
    </xf>
    <xf numFmtId="1" fontId="8" fillId="0" borderId="1" xfId="0" applyNumberFormat="1" applyFont="1" applyFill="1" applyBorder="1" applyAlignment="1">
      <alignment horizontal="center" vertical="center" shrinkToFit="1"/>
    </xf>
    <xf numFmtId="0" fontId="9"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43" fontId="8" fillId="0" borderId="1" xfId="0" applyNumberFormat="1" applyFont="1" applyFill="1" applyBorder="1" applyAlignment="1">
      <alignment horizontal="center" vertical="center"/>
    </xf>
    <xf numFmtId="2"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43" fontId="8" fillId="0" borderId="1" xfId="1" applyFont="1" applyFill="1" applyBorder="1" applyAlignment="1">
      <alignment horizontal="right" vertical="center"/>
    </xf>
    <xf numFmtId="164" fontId="8" fillId="0" borderId="1" xfId="0" applyNumberFormat="1" applyFont="1" applyFill="1" applyBorder="1" applyAlignment="1">
      <alignment horizontal="left" vertical="center" wrapText="1"/>
    </xf>
    <xf numFmtId="0" fontId="14" fillId="0" borderId="1" xfId="0" applyFont="1" applyFill="1" applyBorder="1" applyAlignment="1">
      <alignment horizontal="left" vertical="center" wrapText="1"/>
    </xf>
    <xf numFmtId="0" fontId="14" fillId="0" borderId="1" xfId="0" applyFont="1" applyFill="1" applyBorder="1" applyAlignment="1">
      <alignment horizontal="center" vertical="center"/>
    </xf>
    <xf numFmtId="164" fontId="14" fillId="0" borderId="1" xfId="0" applyNumberFormat="1" applyFont="1" applyFill="1" applyBorder="1" applyAlignment="1">
      <alignment horizontal="left" vertical="center" wrapText="1"/>
    </xf>
    <xf numFmtId="43" fontId="8" fillId="0" borderId="1" xfId="0" applyNumberFormat="1" applyFont="1" applyFill="1" applyBorder="1" applyAlignment="1">
      <alignment horizontal="left" vertical="center" wrapText="1"/>
    </xf>
    <xf numFmtId="0" fontId="17" fillId="0" borderId="1" xfId="0" applyFont="1" applyFill="1" applyBorder="1" applyAlignment="1">
      <alignment vertical="center"/>
    </xf>
    <xf numFmtId="2" fontId="8" fillId="0" borderId="1" xfId="0" applyNumberFormat="1" applyFont="1" applyFill="1" applyBorder="1" applyAlignment="1">
      <alignment horizontal="center" vertical="center" wrapText="1" shrinkToFit="1"/>
    </xf>
    <xf numFmtId="1" fontId="8" fillId="0" borderId="1" xfId="0" applyNumberFormat="1" applyFont="1" applyFill="1" applyBorder="1" applyAlignment="1">
      <alignment horizontal="center" vertical="center" wrapText="1" shrinkToFit="1"/>
    </xf>
    <xf numFmtId="4" fontId="8" fillId="0" borderId="1" xfId="0" applyNumberFormat="1" applyFont="1" applyFill="1" applyBorder="1" applyAlignment="1">
      <alignment horizontal="right" vertical="center" wrapText="1"/>
    </xf>
    <xf numFmtId="4" fontId="8" fillId="0" borderId="1" xfId="0" applyNumberFormat="1" applyFont="1" applyFill="1" applyBorder="1" applyAlignment="1">
      <alignment horizontal="right" vertical="center" wrapText="1" shrinkToFit="1"/>
    </xf>
    <xf numFmtId="0" fontId="26" fillId="0" borderId="1" xfId="0" applyFont="1" applyFill="1" applyBorder="1" applyAlignment="1">
      <alignment vertical="center"/>
    </xf>
    <xf numFmtId="0" fontId="6" fillId="0" borderId="1" xfId="2" applyFont="1" applyFill="1" applyBorder="1" applyAlignment="1">
      <alignment horizontal="left" vertical="center" wrapText="1"/>
    </xf>
    <xf numFmtId="2" fontId="8" fillId="0" borderId="1" xfId="0" applyNumberFormat="1" applyFont="1" applyFill="1" applyBorder="1" applyAlignment="1">
      <alignment horizontal="left" vertical="center"/>
    </xf>
    <xf numFmtId="0" fontId="6" fillId="0" borderId="1" xfId="2" applyFont="1" applyFill="1" applyBorder="1" applyAlignment="1">
      <alignment vertical="center" wrapText="1"/>
    </xf>
    <xf numFmtId="0" fontId="9" fillId="0" borderId="1" xfId="2" applyFont="1" applyFill="1" applyBorder="1" applyAlignment="1">
      <alignment vertical="center" wrapText="1"/>
    </xf>
    <xf numFmtId="2" fontId="8" fillId="0" borderId="1" xfId="0" applyNumberFormat="1" applyFont="1" applyFill="1" applyBorder="1" applyAlignment="1">
      <alignment vertical="center" wrapText="1"/>
    </xf>
    <xf numFmtId="0" fontId="8" fillId="0" borderId="1" xfId="0" applyFont="1" applyFill="1" applyBorder="1" applyAlignment="1">
      <alignment vertical="center" wrapText="1"/>
    </xf>
    <xf numFmtId="2" fontId="8" fillId="0" borderId="1" xfId="0" applyNumberFormat="1" applyFont="1" applyFill="1" applyBorder="1" applyAlignment="1">
      <alignment horizontal="center" vertical="center" wrapText="1"/>
    </xf>
    <xf numFmtId="43" fontId="9" fillId="0" borderId="1" xfId="1" applyFont="1" applyFill="1" applyBorder="1" applyAlignment="1">
      <alignment horizontal="right" vertical="center"/>
    </xf>
    <xf numFmtId="2" fontId="8" fillId="0" borderId="1" xfId="0" applyNumberFormat="1" applyFont="1" applyFill="1" applyBorder="1" applyAlignment="1">
      <alignment horizontal="center" vertical="center" wrapText="1"/>
    </xf>
    <xf numFmtId="43" fontId="9" fillId="0" borderId="1" xfId="1" applyFont="1" applyFill="1" applyBorder="1" applyAlignment="1">
      <alignment horizontal="right" vertical="center"/>
    </xf>
    <xf numFmtId="43" fontId="12" fillId="0" borderId="1" xfId="1" applyFont="1" applyFill="1" applyBorder="1" applyAlignment="1">
      <alignment horizontal="right" vertical="center"/>
    </xf>
    <xf numFmtId="43" fontId="9" fillId="0" borderId="1" xfId="0" applyNumberFormat="1" applyFont="1" applyFill="1" applyBorder="1" applyAlignment="1">
      <alignment horizontal="center" vertical="center"/>
    </xf>
    <xf numFmtId="43" fontId="9" fillId="0" borderId="1" xfId="0" applyNumberFormat="1" applyFont="1" applyFill="1" applyBorder="1" applyAlignment="1">
      <alignment horizontal="right" vertical="center"/>
    </xf>
    <xf numFmtId="0" fontId="9" fillId="0" borderId="1" xfId="0" applyFont="1" applyFill="1" applyBorder="1" applyAlignment="1">
      <alignment horizontal="center" vertical="center"/>
    </xf>
    <xf numFmtId="0" fontId="9" fillId="0" borderId="1" xfId="0" applyFont="1" applyFill="1" applyBorder="1" applyAlignment="1">
      <alignment horizontal="right" vertical="center" wrapText="1"/>
    </xf>
    <xf numFmtId="2" fontId="9"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wrapText="1"/>
    </xf>
    <xf numFmtId="166" fontId="9" fillId="0" borderId="1" xfId="9" applyNumberFormat="1" applyFont="1" applyFill="1" applyBorder="1" applyAlignment="1">
      <alignment horizontal="right" vertical="center" wrapText="1" shrinkToFit="1"/>
    </xf>
    <xf numFmtId="43" fontId="8" fillId="0" borderId="1" xfId="0" applyNumberFormat="1" applyFont="1" applyFill="1" applyBorder="1" applyAlignment="1">
      <alignment horizontal="center" vertical="center"/>
    </xf>
    <xf numFmtId="0" fontId="8" fillId="0" borderId="1" xfId="0" applyFont="1" applyFill="1" applyBorder="1" applyAlignment="1">
      <alignment horizontal="right" vertical="center" wrapText="1"/>
    </xf>
    <xf numFmtId="1" fontId="8" fillId="0" borderId="1" xfId="0" applyNumberFormat="1" applyFont="1" applyFill="1" applyBorder="1" applyAlignment="1">
      <alignment horizontal="center" vertical="center" wrapText="1"/>
    </xf>
    <xf numFmtId="0" fontId="8" fillId="0" borderId="1" xfId="69" applyFont="1" applyFill="1" applyBorder="1" applyAlignment="1">
      <alignment horizontal="center" vertical="center"/>
    </xf>
    <xf numFmtId="0" fontId="9" fillId="0" borderId="1" xfId="69" applyFont="1" applyFill="1" applyBorder="1" applyAlignment="1">
      <alignment horizontal="left" vertical="center" wrapText="1"/>
    </xf>
    <xf numFmtId="0" fontId="8" fillId="0" borderId="1" xfId="69" applyFont="1" applyFill="1" applyBorder="1" applyAlignment="1">
      <alignment horizontal="center" vertical="center" wrapText="1"/>
    </xf>
    <xf numFmtId="0" fontId="8" fillId="0" borderId="1" xfId="69" applyFont="1" applyFill="1" applyBorder="1" applyAlignment="1">
      <alignment horizontal="right" vertical="center" wrapText="1"/>
    </xf>
    <xf numFmtId="2" fontId="9" fillId="0" borderId="1" xfId="69" applyNumberFormat="1" applyFont="1" applyFill="1" applyBorder="1" applyAlignment="1">
      <alignment horizontal="center" vertical="center" wrapText="1"/>
    </xf>
    <xf numFmtId="1" fontId="8" fillId="0" borderId="1" xfId="69" applyNumberFormat="1" applyFont="1" applyFill="1" applyBorder="1" applyAlignment="1">
      <alignment horizontal="left" vertical="center" wrapText="1"/>
    </xf>
    <xf numFmtId="0" fontId="8" fillId="0" borderId="1" xfId="69" applyFont="1" applyFill="1" applyBorder="1" applyAlignment="1">
      <alignment horizontal="left" vertical="center"/>
    </xf>
    <xf numFmtId="43" fontId="8" fillId="0" borderId="1" xfId="69" applyNumberFormat="1" applyFont="1" applyFill="1" applyBorder="1" applyAlignment="1">
      <alignment horizontal="center" vertical="center"/>
    </xf>
    <xf numFmtId="43" fontId="8" fillId="0" borderId="1" xfId="1" applyFont="1" applyFill="1" applyBorder="1" applyAlignment="1">
      <alignment horizontal="right" vertical="center" wrapText="1"/>
    </xf>
    <xf numFmtId="2" fontId="6" fillId="0" borderId="1" xfId="2" applyNumberFormat="1" applyFont="1" applyFill="1" applyBorder="1" applyAlignment="1">
      <alignment vertical="center" wrapText="1"/>
    </xf>
    <xf numFmtId="0" fontId="9" fillId="0" borderId="1" xfId="2" applyFont="1" applyFill="1" applyBorder="1" applyAlignment="1">
      <alignment horizontal="left" vertical="center" wrapText="1"/>
    </xf>
    <xf numFmtId="2" fontId="9" fillId="0" borderId="1" xfId="2" applyNumberFormat="1" applyFont="1" applyFill="1" applyBorder="1" applyAlignment="1">
      <alignment vertical="center" wrapText="1"/>
    </xf>
    <xf numFmtId="2" fontId="12" fillId="0" borderId="1" xfId="0" applyNumberFormat="1" applyFont="1" applyFill="1" applyBorder="1" applyAlignment="1">
      <alignment horizontal="center" vertical="center" wrapText="1"/>
    </xf>
    <xf numFmtId="0" fontId="26" fillId="0" borderId="2" xfId="0" applyFont="1" applyFill="1" applyBorder="1" applyAlignment="1">
      <alignment vertical="center"/>
    </xf>
    <xf numFmtId="0" fontId="26" fillId="0" borderId="4" xfId="0" applyFont="1" applyFill="1" applyBorder="1" applyAlignment="1">
      <alignment vertical="center"/>
    </xf>
    <xf numFmtId="0" fontId="26" fillId="0" borderId="3" xfId="0" applyFont="1" applyFill="1" applyBorder="1" applyAlignment="1">
      <alignment vertical="center"/>
    </xf>
    <xf numFmtId="0" fontId="24" fillId="0" borderId="1" xfId="0" applyFont="1" applyFill="1" applyBorder="1" applyAlignment="1">
      <alignment horizontal="left" vertical="center" wrapText="1"/>
    </xf>
    <xf numFmtId="0" fontId="24" fillId="0" borderId="1" xfId="0" applyFont="1" applyFill="1" applyBorder="1" applyAlignment="1">
      <alignment horizontal="center" vertical="center" wrapText="1"/>
    </xf>
    <xf numFmtId="0" fontId="24" fillId="0" borderId="1" xfId="0" applyFont="1" applyFill="1" applyBorder="1" applyAlignment="1">
      <alignment vertical="center" wrapText="1"/>
    </xf>
    <xf numFmtId="0" fontId="36" fillId="0" borderId="1" xfId="0" applyFont="1" applyFill="1" applyBorder="1" applyAlignment="1">
      <alignment horizontal="left" vertical="center" wrapText="1"/>
    </xf>
    <xf numFmtId="0" fontId="9" fillId="0" borderId="1" xfId="0" applyFont="1" applyFill="1" applyBorder="1" applyAlignment="1">
      <alignment vertical="center" wrapText="1"/>
    </xf>
    <xf numFmtId="0" fontId="9" fillId="0" borderId="1" xfId="3" applyFont="1" applyFill="1" applyBorder="1" applyAlignment="1">
      <alignment horizontal="left" vertical="center" wrapText="1"/>
    </xf>
    <xf numFmtId="0" fontId="9" fillId="0" borderId="1" xfId="3" applyFont="1" applyFill="1" applyBorder="1" applyAlignment="1">
      <alignment vertical="center" wrapText="1"/>
    </xf>
    <xf numFmtId="0" fontId="9" fillId="0" borderId="1" xfId="3" applyFont="1" applyFill="1" applyBorder="1" applyAlignment="1">
      <alignment horizontal="center" vertical="center" wrapText="1"/>
    </xf>
    <xf numFmtId="0" fontId="6" fillId="0" borderId="1" xfId="3" applyFont="1" applyFill="1" applyBorder="1" applyAlignment="1">
      <alignment horizontal="left" vertical="center" wrapText="1"/>
    </xf>
    <xf numFmtId="0" fontId="8" fillId="0" borderId="1" xfId="4" applyFont="1" applyFill="1" applyBorder="1" applyAlignment="1">
      <alignment horizontal="left" vertical="center" wrapText="1"/>
    </xf>
    <xf numFmtId="0" fontId="8" fillId="0" borderId="1" xfId="4" applyFont="1" applyFill="1" applyBorder="1" applyAlignment="1">
      <alignment vertical="center" wrapText="1"/>
    </xf>
    <xf numFmtId="0" fontId="8" fillId="0" borderId="1" xfId="4" applyFont="1" applyFill="1" applyBorder="1" applyAlignment="1">
      <alignment horizontal="center" vertical="center" wrapText="1"/>
    </xf>
    <xf numFmtId="0" fontId="14" fillId="0" borderId="1" xfId="4" applyFont="1" applyFill="1" applyBorder="1" applyAlignment="1">
      <alignment horizontal="left" vertical="center" wrapText="1"/>
    </xf>
    <xf numFmtId="0" fontId="8" fillId="0" borderId="2" xfId="0" applyFont="1" applyFill="1" applyBorder="1" applyAlignment="1">
      <alignment vertical="center"/>
    </xf>
    <xf numFmtId="0" fontId="8" fillId="0" borderId="4" xfId="0" applyFont="1" applyFill="1" applyBorder="1" applyAlignment="1">
      <alignment vertical="center"/>
    </xf>
    <xf numFmtId="0" fontId="8" fillId="0" borderId="3" xfId="0" applyFont="1" applyFill="1" applyBorder="1" applyAlignment="1">
      <alignment vertical="center"/>
    </xf>
    <xf numFmtId="0" fontId="17" fillId="0" borderId="4" xfId="0" applyFont="1" applyFill="1" applyBorder="1" applyAlignment="1">
      <alignment vertical="center" wrapText="1"/>
    </xf>
    <xf numFmtId="0" fontId="17" fillId="0" borderId="2" xfId="0" applyFont="1" applyFill="1" applyBorder="1" applyAlignment="1">
      <alignment vertical="center"/>
    </xf>
    <xf numFmtId="0" fontId="17" fillId="0" borderId="3" xfId="0" applyFont="1" applyFill="1" applyBorder="1" applyAlignment="1">
      <alignment vertical="center" wrapText="1"/>
    </xf>
    <xf numFmtId="43" fontId="8" fillId="0" borderId="1" xfId="0" applyNumberFormat="1" applyFont="1" applyFill="1" applyBorder="1" applyAlignment="1">
      <alignment horizontal="left" vertical="center"/>
    </xf>
    <xf numFmtId="1" fontId="8" fillId="0" borderId="1" xfId="0" applyNumberFormat="1" applyFont="1" applyFill="1" applyBorder="1" applyAlignment="1">
      <alignment horizontal="center" vertical="center"/>
    </xf>
    <xf numFmtId="43" fontId="25" fillId="0" borderId="1" xfId="0" applyNumberFormat="1" applyFont="1" applyFill="1" applyBorder="1" applyAlignment="1">
      <alignment horizontal="right" vertical="center"/>
    </xf>
    <xf numFmtId="164" fontId="8" fillId="0" borderId="1" xfId="0" applyNumberFormat="1" applyFont="1" applyFill="1" applyBorder="1" applyAlignment="1">
      <alignment horizontal="left" vertical="center"/>
    </xf>
    <xf numFmtId="2" fontId="14" fillId="0" borderId="1" xfId="0" applyNumberFormat="1" applyFont="1" applyFill="1" applyBorder="1" applyAlignment="1">
      <alignment horizontal="right" vertical="center"/>
    </xf>
    <xf numFmtId="164" fontId="14" fillId="0" borderId="1" xfId="0" applyNumberFormat="1" applyFont="1" applyFill="1" applyBorder="1" applyAlignment="1">
      <alignment horizontal="right" vertical="center"/>
    </xf>
    <xf numFmtId="167" fontId="14" fillId="0" borderId="1" xfId="0" applyNumberFormat="1" applyFont="1" applyFill="1" applyBorder="1" applyAlignment="1">
      <alignment horizontal="right" vertical="center"/>
    </xf>
    <xf numFmtId="167" fontId="8" fillId="0" borderId="1" xfId="0" applyNumberFormat="1" applyFont="1" applyFill="1" applyBorder="1" applyAlignment="1">
      <alignment horizontal="right" vertical="center"/>
    </xf>
    <xf numFmtId="0" fontId="8" fillId="22" borderId="1" xfId="0" applyFont="1" applyFill="1" applyBorder="1" applyAlignment="1">
      <alignment horizontal="center" vertical="center"/>
    </xf>
    <xf numFmtId="0" fontId="8" fillId="22" borderId="1" xfId="0" applyFont="1" applyFill="1" applyBorder="1" applyAlignment="1">
      <alignment horizontal="left" vertical="center"/>
    </xf>
    <xf numFmtId="0" fontId="55" fillId="22" borderId="1" xfId="0" applyFont="1" applyFill="1" applyBorder="1" applyAlignment="1">
      <alignment horizontal="left" vertical="center" wrapText="1"/>
    </xf>
    <xf numFmtId="0" fontId="9" fillId="22" borderId="1" xfId="0" applyFont="1" applyFill="1" applyBorder="1" applyAlignment="1">
      <alignment horizontal="center" vertical="center" wrapText="1"/>
    </xf>
    <xf numFmtId="4" fontId="8" fillId="22" borderId="1" xfId="0" applyNumberFormat="1" applyFont="1" applyFill="1" applyBorder="1" applyAlignment="1">
      <alignment horizontal="right" vertical="center" wrapText="1"/>
    </xf>
    <xf numFmtId="4" fontId="8" fillId="22" borderId="1" xfId="0" applyNumberFormat="1" applyFont="1" applyFill="1" applyBorder="1" applyAlignment="1">
      <alignment horizontal="right" vertical="center" wrapText="1" shrinkToFit="1"/>
    </xf>
    <xf numFmtId="2" fontId="8" fillId="22" borderId="1" xfId="0" applyNumberFormat="1" applyFont="1" applyFill="1" applyBorder="1" applyAlignment="1">
      <alignment horizontal="center" vertical="center" wrapText="1" shrinkToFit="1"/>
    </xf>
    <xf numFmtId="1" fontId="8" fillId="22" borderId="1" xfId="0" applyNumberFormat="1" applyFont="1" applyFill="1" applyBorder="1" applyAlignment="1">
      <alignment horizontal="center" vertical="center" wrapText="1" shrinkToFit="1"/>
    </xf>
    <xf numFmtId="43" fontId="8" fillId="22" borderId="1" xfId="1" applyFont="1" applyFill="1" applyBorder="1" applyAlignment="1">
      <alignment horizontal="right" vertical="center"/>
    </xf>
    <xf numFmtId="43" fontId="8" fillId="22" borderId="1" xfId="0" applyNumberFormat="1" applyFont="1" applyFill="1" applyBorder="1" applyAlignment="1">
      <alignment horizontal="right" vertical="center"/>
    </xf>
    <xf numFmtId="1" fontId="8" fillId="22" borderId="1" xfId="0" applyNumberFormat="1" applyFont="1" applyFill="1" applyBorder="1" applyAlignment="1">
      <alignment horizontal="left" vertical="center" wrapText="1"/>
    </xf>
    <xf numFmtId="0" fontId="9" fillId="22" borderId="1" xfId="0" applyFont="1" applyFill="1" applyBorder="1" applyAlignment="1">
      <alignment horizontal="left" vertical="center" wrapText="1"/>
    </xf>
    <xf numFmtId="43" fontId="8" fillId="22" borderId="1" xfId="1" applyFont="1" applyFill="1" applyBorder="1" applyAlignment="1">
      <alignment horizontal="right" vertical="center" wrapText="1" shrinkToFit="1"/>
    </xf>
    <xf numFmtId="166" fontId="8" fillId="22" borderId="1" xfId="1" applyNumberFormat="1" applyFont="1" applyFill="1" applyBorder="1" applyAlignment="1">
      <alignment horizontal="right" vertical="center" wrapText="1" shrinkToFit="1"/>
    </xf>
    <xf numFmtId="166" fontId="8" fillId="22" borderId="1" xfId="1" applyNumberFormat="1" applyFont="1" applyFill="1" applyBorder="1" applyAlignment="1">
      <alignment horizontal="right" vertical="center" wrapText="1"/>
    </xf>
    <xf numFmtId="0" fontId="8" fillId="22" borderId="1" xfId="0" applyFont="1" applyFill="1" applyBorder="1" applyAlignment="1">
      <alignment horizontal="left" vertical="center" wrapText="1"/>
    </xf>
    <xf numFmtId="0" fontId="8" fillId="22" borderId="1" xfId="0" applyFont="1" applyFill="1" applyBorder="1" applyAlignment="1">
      <alignment horizontal="right" vertical="center"/>
    </xf>
    <xf numFmtId="2" fontId="8" fillId="22" borderId="1" xfId="0" applyNumberFormat="1" applyFont="1" applyFill="1" applyBorder="1" applyAlignment="1">
      <alignment horizontal="center" vertical="center"/>
    </xf>
    <xf numFmtId="43" fontId="9" fillId="22" borderId="1" xfId="1" applyFont="1" applyFill="1" applyBorder="1" applyAlignment="1">
      <alignment horizontal="right" vertical="center" wrapText="1" shrinkToFit="1"/>
    </xf>
    <xf numFmtId="43" fontId="9" fillId="22" borderId="1" xfId="0" applyNumberFormat="1" applyFont="1" applyFill="1" applyBorder="1" applyAlignment="1">
      <alignment horizontal="right" vertical="center"/>
    </xf>
    <xf numFmtId="0" fontId="8" fillId="22" borderId="1" xfId="0" applyFont="1" applyFill="1" applyBorder="1" applyAlignment="1">
      <alignment horizontal="center" vertical="center" wrapText="1"/>
    </xf>
    <xf numFmtId="0" fontId="8" fillId="22" borderId="1" xfId="0" applyFont="1" applyFill="1" applyBorder="1" applyAlignment="1">
      <alignment horizontal="right" vertical="center" wrapText="1"/>
    </xf>
    <xf numFmtId="2" fontId="12" fillId="22" borderId="1" xfId="0" applyNumberFormat="1" applyFont="1" applyFill="1" applyBorder="1" applyAlignment="1">
      <alignment horizontal="center" vertical="center" wrapText="1"/>
    </xf>
    <xf numFmtId="1" fontId="8" fillId="22" borderId="1" xfId="0" applyNumberFormat="1" applyFont="1" applyFill="1" applyBorder="1" applyAlignment="1">
      <alignment horizontal="center" vertical="center" wrapText="1"/>
    </xf>
    <xf numFmtId="43" fontId="9" fillId="22" borderId="1" xfId="1" applyFont="1" applyFill="1" applyBorder="1" applyAlignment="1">
      <alignment horizontal="right" vertical="center" wrapText="1"/>
    </xf>
    <xf numFmtId="166" fontId="8" fillId="22" borderId="1" xfId="9" applyNumberFormat="1" applyFont="1" applyFill="1" applyBorder="1" applyAlignment="1">
      <alignment horizontal="right" vertical="center" wrapText="1" shrinkToFit="1"/>
    </xf>
    <xf numFmtId="1" fontId="9" fillId="22" borderId="1" xfId="0" applyNumberFormat="1" applyFont="1" applyFill="1" applyBorder="1" applyAlignment="1">
      <alignment horizontal="left" vertical="center" wrapText="1"/>
    </xf>
    <xf numFmtId="2" fontId="8" fillId="22" borderId="1" xfId="0" applyNumberFormat="1" applyFont="1" applyFill="1" applyBorder="1" applyAlignment="1">
      <alignment horizontal="center" vertical="center" wrapText="1"/>
    </xf>
    <xf numFmtId="43" fontId="8" fillId="22" borderId="1" xfId="1" applyFont="1" applyFill="1" applyBorder="1" applyAlignment="1">
      <alignment horizontal="right" vertical="center" wrapText="1"/>
    </xf>
    <xf numFmtId="0" fontId="9" fillId="22" borderId="1" xfId="0" applyFont="1" applyFill="1" applyBorder="1" applyAlignment="1">
      <alignment vertical="center" wrapText="1"/>
    </xf>
    <xf numFmtId="0" fontId="9" fillId="22" borderId="1" xfId="0" applyFont="1" applyFill="1" applyBorder="1" applyAlignment="1">
      <alignment horizontal="right" vertical="center"/>
    </xf>
    <xf numFmtId="2"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xf>
    <xf numFmtId="43" fontId="9" fillId="22" borderId="1" xfId="1" applyFont="1" applyFill="1" applyBorder="1" applyAlignment="1">
      <alignment horizontal="right" vertical="center"/>
    </xf>
    <xf numFmtId="0" fontId="9" fillId="22" borderId="1" xfId="0" applyFont="1" applyFill="1" applyBorder="1" applyAlignment="1">
      <alignment horizontal="right" vertical="center" wrapText="1"/>
    </xf>
    <xf numFmtId="2" fontId="9" fillId="22" borderId="1" xfId="0" applyNumberFormat="1" applyFont="1" applyFill="1" applyBorder="1" applyAlignment="1">
      <alignment horizontal="center" vertical="center" wrapText="1"/>
    </xf>
    <xf numFmtId="1" fontId="9" fillId="22" borderId="1" xfId="0" applyNumberFormat="1" applyFont="1" applyFill="1" applyBorder="1" applyAlignment="1">
      <alignment horizontal="center" vertical="center" wrapText="1"/>
    </xf>
    <xf numFmtId="166" fontId="9" fillId="22" borderId="1" xfId="9" applyNumberFormat="1" applyFont="1" applyFill="1" applyBorder="1" applyAlignment="1">
      <alignment horizontal="right" vertical="center" wrapText="1" shrinkToFit="1"/>
    </xf>
    <xf numFmtId="0" fontId="8" fillId="22" borderId="1" xfId="0" applyFont="1" applyFill="1" applyBorder="1" applyAlignment="1">
      <alignment vertical="center" wrapText="1"/>
    </xf>
  </cellXfs>
  <cellStyles count="30893">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771"/>
  <sheetViews>
    <sheetView tabSelected="1" view="pageBreakPreview" zoomScale="75" zoomScaleNormal="80" zoomScaleSheetLayoutView="75" workbookViewId="0">
      <pane ySplit="3" topLeftCell="A761" activePane="bottomLeft" state="frozen"/>
      <selection pane="bottomLeft" activeCell="A755" sqref="A755:N762"/>
    </sheetView>
  </sheetViews>
  <sheetFormatPr defaultColWidth="8.85546875" defaultRowHeight="15.65" outlineLevelRow="1"/>
  <cols>
    <col min="1" max="1" width="5.85546875" style="313" customWidth="1"/>
    <col min="2" max="2" width="8.28515625" style="302" bestFit="1" customWidth="1"/>
    <col min="3" max="3" width="58.85546875" style="321" customWidth="1"/>
    <col min="4" max="4" width="6.85546875" style="321" bestFit="1" customWidth="1"/>
    <col min="5" max="5" width="6.7109375" style="321" bestFit="1" customWidth="1"/>
    <col min="6" max="6" width="17" style="40" customWidth="1"/>
    <col min="7" max="7" width="21.7109375" style="312" customWidth="1"/>
    <col min="8" max="8" width="11" style="313" customWidth="1"/>
    <col min="9" max="9" width="10.85546875" style="313" bestFit="1" customWidth="1"/>
    <col min="10" max="10" width="17.140625" style="40" customWidth="1"/>
    <col min="11" max="11" width="21.28515625" style="312" customWidth="1"/>
    <col min="12" max="12" width="19" style="312" customWidth="1"/>
    <col min="13" max="13" width="18.28515625" style="312" customWidth="1"/>
    <col min="14" max="14" width="22.42578125" style="315" customWidth="1"/>
    <col min="15" max="15" width="8.85546875" style="302"/>
    <col min="16" max="16" width="21.28515625" style="302" customWidth="1"/>
    <col min="17" max="17" width="23.42578125" style="302" customWidth="1"/>
    <col min="18" max="18" width="23" style="302" customWidth="1"/>
    <col min="19" max="19" width="26.85546875" style="302" customWidth="1"/>
    <col min="20" max="20" width="27.28515625" style="302" customWidth="1"/>
    <col min="21" max="24" width="16.85546875" style="302" customWidth="1"/>
    <col min="25" max="16384" width="8.85546875" style="302"/>
  </cols>
  <sheetData>
    <row r="1" spans="1:20" ht="21.1">
      <c r="A1" s="301" t="s">
        <v>1</v>
      </c>
      <c r="B1" s="301"/>
      <c r="C1" s="301"/>
      <c r="D1" s="301"/>
      <c r="E1" s="301"/>
      <c r="F1" s="301"/>
      <c r="G1" s="301"/>
      <c r="H1" s="301"/>
      <c r="I1" s="301"/>
      <c r="J1" s="301"/>
      <c r="K1" s="301"/>
      <c r="L1" s="301"/>
      <c r="M1" s="301"/>
      <c r="N1" s="301"/>
    </row>
    <row r="2" spans="1:20" ht="18.7" customHeight="1">
      <c r="A2" s="303" t="s">
        <v>171</v>
      </c>
      <c r="B2" s="304" t="s">
        <v>394</v>
      </c>
      <c r="C2" s="305" t="s">
        <v>2</v>
      </c>
      <c r="D2" s="306" t="s">
        <v>388</v>
      </c>
      <c r="E2" s="306"/>
      <c r="F2" s="306"/>
      <c r="G2" s="306"/>
      <c r="H2" s="306" t="s">
        <v>389</v>
      </c>
      <c r="I2" s="306"/>
      <c r="J2" s="306"/>
      <c r="K2" s="306"/>
      <c r="L2" s="305" t="s">
        <v>3</v>
      </c>
      <c r="M2" s="305" t="s">
        <v>4</v>
      </c>
      <c r="N2" s="305" t="s">
        <v>5</v>
      </c>
    </row>
    <row r="3" spans="1:20" ht="21.1" customHeight="1">
      <c r="A3" s="303"/>
      <c r="B3" s="304"/>
      <c r="C3" s="305"/>
      <c r="D3" s="307" t="s">
        <v>0</v>
      </c>
      <c r="E3" s="307" t="s">
        <v>6</v>
      </c>
      <c r="F3" s="39" t="s">
        <v>172</v>
      </c>
      <c r="G3" s="308" t="s">
        <v>173</v>
      </c>
      <c r="H3" s="309" t="s">
        <v>0</v>
      </c>
      <c r="I3" s="307" t="s">
        <v>6</v>
      </c>
      <c r="J3" s="51" t="s">
        <v>172</v>
      </c>
      <c r="K3" s="308" t="s">
        <v>173</v>
      </c>
      <c r="L3" s="305"/>
      <c r="M3" s="305"/>
      <c r="N3" s="305"/>
    </row>
    <row r="4" spans="1:20" ht="19.899999999999999" customHeight="1">
      <c r="A4" s="310"/>
      <c r="B4" s="310"/>
      <c r="C4" s="311" t="s">
        <v>42</v>
      </c>
      <c r="D4" s="310"/>
      <c r="E4" s="310"/>
      <c r="K4" s="314"/>
    </row>
    <row r="5" spans="1:20" ht="19.899999999999999" customHeight="1">
      <c r="A5" s="310"/>
      <c r="B5" s="310"/>
      <c r="C5" s="316" t="s">
        <v>41</v>
      </c>
      <c r="D5" s="310"/>
      <c r="E5" s="310"/>
      <c r="K5" s="314"/>
      <c r="Q5" s="302" t="s">
        <v>263</v>
      </c>
      <c r="R5" s="302" t="s">
        <v>264</v>
      </c>
      <c r="S5" s="302" t="s">
        <v>3</v>
      </c>
      <c r="T5" s="302" t="s">
        <v>4</v>
      </c>
    </row>
    <row r="6" spans="1:20" s="321" customFormat="1" ht="48.1" customHeight="1" outlineLevel="1">
      <c r="A6" s="317">
        <v>199</v>
      </c>
      <c r="B6" s="317" t="str">
        <f>IF(ISBLANK(A6), "","IVF"&amp;A6)</f>
        <v>IVF199</v>
      </c>
      <c r="C6" s="318" t="s">
        <v>43</v>
      </c>
      <c r="D6" s="317">
        <v>2</v>
      </c>
      <c r="E6" s="319" t="s">
        <v>9</v>
      </c>
      <c r="F6" s="5">
        <v>240000</v>
      </c>
      <c r="G6" s="314">
        <f>ROUND(D6*F6,0)</f>
        <v>480000</v>
      </c>
      <c r="H6" s="320">
        <v>2</v>
      </c>
      <c r="I6" s="313" t="s">
        <v>9</v>
      </c>
      <c r="J6" s="40">
        <f>F6</f>
        <v>240000</v>
      </c>
      <c r="K6" s="314">
        <f>ROUND(H6*J6,0)</f>
        <v>480000</v>
      </c>
      <c r="L6" s="314">
        <f>ROUND(IF(K6&gt;G6,K6-G6,0),0)</f>
        <v>0</v>
      </c>
      <c r="M6" s="314">
        <f>ROUND(IF(K6&lt;G6,G6-K6,0),0)</f>
        <v>0</v>
      </c>
      <c r="N6" s="315" t="s">
        <v>302</v>
      </c>
      <c r="O6" s="321" t="s">
        <v>256</v>
      </c>
      <c r="P6" s="321" t="s">
        <v>256</v>
      </c>
      <c r="Q6" s="41">
        <f>ROUND(SUMIF($O$6:$O$738,P6,$G$6:$G$738),0)</f>
        <v>26020475</v>
      </c>
      <c r="R6" s="41">
        <f>ROUND(SUMIF($O$6:$O$738,P6,$K$6:$K$738),0)</f>
        <v>26162975</v>
      </c>
      <c r="S6" s="41">
        <f>ROUND(SUMIF($O$6:$O$738,P6,$L$6:$L$738),0)</f>
        <v>142500</v>
      </c>
      <c r="T6" s="41">
        <f>ROUND(SUMIF($O$6:$O$738,P6,$M$6:$M$738),0)</f>
        <v>0</v>
      </c>
    </row>
    <row r="7" spans="1:20" s="321" customFormat="1" outlineLevel="1">
      <c r="A7" s="317"/>
      <c r="B7" s="317" t="str">
        <f t="shared" ref="B7:B70" si="0">IF(ISBLANK(A7), "","IVF"&amp;A7)</f>
        <v/>
      </c>
      <c r="C7" s="322" t="s">
        <v>337</v>
      </c>
      <c r="D7" s="317"/>
      <c r="E7" s="319"/>
      <c r="F7" s="5"/>
      <c r="G7" s="314"/>
      <c r="H7" s="320"/>
      <c r="I7" s="313"/>
      <c r="J7" s="40"/>
      <c r="K7" s="314"/>
      <c r="L7" s="314"/>
      <c r="M7" s="314"/>
      <c r="N7" s="315"/>
      <c r="O7" s="321" t="s">
        <v>256</v>
      </c>
      <c r="P7" s="321" t="s">
        <v>250</v>
      </c>
      <c r="Q7" s="41">
        <f t="shared" ref="Q7:Q19" si="1">ROUND(SUMIF($O$6:$O$738,P7,$G$6:$G$738),0)</f>
        <v>5915529</v>
      </c>
      <c r="R7" s="41">
        <f t="shared" ref="R7:R19" si="2">ROUND(SUMIF($O$6:$O$738,P7,$K$6:$K$738),0)</f>
        <v>7012631</v>
      </c>
      <c r="S7" s="41">
        <f t="shared" ref="S7:S19" si="3">ROUND(SUMIF($O$6:$O$738,P7,$L$6:$L$738),0)</f>
        <v>1910379</v>
      </c>
      <c r="T7" s="41">
        <f t="shared" ref="T7:T19" si="4">ROUND(SUMIF($O$6:$O$738,P7,$M$6:$M$738),0)</f>
        <v>813277</v>
      </c>
    </row>
    <row r="8" spans="1:20" s="321" customFormat="1" ht="12.1" customHeight="1" outlineLevel="1">
      <c r="A8" s="310"/>
      <c r="B8" s="317" t="str">
        <f t="shared" si="0"/>
        <v/>
      </c>
      <c r="C8" s="315"/>
      <c r="D8" s="315"/>
      <c r="E8" s="315"/>
      <c r="F8" s="40"/>
      <c r="G8" s="314"/>
      <c r="H8" s="320"/>
      <c r="I8" s="313"/>
      <c r="J8" s="40"/>
      <c r="K8" s="314"/>
      <c r="L8" s="314"/>
      <c r="M8" s="314"/>
      <c r="N8" s="315"/>
      <c r="O8" s="321" t="s">
        <v>256</v>
      </c>
      <c r="P8" s="321" t="s">
        <v>251</v>
      </c>
      <c r="Q8" s="41">
        <f t="shared" si="1"/>
        <v>215122</v>
      </c>
      <c r="R8" s="41">
        <f t="shared" si="2"/>
        <v>136973</v>
      </c>
      <c r="S8" s="41">
        <f t="shared" si="3"/>
        <v>7086</v>
      </c>
      <c r="T8" s="41">
        <f t="shared" si="4"/>
        <v>85235</v>
      </c>
    </row>
    <row r="9" spans="1:20" s="321" customFormat="1" ht="48.1" customHeight="1" outlineLevel="1">
      <c r="A9" s="317">
        <v>200</v>
      </c>
      <c r="B9" s="317" t="str">
        <f t="shared" si="0"/>
        <v>IVF200</v>
      </c>
      <c r="C9" s="318" t="s">
        <v>44</v>
      </c>
      <c r="D9" s="317">
        <v>2</v>
      </c>
      <c r="E9" s="319" t="s">
        <v>9</v>
      </c>
      <c r="F9" s="5">
        <v>49500</v>
      </c>
      <c r="G9" s="314">
        <f>ROUND(D9*F9,0)</f>
        <v>99000</v>
      </c>
      <c r="H9" s="320">
        <v>2</v>
      </c>
      <c r="I9" s="313" t="s">
        <v>9</v>
      </c>
      <c r="J9" s="40">
        <f>F9</f>
        <v>49500</v>
      </c>
      <c r="K9" s="314">
        <f>ROUND(H9*J9,0)</f>
        <v>99000</v>
      </c>
      <c r="L9" s="314">
        <f>ROUND(IF(K9&gt;G9,K9-G9,0),0)</f>
        <v>0</v>
      </c>
      <c r="M9" s="314">
        <f>ROUND(IF(K9&lt;G9,G9-K9,0),0)</f>
        <v>0</v>
      </c>
      <c r="N9" s="315" t="s">
        <v>302</v>
      </c>
      <c r="O9" s="321" t="s">
        <v>256</v>
      </c>
      <c r="P9" s="321" t="s">
        <v>249</v>
      </c>
      <c r="Q9" s="41">
        <f t="shared" si="1"/>
        <v>3719411</v>
      </c>
      <c r="R9" s="41">
        <f t="shared" si="2"/>
        <v>5641335</v>
      </c>
      <c r="S9" s="41">
        <f t="shared" si="3"/>
        <v>2169638</v>
      </c>
      <c r="T9" s="41">
        <f t="shared" si="4"/>
        <v>247714</v>
      </c>
    </row>
    <row r="10" spans="1:20" s="321" customFormat="1" outlineLevel="1">
      <c r="A10" s="317"/>
      <c r="B10" s="317" t="str">
        <f t="shared" si="0"/>
        <v/>
      </c>
      <c r="C10" s="322" t="s">
        <v>335</v>
      </c>
      <c r="D10" s="317"/>
      <c r="E10" s="319"/>
      <c r="F10" s="5"/>
      <c r="G10" s="314"/>
      <c r="H10" s="320"/>
      <c r="I10" s="313"/>
      <c r="J10" s="40"/>
      <c r="K10" s="314"/>
      <c r="L10" s="314"/>
      <c r="M10" s="314"/>
      <c r="N10" s="315"/>
      <c r="O10" s="321" t="s">
        <v>256</v>
      </c>
      <c r="P10" s="321" t="s">
        <v>252</v>
      </c>
      <c r="Q10" s="41">
        <f t="shared" si="1"/>
        <v>689000</v>
      </c>
      <c r="R10" s="41">
        <f t="shared" si="2"/>
        <v>689000</v>
      </c>
      <c r="S10" s="41">
        <f t="shared" si="3"/>
        <v>0</v>
      </c>
      <c r="T10" s="41">
        <f t="shared" si="4"/>
        <v>0</v>
      </c>
    </row>
    <row r="11" spans="1:20" s="321" customFormat="1" ht="12.1" customHeight="1" outlineLevel="1">
      <c r="A11" s="313"/>
      <c r="B11" s="317" t="str">
        <f t="shared" si="0"/>
        <v/>
      </c>
      <c r="F11" s="40"/>
      <c r="G11" s="314"/>
      <c r="H11" s="320"/>
      <c r="I11" s="313"/>
      <c r="J11" s="40"/>
      <c r="K11" s="314"/>
      <c r="L11" s="314"/>
      <c r="M11" s="314"/>
      <c r="N11" s="315"/>
      <c r="O11" s="321" t="s">
        <v>256</v>
      </c>
      <c r="P11" s="321" t="s">
        <v>253</v>
      </c>
      <c r="Q11" s="41">
        <f t="shared" si="1"/>
        <v>873880</v>
      </c>
      <c r="R11" s="41">
        <f t="shared" si="2"/>
        <v>873880</v>
      </c>
      <c r="S11" s="41">
        <f t="shared" si="3"/>
        <v>0</v>
      </c>
      <c r="T11" s="41">
        <f t="shared" si="4"/>
        <v>0</v>
      </c>
    </row>
    <row r="12" spans="1:20" s="321" customFormat="1" ht="48.1" customHeight="1" outlineLevel="1">
      <c r="A12" s="317">
        <v>201</v>
      </c>
      <c r="B12" s="317" t="str">
        <f t="shared" si="0"/>
        <v>IVF201</v>
      </c>
      <c r="C12" s="318" t="s">
        <v>45</v>
      </c>
      <c r="D12" s="317">
        <v>2</v>
      </c>
      <c r="E12" s="319" t="s">
        <v>9</v>
      </c>
      <c r="F12" s="5">
        <v>1365000</v>
      </c>
      <c r="G12" s="314">
        <f>ROUND(D12*F12,0)</f>
        <v>2730000</v>
      </c>
      <c r="H12" s="320">
        <v>2</v>
      </c>
      <c r="I12" s="313" t="s">
        <v>9</v>
      </c>
      <c r="J12" s="40">
        <f>F12</f>
        <v>1365000</v>
      </c>
      <c r="K12" s="314">
        <f>ROUND(H12*J12,0)</f>
        <v>2730000</v>
      </c>
      <c r="L12" s="314">
        <f>ROUND(IF(K12&gt;G12,K12-G12,0),0)</f>
        <v>0</v>
      </c>
      <c r="M12" s="314">
        <f>ROUND(IF(K12&lt;G12,G12-K12,0),0)</f>
        <v>0</v>
      </c>
      <c r="N12" s="315" t="s">
        <v>302</v>
      </c>
      <c r="O12" s="321" t="s">
        <v>256</v>
      </c>
      <c r="P12" s="321" t="s">
        <v>254</v>
      </c>
      <c r="Q12" s="41">
        <f t="shared" si="1"/>
        <v>3946060</v>
      </c>
      <c r="R12" s="41">
        <f t="shared" si="2"/>
        <v>2725391</v>
      </c>
      <c r="S12" s="41">
        <f t="shared" si="3"/>
        <v>374548</v>
      </c>
      <c r="T12" s="41">
        <f t="shared" si="4"/>
        <v>1595217</v>
      </c>
    </row>
    <row r="13" spans="1:20" s="321" customFormat="1" outlineLevel="1">
      <c r="A13" s="317"/>
      <c r="B13" s="317" t="str">
        <f t="shared" si="0"/>
        <v/>
      </c>
      <c r="C13" s="322" t="s">
        <v>335</v>
      </c>
      <c r="D13" s="317"/>
      <c r="E13" s="319"/>
      <c r="F13" s="5"/>
      <c r="G13" s="314"/>
      <c r="H13" s="320"/>
      <c r="I13" s="313"/>
      <c r="J13" s="40"/>
      <c r="K13" s="314"/>
      <c r="L13" s="314"/>
      <c r="M13" s="314"/>
      <c r="N13" s="315"/>
      <c r="O13" s="321" t="s">
        <v>256</v>
      </c>
      <c r="P13" s="321" t="s">
        <v>255</v>
      </c>
      <c r="Q13" s="41">
        <f t="shared" si="1"/>
        <v>1025822</v>
      </c>
      <c r="R13" s="41">
        <f t="shared" si="2"/>
        <v>1141255</v>
      </c>
      <c r="S13" s="41">
        <f t="shared" si="3"/>
        <v>143424</v>
      </c>
      <c r="T13" s="41">
        <f t="shared" si="4"/>
        <v>27991</v>
      </c>
    </row>
    <row r="14" spans="1:20" s="321" customFormat="1" ht="12.1" customHeight="1" outlineLevel="1">
      <c r="A14" s="313"/>
      <c r="B14" s="317" t="str">
        <f t="shared" si="0"/>
        <v/>
      </c>
      <c r="F14" s="40"/>
      <c r="G14" s="314"/>
      <c r="H14" s="320"/>
      <c r="I14" s="313"/>
      <c r="J14" s="40"/>
      <c r="K14" s="314"/>
      <c r="L14" s="314"/>
      <c r="M14" s="314"/>
      <c r="N14" s="315"/>
      <c r="O14" s="321" t="s">
        <v>256</v>
      </c>
      <c r="P14" s="321" t="s">
        <v>257</v>
      </c>
      <c r="Q14" s="41">
        <f t="shared" si="1"/>
        <v>0</v>
      </c>
      <c r="R14" s="41">
        <f t="shared" si="2"/>
        <v>221000</v>
      </c>
      <c r="S14" s="41">
        <f t="shared" si="3"/>
        <v>221000</v>
      </c>
      <c r="T14" s="41">
        <f t="shared" si="4"/>
        <v>0</v>
      </c>
    </row>
    <row r="15" spans="1:20" s="321" customFormat="1" ht="93.1" customHeight="1" outlineLevel="1">
      <c r="A15" s="317">
        <v>202</v>
      </c>
      <c r="B15" s="317" t="str">
        <f t="shared" si="0"/>
        <v>IVF202</v>
      </c>
      <c r="C15" s="318" t="s">
        <v>46</v>
      </c>
      <c r="D15" s="317">
        <v>1</v>
      </c>
      <c r="E15" s="319" t="s">
        <v>9</v>
      </c>
      <c r="F15" s="5">
        <v>563750</v>
      </c>
      <c r="G15" s="314">
        <f>ROUND(D15*F15,0)</f>
        <v>563750</v>
      </c>
      <c r="H15" s="320">
        <v>1</v>
      </c>
      <c r="I15" s="313" t="s">
        <v>9</v>
      </c>
      <c r="J15" s="40">
        <f>F15</f>
        <v>563750</v>
      </c>
      <c r="K15" s="314">
        <f>ROUND(H15*J15,0)</f>
        <v>563750</v>
      </c>
      <c r="L15" s="314">
        <f>ROUND(IF(K15&gt;G15,K15-G15,0),0)</f>
        <v>0</v>
      </c>
      <c r="M15" s="314">
        <f>ROUND(IF(K15&lt;G15,G15-K15,0),0)</f>
        <v>0</v>
      </c>
      <c r="N15" s="315" t="s">
        <v>302</v>
      </c>
      <c r="O15" s="321" t="s">
        <v>256</v>
      </c>
      <c r="P15" s="321" t="s">
        <v>258</v>
      </c>
      <c r="Q15" s="41">
        <f t="shared" si="1"/>
        <v>0</v>
      </c>
      <c r="R15" s="41">
        <f t="shared" si="2"/>
        <v>1156237</v>
      </c>
      <c r="S15" s="41">
        <f t="shared" si="3"/>
        <v>1156237</v>
      </c>
      <c r="T15" s="41">
        <f t="shared" si="4"/>
        <v>0</v>
      </c>
    </row>
    <row r="16" spans="1:20" s="321" customFormat="1" outlineLevel="1">
      <c r="A16" s="317"/>
      <c r="B16" s="317" t="str">
        <f t="shared" si="0"/>
        <v/>
      </c>
      <c r="C16" s="322" t="s">
        <v>335</v>
      </c>
      <c r="D16" s="317"/>
      <c r="E16" s="319"/>
      <c r="F16" s="5"/>
      <c r="G16" s="314"/>
      <c r="H16" s="320"/>
      <c r="I16" s="313"/>
      <c r="J16" s="40"/>
      <c r="K16" s="314"/>
      <c r="L16" s="314"/>
      <c r="M16" s="314"/>
      <c r="N16" s="315"/>
      <c r="O16" s="321" t="s">
        <v>256</v>
      </c>
      <c r="P16" s="321" t="s">
        <v>259</v>
      </c>
      <c r="Q16" s="41">
        <f t="shared" si="1"/>
        <v>0</v>
      </c>
      <c r="R16" s="41">
        <f t="shared" si="2"/>
        <v>8985</v>
      </c>
      <c r="S16" s="41">
        <f t="shared" si="3"/>
        <v>8985</v>
      </c>
      <c r="T16" s="41">
        <f t="shared" si="4"/>
        <v>0</v>
      </c>
    </row>
    <row r="17" spans="1:20" s="321" customFormat="1" ht="12.1" customHeight="1" outlineLevel="1">
      <c r="A17" s="313"/>
      <c r="B17" s="317" t="str">
        <f t="shared" si="0"/>
        <v/>
      </c>
      <c r="C17" s="323"/>
      <c r="F17" s="40"/>
      <c r="G17" s="314"/>
      <c r="H17" s="320"/>
      <c r="I17" s="313"/>
      <c r="J17" s="40"/>
      <c r="K17" s="314"/>
      <c r="L17" s="314"/>
      <c r="M17" s="314"/>
      <c r="N17" s="315"/>
      <c r="O17" s="321" t="s">
        <v>256</v>
      </c>
      <c r="P17" s="321" t="s">
        <v>260</v>
      </c>
      <c r="Q17" s="41">
        <f t="shared" si="1"/>
        <v>0</v>
      </c>
      <c r="R17" s="41">
        <f t="shared" si="2"/>
        <v>496686</v>
      </c>
      <c r="S17" s="41">
        <f t="shared" si="3"/>
        <v>496686</v>
      </c>
      <c r="T17" s="41">
        <f t="shared" si="4"/>
        <v>0</v>
      </c>
    </row>
    <row r="18" spans="1:20" s="321" customFormat="1" ht="48.1" customHeight="1" outlineLevel="1">
      <c r="A18" s="317">
        <v>203</v>
      </c>
      <c r="B18" s="317" t="str">
        <f t="shared" si="0"/>
        <v>IVF203</v>
      </c>
      <c r="C18" s="318" t="s">
        <v>47</v>
      </c>
      <c r="D18" s="317">
        <v>1</v>
      </c>
      <c r="E18" s="319" t="s">
        <v>9</v>
      </c>
      <c r="F18" s="5">
        <v>312500</v>
      </c>
      <c r="G18" s="314">
        <f>ROUND(D18*F18,0)</f>
        <v>312500</v>
      </c>
      <c r="H18" s="320">
        <v>1</v>
      </c>
      <c r="I18" s="313" t="s">
        <v>9</v>
      </c>
      <c r="J18" s="40">
        <f>F18</f>
        <v>312500</v>
      </c>
      <c r="K18" s="314">
        <f>ROUND(H18*J18,0)</f>
        <v>312500</v>
      </c>
      <c r="L18" s="314">
        <f>ROUND(IF(K18&gt;G18,K18-G18,0),0)</f>
        <v>0</v>
      </c>
      <c r="M18" s="314">
        <f>ROUND(IF(K18&lt;G18,G18-K18,0),0)</f>
        <v>0</v>
      </c>
      <c r="N18" s="315" t="s">
        <v>302</v>
      </c>
      <c r="O18" s="321" t="s">
        <v>256</v>
      </c>
      <c r="P18" s="321" t="s">
        <v>261</v>
      </c>
      <c r="Q18" s="41">
        <f t="shared" si="1"/>
        <v>0</v>
      </c>
      <c r="R18" s="41">
        <f t="shared" si="2"/>
        <v>1939494</v>
      </c>
      <c r="S18" s="41">
        <f t="shared" si="3"/>
        <v>1939494</v>
      </c>
      <c r="T18" s="41">
        <f t="shared" si="4"/>
        <v>0</v>
      </c>
    </row>
    <row r="19" spans="1:20" s="321" customFormat="1" outlineLevel="1">
      <c r="A19" s="317"/>
      <c r="B19" s="317" t="str">
        <f t="shared" si="0"/>
        <v/>
      </c>
      <c r="C19" s="322" t="s">
        <v>335</v>
      </c>
      <c r="D19" s="317"/>
      <c r="E19" s="319"/>
      <c r="F19" s="5"/>
      <c r="G19" s="314"/>
      <c r="H19" s="320"/>
      <c r="I19" s="313"/>
      <c r="J19" s="40"/>
      <c r="K19" s="314"/>
      <c r="L19" s="314"/>
      <c r="M19" s="314"/>
      <c r="N19" s="315"/>
      <c r="O19" s="321" t="s">
        <v>256</v>
      </c>
      <c r="P19" s="321" t="s">
        <v>262</v>
      </c>
      <c r="Q19" s="41">
        <f t="shared" si="1"/>
        <v>0</v>
      </c>
      <c r="R19" s="41">
        <f t="shared" si="2"/>
        <v>814670</v>
      </c>
      <c r="S19" s="41">
        <f t="shared" si="3"/>
        <v>814670</v>
      </c>
      <c r="T19" s="41">
        <f t="shared" si="4"/>
        <v>0</v>
      </c>
    </row>
    <row r="20" spans="1:20" s="321" customFormat="1" ht="12.1" customHeight="1" outlineLevel="1">
      <c r="A20" s="313"/>
      <c r="B20" s="317" t="str">
        <f t="shared" si="0"/>
        <v/>
      </c>
      <c r="F20" s="40"/>
      <c r="G20" s="314"/>
      <c r="H20" s="320"/>
      <c r="I20" s="313"/>
      <c r="J20" s="40"/>
      <c r="K20" s="314"/>
      <c r="L20" s="314"/>
      <c r="M20" s="314"/>
      <c r="N20" s="315"/>
      <c r="O20" s="321" t="s">
        <v>256</v>
      </c>
    </row>
    <row r="21" spans="1:20" s="321" customFormat="1" ht="48.1" customHeight="1" outlineLevel="1">
      <c r="A21" s="317">
        <v>204</v>
      </c>
      <c r="B21" s="317" t="str">
        <f t="shared" si="0"/>
        <v>IVF204</v>
      </c>
      <c r="C21" s="318" t="s">
        <v>48</v>
      </c>
      <c r="D21" s="317">
        <v>1</v>
      </c>
      <c r="E21" s="319" t="s">
        <v>9</v>
      </c>
      <c r="F21" s="5">
        <v>187500</v>
      </c>
      <c r="G21" s="314">
        <f>ROUND(D21*F21,0)</f>
        <v>187500</v>
      </c>
      <c r="H21" s="320">
        <v>1</v>
      </c>
      <c r="I21" s="313" t="s">
        <v>9</v>
      </c>
      <c r="J21" s="40">
        <f>F21</f>
        <v>187500</v>
      </c>
      <c r="K21" s="314">
        <f>ROUND(H21*J21,0)</f>
        <v>187500</v>
      </c>
      <c r="L21" s="314">
        <f>ROUND(IF(K21&gt;G21,K21-G21,0),0)</f>
        <v>0</v>
      </c>
      <c r="M21" s="314">
        <f>ROUND(IF(K21&lt;G21,G21-K21,0),0)</f>
        <v>0</v>
      </c>
      <c r="N21" s="315" t="s">
        <v>302</v>
      </c>
      <c r="O21" s="321" t="s">
        <v>256</v>
      </c>
      <c r="Q21" s="41"/>
      <c r="R21" s="41"/>
    </row>
    <row r="22" spans="1:20" s="321" customFormat="1" outlineLevel="1">
      <c r="A22" s="317"/>
      <c r="B22" s="317" t="str">
        <f t="shared" si="0"/>
        <v/>
      </c>
      <c r="C22" s="322" t="s">
        <v>335</v>
      </c>
      <c r="D22" s="317"/>
      <c r="E22" s="319"/>
      <c r="F22" s="5"/>
      <c r="G22" s="314"/>
      <c r="H22" s="320"/>
      <c r="I22" s="313"/>
      <c r="J22" s="40"/>
      <c r="K22" s="314"/>
      <c r="L22" s="314"/>
      <c r="M22" s="314"/>
      <c r="N22" s="315"/>
      <c r="O22" s="321" t="s">
        <v>256</v>
      </c>
      <c r="Q22" s="41"/>
      <c r="R22" s="41"/>
    </row>
    <row r="23" spans="1:20" s="321" customFormat="1" ht="12.1" customHeight="1" outlineLevel="1">
      <c r="A23" s="313"/>
      <c r="B23" s="317" t="str">
        <f t="shared" si="0"/>
        <v/>
      </c>
      <c r="F23" s="40"/>
      <c r="G23" s="314"/>
      <c r="H23" s="320"/>
      <c r="I23" s="313"/>
      <c r="J23" s="40"/>
      <c r="K23" s="314"/>
      <c r="L23" s="314"/>
      <c r="M23" s="314"/>
      <c r="N23" s="315"/>
      <c r="O23" s="321" t="s">
        <v>256</v>
      </c>
      <c r="Q23" s="41"/>
      <c r="R23" s="41"/>
    </row>
    <row r="24" spans="1:20" s="321" customFormat="1" ht="48.1" customHeight="1" outlineLevel="1">
      <c r="A24" s="317">
        <v>205</v>
      </c>
      <c r="B24" s="317" t="str">
        <f t="shared" si="0"/>
        <v>IVF205</v>
      </c>
      <c r="C24" s="318" t="s">
        <v>49</v>
      </c>
      <c r="D24" s="317">
        <v>1</v>
      </c>
      <c r="E24" s="319" t="s">
        <v>9</v>
      </c>
      <c r="F24" s="5">
        <v>687500</v>
      </c>
      <c r="G24" s="314">
        <f>ROUND(D24*F24,0)</f>
        <v>687500</v>
      </c>
      <c r="H24" s="320">
        <v>1</v>
      </c>
      <c r="I24" s="313" t="s">
        <v>9</v>
      </c>
      <c r="J24" s="40">
        <f>F24</f>
        <v>687500</v>
      </c>
      <c r="K24" s="314">
        <f>ROUND(H24*J24,0)</f>
        <v>687500</v>
      </c>
      <c r="L24" s="314">
        <f>ROUND(IF(K24&gt;G24,K24-G24,0),0)</f>
        <v>0</v>
      </c>
      <c r="M24" s="314">
        <f>ROUND(IF(K24&lt;G24,G24-K24,0),0)</f>
        <v>0</v>
      </c>
      <c r="N24" s="315" t="s">
        <v>302</v>
      </c>
      <c r="O24" s="321" t="s">
        <v>256</v>
      </c>
      <c r="Q24" s="41"/>
      <c r="R24" s="41"/>
    </row>
    <row r="25" spans="1:20" s="321" customFormat="1" outlineLevel="1">
      <c r="A25" s="317"/>
      <c r="B25" s="317" t="str">
        <f t="shared" si="0"/>
        <v/>
      </c>
      <c r="C25" s="322" t="s">
        <v>337</v>
      </c>
      <c r="D25" s="317"/>
      <c r="E25" s="319"/>
      <c r="F25" s="5"/>
      <c r="G25" s="314"/>
      <c r="H25" s="320"/>
      <c r="I25" s="313"/>
      <c r="J25" s="40"/>
      <c r="K25" s="314"/>
      <c r="L25" s="314"/>
      <c r="M25" s="314"/>
      <c r="N25" s="315"/>
      <c r="O25" s="321" t="s">
        <v>256</v>
      </c>
      <c r="Q25" s="41"/>
      <c r="R25" s="41"/>
    </row>
    <row r="26" spans="1:20" s="321" customFormat="1" ht="12.1" customHeight="1" outlineLevel="1">
      <c r="A26" s="313"/>
      <c r="B26" s="317" t="str">
        <f t="shared" si="0"/>
        <v/>
      </c>
      <c r="F26" s="40"/>
      <c r="G26" s="314"/>
      <c r="H26" s="320"/>
      <c r="I26" s="313"/>
      <c r="J26" s="40"/>
      <c r="K26" s="314"/>
      <c r="L26" s="314"/>
      <c r="M26" s="314"/>
      <c r="N26" s="315"/>
      <c r="O26" s="321" t="s">
        <v>256</v>
      </c>
      <c r="Q26" s="41"/>
      <c r="R26" s="41"/>
    </row>
    <row r="27" spans="1:20" s="321" customFormat="1" ht="48.1" customHeight="1" outlineLevel="1">
      <c r="A27" s="317">
        <v>206</v>
      </c>
      <c r="B27" s="317" t="str">
        <f t="shared" si="0"/>
        <v>IVF206</v>
      </c>
      <c r="C27" s="318" t="s">
        <v>50</v>
      </c>
      <c r="D27" s="317">
        <v>1</v>
      </c>
      <c r="E27" s="319" t="s">
        <v>9</v>
      </c>
      <c r="F27" s="5">
        <v>96250</v>
      </c>
      <c r="G27" s="314">
        <f>ROUND(D27*F27,0)</f>
        <v>96250</v>
      </c>
      <c r="H27" s="320">
        <v>1</v>
      </c>
      <c r="I27" s="313" t="s">
        <v>9</v>
      </c>
      <c r="J27" s="40">
        <f>F27</f>
        <v>96250</v>
      </c>
      <c r="K27" s="314">
        <f>ROUND(H27*J27,0)</f>
        <v>96250</v>
      </c>
      <c r="L27" s="314">
        <f>ROUND(IF(K27&gt;G27,K27-G27,0),0)</f>
        <v>0</v>
      </c>
      <c r="M27" s="314">
        <f>ROUND(IF(K27&lt;G27,G27-K27,0),0)</f>
        <v>0</v>
      </c>
      <c r="N27" s="315" t="s">
        <v>302</v>
      </c>
      <c r="O27" s="321" t="s">
        <v>256</v>
      </c>
      <c r="Q27" s="41"/>
      <c r="R27" s="41"/>
    </row>
    <row r="28" spans="1:20" s="321" customFormat="1" outlineLevel="1">
      <c r="A28" s="317"/>
      <c r="B28" s="317" t="str">
        <f t="shared" si="0"/>
        <v/>
      </c>
      <c r="C28" s="322" t="s">
        <v>338</v>
      </c>
      <c r="D28" s="317"/>
      <c r="E28" s="319"/>
      <c r="F28" s="5"/>
      <c r="G28" s="314"/>
      <c r="H28" s="320"/>
      <c r="I28" s="313"/>
      <c r="J28" s="40"/>
      <c r="K28" s="314"/>
      <c r="L28" s="314"/>
      <c r="M28" s="314"/>
      <c r="N28" s="315"/>
      <c r="O28" s="321" t="s">
        <v>256</v>
      </c>
      <c r="Q28" s="41"/>
      <c r="R28" s="41"/>
    </row>
    <row r="29" spans="1:20" s="321" customFormat="1" ht="12.1" customHeight="1" outlineLevel="1">
      <c r="A29" s="313"/>
      <c r="B29" s="317" t="str">
        <f t="shared" si="0"/>
        <v/>
      </c>
      <c r="F29" s="40"/>
      <c r="G29" s="314"/>
      <c r="H29" s="320"/>
      <c r="I29" s="313"/>
      <c r="J29" s="40"/>
      <c r="K29" s="314"/>
      <c r="L29" s="314"/>
      <c r="M29" s="314"/>
      <c r="N29" s="315"/>
      <c r="O29" s="321" t="s">
        <v>256</v>
      </c>
      <c r="Q29" s="41"/>
      <c r="R29" s="41"/>
    </row>
    <row r="30" spans="1:20" s="321" customFormat="1" ht="48.1" customHeight="1" outlineLevel="1">
      <c r="A30" s="317">
        <v>207</v>
      </c>
      <c r="B30" s="317" t="str">
        <f t="shared" si="0"/>
        <v>IVF207</v>
      </c>
      <c r="C30" s="318" t="s">
        <v>51</v>
      </c>
      <c r="D30" s="317">
        <v>2</v>
      </c>
      <c r="E30" s="319" t="s">
        <v>9</v>
      </c>
      <c r="F30" s="5">
        <v>825000</v>
      </c>
      <c r="G30" s="314">
        <f>ROUND(D30*F30,0)</f>
        <v>1650000</v>
      </c>
      <c r="H30" s="320">
        <v>2</v>
      </c>
      <c r="I30" s="313" t="s">
        <v>9</v>
      </c>
      <c r="J30" s="40">
        <f>F30</f>
        <v>825000</v>
      </c>
      <c r="K30" s="314">
        <f>ROUND(H30*J30,0)</f>
        <v>1650000</v>
      </c>
      <c r="L30" s="314">
        <f>ROUND(IF(K30&gt;G30,K30-G30,0),0)</f>
        <v>0</v>
      </c>
      <c r="M30" s="314">
        <f>ROUND(IF(K30&lt;G30,G30-K30,0),0)</f>
        <v>0</v>
      </c>
      <c r="N30" s="315" t="s">
        <v>302</v>
      </c>
      <c r="O30" s="321" t="s">
        <v>256</v>
      </c>
      <c r="Q30" s="324"/>
      <c r="R30" s="324"/>
    </row>
    <row r="31" spans="1:20" s="321" customFormat="1" ht="18.350000000000001" outlineLevel="1">
      <c r="A31" s="317"/>
      <c r="B31" s="317" t="str">
        <f t="shared" si="0"/>
        <v/>
      </c>
      <c r="C31" s="322" t="s">
        <v>335</v>
      </c>
      <c r="D31" s="317"/>
      <c r="E31" s="319"/>
      <c r="F31" s="5"/>
      <c r="G31" s="314"/>
      <c r="H31" s="320"/>
      <c r="I31" s="313"/>
      <c r="J31" s="40"/>
      <c r="K31" s="314"/>
      <c r="L31" s="314"/>
      <c r="M31" s="314"/>
      <c r="N31" s="315"/>
      <c r="O31" s="321" t="s">
        <v>256</v>
      </c>
      <c r="Q31" s="324"/>
      <c r="R31" s="324"/>
    </row>
    <row r="32" spans="1:20" s="321" customFormat="1" ht="12.1" customHeight="1" outlineLevel="1">
      <c r="A32" s="313"/>
      <c r="B32" s="317" t="str">
        <f t="shared" si="0"/>
        <v/>
      </c>
      <c r="F32" s="40"/>
      <c r="G32" s="314"/>
      <c r="H32" s="320"/>
      <c r="I32" s="313"/>
      <c r="J32" s="40"/>
      <c r="K32" s="314"/>
      <c r="L32" s="314"/>
      <c r="M32" s="314"/>
      <c r="N32" s="315"/>
      <c r="O32" s="321" t="s">
        <v>256</v>
      </c>
    </row>
    <row r="33" spans="1:15" s="321" customFormat="1" ht="48.1" customHeight="1" outlineLevel="1">
      <c r="A33" s="317">
        <v>208</v>
      </c>
      <c r="B33" s="317" t="str">
        <f t="shared" si="0"/>
        <v>IVF208</v>
      </c>
      <c r="C33" s="318" t="s">
        <v>52</v>
      </c>
      <c r="D33" s="317">
        <v>1</v>
      </c>
      <c r="E33" s="319" t="s">
        <v>9</v>
      </c>
      <c r="F33" s="5">
        <v>825000</v>
      </c>
      <c r="G33" s="314">
        <f>ROUND(D33*F33,0)</f>
        <v>825000</v>
      </c>
      <c r="H33" s="320">
        <v>1</v>
      </c>
      <c r="I33" s="313" t="s">
        <v>9</v>
      </c>
      <c r="J33" s="40">
        <f>F33</f>
        <v>825000</v>
      </c>
      <c r="K33" s="314">
        <f>ROUND(H33*J33,0)</f>
        <v>825000</v>
      </c>
      <c r="L33" s="314">
        <f>ROUND(IF(K33&gt;G33,K33-G33,0),0)</f>
        <v>0</v>
      </c>
      <c r="M33" s="314">
        <f>ROUND(IF(K33&lt;G33,G33-K33,0),0)</f>
        <v>0</v>
      </c>
      <c r="N33" s="315" t="s">
        <v>302</v>
      </c>
      <c r="O33" s="321" t="s">
        <v>256</v>
      </c>
    </row>
    <row r="34" spans="1:15" s="321" customFormat="1" outlineLevel="1">
      <c r="A34" s="317"/>
      <c r="B34" s="317" t="str">
        <f t="shared" si="0"/>
        <v/>
      </c>
      <c r="C34" s="322" t="s">
        <v>338</v>
      </c>
      <c r="D34" s="317"/>
      <c r="E34" s="319"/>
      <c r="F34" s="5"/>
      <c r="G34" s="314"/>
      <c r="H34" s="320"/>
      <c r="I34" s="313"/>
      <c r="J34" s="40"/>
      <c r="K34" s="314"/>
      <c r="L34" s="314"/>
      <c r="M34" s="314"/>
      <c r="N34" s="315"/>
      <c r="O34" s="321" t="s">
        <v>256</v>
      </c>
    </row>
    <row r="35" spans="1:15" s="321" customFormat="1" ht="12.1" customHeight="1" outlineLevel="1">
      <c r="A35" s="313"/>
      <c r="B35" s="317" t="str">
        <f t="shared" si="0"/>
        <v/>
      </c>
      <c r="F35" s="40"/>
      <c r="G35" s="314"/>
      <c r="H35" s="320"/>
      <c r="I35" s="313"/>
      <c r="J35" s="40"/>
      <c r="K35" s="314"/>
      <c r="L35" s="314"/>
      <c r="M35" s="314"/>
      <c r="N35" s="315"/>
      <c r="O35" s="321" t="s">
        <v>256</v>
      </c>
    </row>
    <row r="36" spans="1:15" s="321" customFormat="1" ht="48.1" customHeight="1" outlineLevel="1">
      <c r="A36" s="317">
        <v>209</v>
      </c>
      <c r="B36" s="317" t="str">
        <f t="shared" si="0"/>
        <v>IVF209</v>
      </c>
      <c r="C36" s="318" t="s">
        <v>53</v>
      </c>
      <c r="D36" s="317">
        <v>1</v>
      </c>
      <c r="E36" s="319" t="s">
        <v>9</v>
      </c>
      <c r="F36" s="5">
        <v>309000</v>
      </c>
      <c r="G36" s="314">
        <f>ROUND(D36*F36,0)</f>
        <v>309000</v>
      </c>
      <c r="H36" s="320">
        <v>1</v>
      </c>
      <c r="I36" s="313" t="s">
        <v>9</v>
      </c>
      <c r="J36" s="40">
        <f>F36</f>
        <v>309000</v>
      </c>
      <c r="K36" s="314">
        <f>ROUND(H36*J36,0)</f>
        <v>309000</v>
      </c>
      <c r="L36" s="314">
        <f>ROUND(IF(K36&gt;G36,K36-G36,0),0)</f>
        <v>0</v>
      </c>
      <c r="M36" s="314">
        <f>ROUND(IF(K36&lt;G36,G36-K36,0),0)</f>
        <v>0</v>
      </c>
      <c r="N36" s="315" t="s">
        <v>302</v>
      </c>
      <c r="O36" s="321" t="s">
        <v>256</v>
      </c>
    </row>
    <row r="37" spans="1:15" s="321" customFormat="1" outlineLevel="1">
      <c r="A37" s="317"/>
      <c r="B37" s="317" t="str">
        <f t="shared" si="0"/>
        <v/>
      </c>
      <c r="C37" s="322" t="s">
        <v>338</v>
      </c>
      <c r="D37" s="317"/>
      <c r="E37" s="319"/>
      <c r="F37" s="5"/>
      <c r="G37" s="314"/>
      <c r="H37" s="320"/>
      <c r="I37" s="313"/>
      <c r="J37" s="40"/>
      <c r="K37" s="314"/>
      <c r="L37" s="314"/>
      <c r="M37" s="314"/>
      <c r="N37" s="315"/>
      <c r="O37" s="321" t="s">
        <v>256</v>
      </c>
    </row>
    <row r="38" spans="1:15" s="321" customFormat="1" ht="12.1" customHeight="1" outlineLevel="1">
      <c r="A38" s="313"/>
      <c r="B38" s="317" t="str">
        <f t="shared" si="0"/>
        <v/>
      </c>
      <c r="F38" s="40"/>
      <c r="G38" s="314"/>
      <c r="H38" s="320"/>
      <c r="I38" s="313"/>
      <c r="J38" s="40"/>
      <c r="K38" s="314"/>
      <c r="L38" s="314">
        <f t="shared" ref="L38:L131" si="5">ROUND(IF(K38&gt;G38,K38-G38,0),0)</f>
        <v>0</v>
      </c>
      <c r="M38" s="314">
        <f t="shared" ref="M38:M130" si="6">ROUND(IF(K38&lt;G38,G38-K38,0),0)</f>
        <v>0</v>
      </c>
      <c r="N38" s="315"/>
      <c r="O38" s="321" t="s">
        <v>256</v>
      </c>
    </row>
    <row r="39" spans="1:15" s="321" customFormat="1" ht="48.1" customHeight="1" outlineLevel="1">
      <c r="A39" s="317">
        <v>210</v>
      </c>
      <c r="B39" s="317" t="str">
        <f t="shared" si="0"/>
        <v>IVF210</v>
      </c>
      <c r="C39" s="318" t="s">
        <v>54</v>
      </c>
      <c r="D39" s="317">
        <v>1</v>
      </c>
      <c r="E39" s="319" t="s">
        <v>9</v>
      </c>
      <c r="F39" s="5">
        <v>2625000</v>
      </c>
      <c r="G39" s="314">
        <f>ROUND(D39*F39,0)</f>
        <v>2625000</v>
      </c>
      <c r="H39" s="320">
        <v>1</v>
      </c>
      <c r="I39" s="313" t="s">
        <v>9</v>
      </c>
      <c r="J39" s="40">
        <f>F39</f>
        <v>2625000</v>
      </c>
      <c r="K39" s="314">
        <f>ROUND(H39*J39,0)</f>
        <v>2625000</v>
      </c>
      <c r="L39" s="314">
        <f t="shared" si="5"/>
        <v>0</v>
      </c>
      <c r="M39" s="314">
        <f t="shared" si="6"/>
        <v>0</v>
      </c>
      <c r="N39" s="315" t="s">
        <v>302</v>
      </c>
      <c r="O39" s="321" t="s">
        <v>256</v>
      </c>
    </row>
    <row r="40" spans="1:15" s="321" customFormat="1" outlineLevel="1">
      <c r="A40" s="317"/>
      <c r="B40" s="317" t="str">
        <f t="shared" si="0"/>
        <v/>
      </c>
      <c r="C40" s="322" t="s">
        <v>338</v>
      </c>
      <c r="D40" s="317"/>
      <c r="E40" s="319"/>
      <c r="F40" s="5"/>
      <c r="G40" s="314"/>
      <c r="H40" s="320"/>
      <c r="I40" s="313"/>
      <c r="J40" s="40"/>
      <c r="K40" s="314"/>
      <c r="L40" s="314"/>
      <c r="M40" s="314"/>
      <c r="N40" s="315"/>
      <c r="O40" s="321" t="s">
        <v>256</v>
      </c>
    </row>
    <row r="41" spans="1:15" s="321" customFormat="1" ht="12.1" customHeight="1" outlineLevel="1">
      <c r="A41" s="313"/>
      <c r="B41" s="317" t="str">
        <f t="shared" si="0"/>
        <v/>
      </c>
      <c r="F41" s="40"/>
      <c r="G41" s="314"/>
      <c r="H41" s="320"/>
      <c r="I41" s="313"/>
      <c r="J41" s="40"/>
      <c r="K41" s="314"/>
      <c r="L41" s="314">
        <f t="shared" si="5"/>
        <v>0</v>
      </c>
      <c r="M41" s="314">
        <f t="shared" si="6"/>
        <v>0</v>
      </c>
      <c r="N41" s="315"/>
      <c r="O41" s="321" t="s">
        <v>256</v>
      </c>
    </row>
    <row r="42" spans="1:15" s="321" customFormat="1" ht="48.1" customHeight="1" outlineLevel="1">
      <c r="A42" s="317">
        <v>211</v>
      </c>
      <c r="B42" s="317" t="str">
        <f t="shared" si="0"/>
        <v>IVF211</v>
      </c>
      <c r="C42" s="318" t="s">
        <v>55</v>
      </c>
      <c r="D42" s="317">
        <v>1</v>
      </c>
      <c r="E42" s="319" t="s">
        <v>9</v>
      </c>
      <c r="F42" s="5">
        <v>2560000</v>
      </c>
      <c r="G42" s="314">
        <f>ROUND(D42*F42,0)</f>
        <v>2560000</v>
      </c>
      <c r="H42" s="320">
        <v>1</v>
      </c>
      <c r="I42" s="313" t="s">
        <v>9</v>
      </c>
      <c r="J42" s="40">
        <f>F42</f>
        <v>2560000</v>
      </c>
      <c r="K42" s="314">
        <f>ROUND(H42*J42,0)</f>
        <v>2560000</v>
      </c>
      <c r="L42" s="314">
        <f t="shared" si="5"/>
        <v>0</v>
      </c>
      <c r="M42" s="314">
        <f t="shared" si="6"/>
        <v>0</v>
      </c>
      <c r="N42" s="315" t="s">
        <v>302</v>
      </c>
      <c r="O42" s="321" t="s">
        <v>256</v>
      </c>
    </row>
    <row r="43" spans="1:15" s="321" customFormat="1" outlineLevel="1">
      <c r="A43" s="317"/>
      <c r="B43" s="317" t="str">
        <f t="shared" si="0"/>
        <v/>
      </c>
      <c r="C43" s="322" t="s">
        <v>338</v>
      </c>
      <c r="D43" s="317"/>
      <c r="E43" s="319"/>
      <c r="F43" s="5"/>
      <c r="G43" s="314"/>
      <c r="H43" s="320"/>
      <c r="I43" s="313"/>
      <c r="J43" s="40"/>
      <c r="K43" s="314"/>
      <c r="L43" s="314"/>
      <c r="M43" s="314"/>
      <c r="N43" s="315"/>
      <c r="O43" s="321" t="s">
        <v>256</v>
      </c>
    </row>
    <row r="44" spans="1:15" s="321" customFormat="1" ht="12.1" customHeight="1" outlineLevel="1">
      <c r="A44" s="313"/>
      <c r="B44" s="317" t="str">
        <f t="shared" si="0"/>
        <v/>
      </c>
      <c r="F44" s="40"/>
      <c r="G44" s="314"/>
      <c r="H44" s="320"/>
      <c r="I44" s="313"/>
      <c r="J44" s="40"/>
      <c r="K44" s="314"/>
      <c r="L44" s="314">
        <f t="shared" si="5"/>
        <v>0</v>
      </c>
      <c r="M44" s="314">
        <f t="shared" si="6"/>
        <v>0</v>
      </c>
      <c r="N44" s="315"/>
      <c r="O44" s="321" t="s">
        <v>256</v>
      </c>
    </row>
    <row r="45" spans="1:15" s="321" customFormat="1" ht="48.1" customHeight="1" outlineLevel="1">
      <c r="A45" s="317">
        <v>212</v>
      </c>
      <c r="B45" s="317" t="str">
        <f t="shared" si="0"/>
        <v>IVF212</v>
      </c>
      <c r="C45" s="318" t="s">
        <v>56</v>
      </c>
      <c r="D45" s="317">
        <v>1</v>
      </c>
      <c r="E45" s="319" t="s">
        <v>9</v>
      </c>
      <c r="F45" s="5">
        <v>61875</v>
      </c>
      <c r="G45" s="314">
        <f>ROUND(D45*F45,0)</f>
        <v>61875</v>
      </c>
      <c r="H45" s="320">
        <v>1</v>
      </c>
      <c r="I45" s="313" t="s">
        <v>9</v>
      </c>
      <c r="J45" s="40">
        <f>F45</f>
        <v>61875</v>
      </c>
      <c r="K45" s="314">
        <f>ROUND(H45*J45,0)</f>
        <v>61875</v>
      </c>
      <c r="L45" s="314">
        <f t="shared" si="5"/>
        <v>0</v>
      </c>
      <c r="M45" s="314">
        <f t="shared" si="6"/>
        <v>0</v>
      </c>
      <c r="N45" s="315" t="s">
        <v>302</v>
      </c>
      <c r="O45" s="321" t="s">
        <v>256</v>
      </c>
    </row>
    <row r="46" spans="1:15" s="321" customFormat="1" outlineLevel="1">
      <c r="A46" s="317"/>
      <c r="B46" s="317" t="str">
        <f t="shared" si="0"/>
        <v/>
      </c>
      <c r="C46" s="322" t="s">
        <v>335</v>
      </c>
      <c r="D46" s="317"/>
      <c r="E46" s="319"/>
      <c r="F46" s="5"/>
      <c r="G46" s="314"/>
      <c r="H46" s="320"/>
      <c r="I46" s="313"/>
      <c r="J46" s="40"/>
      <c r="K46" s="314"/>
      <c r="L46" s="314"/>
      <c r="M46" s="314"/>
      <c r="N46" s="315"/>
      <c r="O46" s="321" t="s">
        <v>256</v>
      </c>
    </row>
    <row r="47" spans="1:15" s="321" customFormat="1" ht="12.1" customHeight="1" outlineLevel="1">
      <c r="A47" s="313"/>
      <c r="B47" s="317" t="str">
        <f t="shared" si="0"/>
        <v/>
      </c>
      <c r="F47" s="40"/>
      <c r="G47" s="314"/>
      <c r="H47" s="320"/>
      <c r="I47" s="313"/>
      <c r="J47" s="40"/>
      <c r="K47" s="314"/>
      <c r="L47" s="314">
        <f t="shared" si="5"/>
        <v>0</v>
      </c>
      <c r="M47" s="314">
        <f t="shared" si="6"/>
        <v>0</v>
      </c>
      <c r="N47" s="315"/>
      <c r="O47" s="321" t="s">
        <v>256</v>
      </c>
    </row>
    <row r="48" spans="1:15" s="321" customFormat="1" ht="48.1" customHeight="1" outlineLevel="1">
      <c r="A48" s="317">
        <v>213</v>
      </c>
      <c r="B48" s="317" t="str">
        <f t="shared" si="0"/>
        <v>IVF213</v>
      </c>
      <c r="C48" s="318" t="s">
        <v>57</v>
      </c>
      <c r="D48" s="317">
        <v>2</v>
      </c>
      <c r="E48" s="319" t="s">
        <v>9</v>
      </c>
      <c r="F48" s="5">
        <v>50000</v>
      </c>
      <c r="G48" s="314">
        <f>ROUND(D48*F48,0)</f>
        <v>100000</v>
      </c>
      <c r="H48" s="320">
        <v>2</v>
      </c>
      <c r="I48" s="313" t="s">
        <v>9</v>
      </c>
      <c r="J48" s="40">
        <f>F48</f>
        <v>50000</v>
      </c>
      <c r="K48" s="314">
        <f>ROUND(H48*J48,0)</f>
        <v>100000</v>
      </c>
      <c r="L48" s="314">
        <f t="shared" si="5"/>
        <v>0</v>
      </c>
      <c r="M48" s="314">
        <f t="shared" si="6"/>
        <v>0</v>
      </c>
      <c r="N48" s="315" t="s">
        <v>302</v>
      </c>
      <c r="O48" s="321" t="s">
        <v>256</v>
      </c>
    </row>
    <row r="49" spans="1:15" s="321" customFormat="1" outlineLevel="1">
      <c r="A49" s="317"/>
      <c r="B49" s="317" t="str">
        <f t="shared" si="0"/>
        <v/>
      </c>
      <c r="C49" s="322" t="s">
        <v>336</v>
      </c>
      <c r="D49" s="317"/>
      <c r="E49" s="319"/>
      <c r="F49" s="5"/>
      <c r="G49" s="314"/>
      <c r="H49" s="320"/>
      <c r="I49" s="313"/>
      <c r="J49" s="40"/>
      <c r="K49" s="314"/>
      <c r="L49" s="314"/>
      <c r="M49" s="314"/>
      <c r="N49" s="315"/>
      <c r="O49" s="321" t="s">
        <v>256</v>
      </c>
    </row>
    <row r="50" spans="1:15" s="321" customFormat="1" ht="12.1" customHeight="1" outlineLevel="1">
      <c r="A50" s="313"/>
      <c r="B50" s="317" t="str">
        <f t="shared" si="0"/>
        <v/>
      </c>
      <c r="F50" s="40"/>
      <c r="G50" s="314"/>
      <c r="H50" s="320"/>
      <c r="I50" s="313"/>
      <c r="J50" s="40"/>
      <c r="K50" s="314"/>
      <c r="L50" s="314">
        <f t="shared" si="5"/>
        <v>0</v>
      </c>
      <c r="M50" s="314">
        <f t="shared" si="6"/>
        <v>0</v>
      </c>
      <c r="N50" s="315"/>
      <c r="O50" s="321" t="s">
        <v>256</v>
      </c>
    </row>
    <row r="51" spans="1:15" s="321" customFormat="1" ht="48.1" customHeight="1" outlineLevel="1">
      <c r="A51" s="317">
        <v>214</v>
      </c>
      <c r="B51" s="317" t="str">
        <f t="shared" si="0"/>
        <v>IVF214</v>
      </c>
      <c r="C51" s="318" t="s">
        <v>58</v>
      </c>
      <c r="D51" s="317">
        <v>1</v>
      </c>
      <c r="E51" s="319" t="s">
        <v>9</v>
      </c>
      <c r="F51" s="5">
        <v>378000</v>
      </c>
      <c r="G51" s="314">
        <f>ROUND(D51*F51,0)</f>
        <v>378000</v>
      </c>
      <c r="H51" s="320">
        <v>1</v>
      </c>
      <c r="I51" s="313" t="s">
        <v>9</v>
      </c>
      <c r="J51" s="40">
        <f>F51</f>
        <v>378000</v>
      </c>
      <c r="K51" s="314">
        <f>ROUND(H51*J51,0)</f>
        <v>378000</v>
      </c>
      <c r="L51" s="314">
        <f t="shared" si="5"/>
        <v>0</v>
      </c>
      <c r="M51" s="314">
        <f t="shared" si="6"/>
        <v>0</v>
      </c>
      <c r="N51" s="315" t="s">
        <v>302</v>
      </c>
      <c r="O51" s="321" t="s">
        <v>256</v>
      </c>
    </row>
    <row r="52" spans="1:15" s="321" customFormat="1" outlineLevel="1">
      <c r="A52" s="317"/>
      <c r="B52" s="317" t="str">
        <f t="shared" si="0"/>
        <v/>
      </c>
      <c r="C52" s="322" t="s">
        <v>336</v>
      </c>
      <c r="D52" s="317"/>
      <c r="E52" s="319"/>
      <c r="F52" s="5"/>
      <c r="G52" s="314"/>
      <c r="H52" s="320"/>
      <c r="I52" s="313"/>
      <c r="J52" s="40"/>
      <c r="K52" s="314"/>
      <c r="L52" s="314"/>
      <c r="M52" s="314"/>
      <c r="N52" s="315"/>
      <c r="O52" s="321" t="s">
        <v>256</v>
      </c>
    </row>
    <row r="53" spans="1:15" s="321" customFormat="1" ht="12.1" customHeight="1" outlineLevel="1">
      <c r="A53" s="313"/>
      <c r="B53" s="317" t="str">
        <f t="shared" si="0"/>
        <v/>
      </c>
      <c r="F53" s="40"/>
      <c r="G53" s="314"/>
      <c r="H53" s="320"/>
      <c r="I53" s="313"/>
      <c r="J53" s="40"/>
      <c r="K53" s="314"/>
      <c r="L53" s="314">
        <f t="shared" si="5"/>
        <v>0</v>
      </c>
      <c r="M53" s="314">
        <f t="shared" si="6"/>
        <v>0</v>
      </c>
      <c r="N53" s="315"/>
      <c r="O53" s="321" t="s">
        <v>256</v>
      </c>
    </row>
    <row r="54" spans="1:15" s="321" customFormat="1" ht="48.1" customHeight="1" outlineLevel="1">
      <c r="A54" s="317">
        <v>215</v>
      </c>
      <c r="B54" s="317" t="str">
        <f t="shared" si="0"/>
        <v>IVF215</v>
      </c>
      <c r="C54" s="318" t="s">
        <v>59</v>
      </c>
      <c r="D54" s="317">
        <v>1</v>
      </c>
      <c r="E54" s="319" t="s">
        <v>9</v>
      </c>
      <c r="F54" s="5">
        <v>93750</v>
      </c>
      <c r="G54" s="314">
        <f>ROUND(D54*F54,0)</f>
        <v>93750</v>
      </c>
      <c r="H54" s="320">
        <v>1</v>
      </c>
      <c r="I54" s="313" t="s">
        <v>9</v>
      </c>
      <c r="J54" s="40">
        <f>F54</f>
        <v>93750</v>
      </c>
      <c r="K54" s="314">
        <f>ROUND(H54*J54,0)</f>
        <v>93750</v>
      </c>
      <c r="L54" s="314">
        <f t="shared" si="5"/>
        <v>0</v>
      </c>
      <c r="M54" s="314">
        <f t="shared" si="6"/>
        <v>0</v>
      </c>
      <c r="N54" s="315" t="s">
        <v>302</v>
      </c>
      <c r="O54" s="321" t="s">
        <v>256</v>
      </c>
    </row>
    <row r="55" spans="1:15" s="321" customFormat="1" outlineLevel="1">
      <c r="A55" s="317"/>
      <c r="B55" s="317" t="str">
        <f t="shared" si="0"/>
        <v/>
      </c>
      <c r="C55" s="322" t="s">
        <v>336</v>
      </c>
      <c r="D55" s="317"/>
      <c r="E55" s="319"/>
      <c r="F55" s="5"/>
      <c r="G55" s="314"/>
      <c r="H55" s="320"/>
      <c r="I55" s="313"/>
      <c r="J55" s="40"/>
      <c r="K55" s="314"/>
      <c r="L55" s="314"/>
      <c r="M55" s="314"/>
      <c r="N55" s="315"/>
      <c r="O55" s="321" t="s">
        <v>256</v>
      </c>
    </row>
    <row r="56" spans="1:15" s="321" customFormat="1" ht="12.1" customHeight="1" outlineLevel="1">
      <c r="A56" s="313"/>
      <c r="B56" s="317" t="str">
        <f t="shared" si="0"/>
        <v/>
      </c>
      <c r="F56" s="40"/>
      <c r="G56" s="314"/>
      <c r="H56" s="320"/>
      <c r="I56" s="313"/>
      <c r="J56" s="40"/>
      <c r="K56" s="314"/>
      <c r="L56" s="314">
        <f t="shared" si="5"/>
        <v>0</v>
      </c>
      <c r="M56" s="314">
        <f t="shared" si="6"/>
        <v>0</v>
      </c>
      <c r="N56" s="315"/>
      <c r="O56" s="321" t="s">
        <v>256</v>
      </c>
    </row>
    <row r="57" spans="1:15" s="321" customFormat="1" ht="48.1" customHeight="1" outlineLevel="1">
      <c r="A57" s="317">
        <v>216</v>
      </c>
      <c r="B57" s="317" t="str">
        <f t="shared" si="0"/>
        <v>IVF216</v>
      </c>
      <c r="C57" s="318" t="s">
        <v>60</v>
      </c>
      <c r="D57" s="317">
        <v>1</v>
      </c>
      <c r="E57" s="319" t="s">
        <v>9</v>
      </c>
      <c r="F57" s="5">
        <v>731250</v>
      </c>
      <c r="G57" s="314">
        <f>ROUND(D57*F57,0)</f>
        <v>731250</v>
      </c>
      <c r="H57" s="320">
        <v>1</v>
      </c>
      <c r="I57" s="313" t="s">
        <v>9</v>
      </c>
      <c r="J57" s="40">
        <f>F57</f>
        <v>731250</v>
      </c>
      <c r="K57" s="314">
        <f>ROUND(H57*J57,0)</f>
        <v>731250</v>
      </c>
      <c r="L57" s="314">
        <f t="shared" si="5"/>
        <v>0</v>
      </c>
      <c r="M57" s="314">
        <f t="shared" si="6"/>
        <v>0</v>
      </c>
      <c r="N57" s="315" t="s">
        <v>302</v>
      </c>
      <c r="O57" s="321" t="s">
        <v>256</v>
      </c>
    </row>
    <row r="58" spans="1:15" s="321" customFormat="1" outlineLevel="1">
      <c r="A58" s="317"/>
      <c r="B58" s="317" t="str">
        <f t="shared" si="0"/>
        <v/>
      </c>
      <c r="C58" s="322" t="s">
        <v>338</v>
      </c>
      <c r="D58" s="317"/>
      <c r="E58" s="319"/>
      <c r="F58" s="5"/>
      <c r="G58" s="314"/>
      <c r="H58" s="320"/>
      <c r="I58" s="313"/>
      <c r="J58" s="40"/>
      <c r="K58" s="314"/>
      <c r="L58" s="314"/>
      <c r="M58" s="314"/>
      <c r="N58" s="315"/>
      <c r="O58" s="321" t="s">
        <v>256</v>
      </c>
    </row>
    <row r="59" spans="1:15" s="321" customFormat="1" ht="12.1" customHeight="1" outlineLevel="1">
      <c r="A59" s="313"/>
      <c r="B59" s="317" t="str">
        <f t="shared" si="0"/>
        <v/>
      </c>
      <c r="F59" s="40"/>
      <c r="G59" s="314"/>
      <c r="H59" s="320"/>
      <c r="I59" s="313"/>
      <c r="J59" s="40"/>
      <c r="K59" s="314"/>
      <c r="L59" s="314">
        <f t="shared" si="5"/>
        <v>0</v>
      </c>
      <c r="M59" s="314">
        <f t="shared" si="6"/>
        <v>0</v>
      </c>
      <c r="N59" s="315"/>
      <c r="O59" s="321" t="s">
        <v>256</v>
      </c>
    </row>
    <row r="60" spans="1:15" s="321" customFormat="1" ht="48.1" customHeight="1" outlineLevel="1">
      <c r="A60" s="317">
        <v>217</v>
      </c>
      <c r="B60" s="317" t="str">
        <f t="shared" si="0"/>
        <v>IVF217</v>
      </c>
      <c r="C60" s="318" t="s">
        <v>61</v>
      </c>
      <c r="D60" s="317">
        <v>1</v>
      </c>
      <c r="E60" s="319" t="s">
        <v>9</v>
      </c>
      <c r="F60" s="5">
        <v>75625</v>
      </c>
      <c r="G60" s="314">
        <f>ROUND(D60*F60,0)</f>
        <v>75625</v>
      </c>
      <c r="H60" s="320">
        <v>1</v>
      </c>
      <c r="I60" s="313" t="s">
        <v>9</v>
      </c>
      <c r="J60" s="40">
        <f>F60</f>
        <v>75625</v>
      </c>
      <c r="K60" s="314">
        <f>ROUND(H60*J60,0)</f>
        <v>75625</v>
      </c>
      <c r="L60" s="314">
        <f t="shared" si="5"/>
        <v>0</v>
      </c>
      <c r="M60" s="314">
        <f t="shared" si="6"/>
        <v>0</v>
      </c>
      <c r="N60" s="315" t="s">
        <v>302</v>
      </c>
      <c r="O60" s="321" t="s">
        <v>256</v>
      </c>
    </row>
    <row r="61" spans="1:15" s="321" customFormat="1" outlineLevel="1">
      <c r="A61" s="317"/>
      <c r="B61" s="317" t="str">
        <f t="shared" si="0"/>
        <v/>
      </c>
      <c r="C61" s="322" t="s">
        <v>336</v>
      </c>
      <c r="D61" s="317"/>
      <c r="E61" s="319"/>
      <c r="F61" s="5"/>
      <c r="G61" s="314"/>
      <c r="H61" s="320"/>
      <c r="I61" s="313"/>
      <c r="J61" s="40"/>
      <c r="K61" s="314"/>
      <c r="L61" s="314"/>
      <c r="M61" s="314"/>
      <c r="N61" s="315"/>
      <c r="O61" s="321" t="s">
        <v>256</v>
      </c>
    </row>
    <row r="62" spans="1:15" s="321" customFormat="1" ht="12.1" customHeight="1" outlineLevel="1">
      <c r="A62" s="313"/>
      <c r="B62" s="317" t="str">
        <f t="shared" si="0"/>
        <v/>
      </c>
      <c r="F62" s="40"/>
      <c r="G62" s="314"/>
      <c r="H62" s="320"/>
      <c r="I62" s="313"/>
      <c r="J62" s="40"/>
      <c r="K62" s="314"/>
      <c r="L62" s="314">
        <f t="shared" si="5"/>
        <v>0</v>
      </c>
      <c r="M62" s="314">
        <f t="shared" si="6"/>
        <v>0</v>
      </c>
      <c r="N62" s="315"/>
      <c r="O62" s="321" t="s">
        <v>256</v>
      </c>
    </row>
    <row r="63" spans="1:15" s="321" customFormat="1" ht="48.1" customHeight="1" outlineLevel="1">
      <c r="A63" s="317">
        <v>218</v>
      </c>
      <c r="B63" s="317" t="str">
        <f t="shared" si="0"/>
        <v>IVF218</v>
      </c>
      <c r="C63" s="318" t="s">
        <v>62</v>
      </c>
      <c r="D63" s="317">
        <v>1</v>
      </c>
      <c r="E63" s="319" t="s">
        <v>9</v>
      </c>
      <c r="F63" s="5">
        <v>41250</v>
      </c>
      <c r="G63" s="314">
        <f>ROUND(D63*F63,0)</f>
        <v>41250</v>
      </c>
      <c r="H63" s="320">
        <v>1</v>
      </c>
      <c r="I63" s="313" t="s">
        <v>9</v>
      </c>
      <c r="J63" s="40">
        <f>F63</f>
        <v>41250</v>
      </c>
      <c r="K63" s="314">
        <f>ROUND(H63*J63,0)</f>
        <v>41250</v>
      </c>
      <c r="L63" s="314">
        <f t="shared" si="5"/>
        <v>0</v>
      </c>
      <c r="M63" s="314">
        <f t="shared" si="6"/>
        <v>0</v>
      </c>
      <c r="N63" s="315" t="s">
        <v>302</v>
      </c>
      <c r="O63" s="321" t="s">
        <v>256</v>
      </c>
    </row>
    <row r="64" spans="1:15" s="321" customFormat="1" outlineLevel="1">
      <c r="A64" s="317"/>
      <c r="B64" s="317" t="str">
        <f t="shared" si="0"/>
        <v/>
      </c>
      <c r="C64" s="322" t="s">
        <v>338</v>
      </c>
      <c r="D64" s="317"/>
      <c r="E64" s="319"/>
      <c r="F64" s="5"/>
      <c r="G64" s="314"/>
      <c r="H64" s="320"/>
      <c r="I64" s="313"/>
      <c r="J64" s="40"/>
      <c r="K64" s="314"/>
      <c r="L64" s="314"/>
      <c r="M64" s="314"/>
      <c r="N64" s="315"/>
      <c r="O64" s="321" t="s">
        <v>256</v>
      </c>
    </row>
    <row r="65" spans="1:15" s="321" customFormat="1" ht="12.1" customHeight="1" outlineLevel="1">
      <c r="A65" s="313"/>
      <c r="B65" s="317" t="str">
        <f t="shared" si="0"/>
        <v/>
      </c>
      <c r="F65" s="40"/>
      <c r="G65" s="314"/>
      <c r="H65" s="320"/>
      <c r="I65" s="313"/>
      <c r="J65" s="40"/>
      <c r="K65" s="314"/>
      <c r="L65" s="314">
        <f t="shared" si="5"/>
        <v>0</v>
      </c>
      <c r="M65" s="314">
        <f t="shared" si="6"/>
        <v>0</v>
      </c>
      <c r="N65" s="315"/>
      <c r="O65" s="321" t="s">
        <v>256</v>
      </c>
    </row>
    <row r="66" spans="1:15" s="321" customFormat="1" ht="48.1" customHeight="1" outlineLevel="1">
      <c r="A66" s="317">
        <v>219</v>
      </c>
      <c r="B66" s="317" t="str">
        <f t="shared" si="0"/>
        <v>IVF219</v>
      </c>
      <c r="C66" s="318" t="s">
        <v>63</v>
      </c>
      <c r="D66" s="317">
        <v>1</v>
      </c>
      <c r="E66" s="319" t="s">
        <v>9</v>
      </c>
      <c r="F66" s="5">
        <v>250000</v>
      </c>
      <c r="G66" s="314">
        <f>ROUND(D66*F66,0)</f>
        <v>250000</v>
      </c>
      <c r="H66" s="320">
        <v>1</v>
      </c>
      <c r="I66" s="313" t="s">
        <v>9</v>
      </c>
      <c r="J66" s="40">
        <f>F66</f>
        <v>250000</v>
      </c>
      <c r="K66" s="314">
        <f>ROUND(H66*J66,0)</f>
        <v>250000</v>
      </c>
      <c r="L66" s="314">
        <f t="shared" si="5"/>
        <v>0</v>
      </c>
      <c r="M66" s="314">
        <f t="shared" si="6"/>
        <v>0</v>
      </c>
      <c r="N66" s="315" t="s">
        <v>302</v>
      </c>
      <c r="O66" s="321" t="s">
        <v>256</v>
      </c>
    </row>
    <row r="67" spans="1:15" s="321" customFormat="1" outlineLevel="1">
      <c r="A67" s="317"/>
      <c r="B67" s="317" t="str">
        <f t="shared" si="0"/>
        <v/>
      </c>
      <c r="C67" s="322" t="s">
        <v>338</v>
      </c>
      <c r="D67" s="317"/>
      <c r="E67" s="319"/>
      <c r="F67" s="5"/>
      <c r="G67" s="314"/>
      <c r="H67" s="320"/>
      <c r="I67" s="313"/>
      <c r="J67" s="40"/>
      <c r="K67" s="314"/>
      <c r="L67" s="314"/>
      <c r="M67" s="314"/>
      <c r="N67" s="315"/>
      <c r="O67" s="321" t="s">
        <v>256</v>
      </c>
    </row>
    <row r="68" spans="1:15" s="321" customFormat="1" ht="12.1" customHeight="1" outlineLevel="1">
      <c r="A68" s="313"/>
      <c r="B68" s="317" t="str">
        <f t="shared" si="0"/>
        <v/>
      </c>
      <c r="F68" s="40"/>
      <c r="G68" s="314"/>
      <c r="H68" s="320"/>
      <c r="I68" s="313"/>
      <c r="J68" s="40"/>
      <c r="K68" s="314"/>
      <c r="L68" s="314">
        <f t="shared" si="5"/>
        <v>0</v>
      </c>
      <c r="M68" s="314">
        <f t="shared" si="6"/>
        <v>0</v>
      </c>
      <c r="N68" s="315"/>
      <c r="O68" s="321" t="s">
        <v>256</v>
      </c>
    </row>
    <row r="69" spans="1:15" s="321" customFormat="1" ht="48.1" customHeight="1" outlineLevel="1">
      <c r="A69" s="317">
        <v>220</v>
      </c>
      <c r="B69" s="317" t="str">
        <f t="shared" si="0"/>
        <v>IVF220</v>
      </c>
      <c r="C69" s="318" t="s">
        <v>64</v>
      </c>
      <c r="D69" s="317">
        <v>1</v>
      </c>
      <c r="E69" s="319" t="s">
        <v>9</v>
      </c>
      <c r="F69" s="5">
        <v>34500</v>
      </c>
      <c r="G69" s="314">
        <f>ROUND(D69*F69,0)</f>
        <v>34500</v>
      </c>
      <c r="H69" s="320">
        <v>1</v>
      </c>
      <c r="I69" s="313" t="s">
        <v>9</v>
      </c>
      <c r="J69" s="40">
        <f>F69</f>
        <v>34500</v>
      </c>
      <c r="K69" s="314">
        <f>ROUND(H69*J69,0)</f>
        <v>34500</v>
      </c>
      <c r="L69" s="314">
        <f t="shared" si="5"/>
        <v>0</v>
      </c>
      <c r="M69" s="314">
        <f t="shared" si="6"/>
        <v>0</v>
      </c>
      <c r="N69" s="315" t="s">
        <v>302</v>
      </c>
      <c r="O69" s="321" t="s">
        <v>256</v>
      </c>
    </row>
    <row r="70" spans="1:15" s="321" customFormat="1" outlineLevel="1">
      <c r="A70" s="317"/>
      <c r="B70" s="317" t="str">
        <f t="shared" si="0"/>
        <v/>
      </c>
      <c r="C70" s="322" t="s">
        <v>336</v>
      </c>
      <c r="D70" s="317"/>
      <c r="E70" s="319"/>
      <c r="F70" s="5"/>
      <c r="G70" s="314"/>
      <c r="H70" s="320"/>
      <c r="I70" s="313"/>
      <c r="J70" s="40"/>
      <c r="K70" s="314"/>
      <c r="L70" s="314"/>
      <c r="M70" s="314"/>
      <c r="N70" s="315"/>
      <c r="O70" s="321" t="s">
        <v>256</v>
      </c>
    </row>
    <row r="71" spans="1:15" s="321" customFormat="1" ht="12.1" customHeight="1" outlineLevel="1">
      <c r="A71" s="313"/>
      <c r="B71" s="317" t="str">
        <f t="shared" ref="B71:B136" si="7">IF(ISBLANK(A71), "","IVF"&amp;A71)</f>
        <v/>
      </c>
      <c r="F71" s="40"/>
      <c r="G71" s="314"/>
      <c r="H71" s="320"/>
      <c r="I71" s="313"/>
      <c r="J71" s="40"/>
      <c r="K71" s="314"/>
      <c r="L71" s="314">
        <f t="shared" si="5"/>
        <v>0</v>
      </c>
      <c r="M71" s="314">
        <f t="shared" si="6"/>
        <v>0</v>
      </c>
      <c r="N71" s="315"/>
      <c r="O71" s="321" t="s">
        <v>256</v>
      </c>
    </row>
    <row r="72" spans="1:15" s="321" customFormat="1" ht="48.1" customHeight="1" outlineLevel="1">
      <c r="A72" s="317">
        <v>221</v>
      </c>
      <c r="B72" s="317" t="str">
        <f t="shared" si="7"/>
        <v>IVF221</v>
      </c>
      <c r="C72" s="318" t="s">
        <v>65</v>
      </c>
      <c r="D72" s="317">
        <v>1</v>
      </c>
      <c r="E72" s="319" t="s">
        <v>9</v>
      </c>
      <c r="F72" s="5">
        <v>563750</v>
      </c>
      <c r="G72" s="314">
        <f>ROUND(D72*F72,0)</f>
        <v>563750</v>
      </c>
      <c r="H72" s="320">
        <v>1</v>
      </c>
      <c r="I72" s="313" t="s">
        <v>9</v>
      </c>
      <c r="J72" s="40">
        <f>F72</f>
        <v>563750</v>
      </c>
      <c r="K72" s="314">
        <f>ROUND(H72*J72,0)</f>
        <v>563750</v>
      </c>
      <c r="L72" s="314">
        <f t="shared" si="5"/>
        <v>0</v>
      </c>
      <c r="M72" s="314">
        <f t="shared" si="6"/>
        <v>0</v>
      </c>
      <c r="N72" s="315" t="s">
        <v>302</v>
      </c>
      <c r="O72" s="321" t="s">
        <v>256</v>
      </c>
    </row>
    <row r="73" spans="1:15" s="321" customFormat="1" outlineLevel="1">
      <c r="A73" s="317"/>
      <c r="B73" s="317" t="str">
        <f t="shared" si="7"/>
        <v/>
      </c>
      <c r="C73" s="322" t="s">
        <v>336</v>
      </c>
      <c r="D73" s="317"/>
      <c r="E73" s="319"/>
      <c r="F73" s="5"/>
      <c r="G73" s="314"/>
      <c r="H73" s="320"/>
      <c r="I73" s="313"/>
      <c r="J73" s="40"/>
      <c r="K73" s="314"/>
      <c r="L73" s="314"/>
      <c r="M73" s="314"/>
      <c r="N73" s="315"/>
      <c r="O73" s="321" t="s">
        <v>256</v>
      </c>
    </row>
    <row r="74" spans="1:15" s="321" customFormat="1" ht="12.1" customHeight="1" outlineLevel="1">
      <c r="A74" s="313"/>
      <c r="B74" s="317" t="str">
        <f t="shared" si="7"/>
        <v/>
      </c>
      <c r="F74" s="40"/>
      <c r="G74" s="314"/>
      <c r="H74" s="320"/>
      <c r="I74" s="313"/>
      <c r="J74" s="40"/>
      <c r="K74" s="314"/>
      <c r="L74" s="314">
        <f t="shared" si="5"/>
        <v>0</v>
      </c>
      <c r="M74" s="314">
        <f t="shared" si="6"/>
        <v>0</v>
      </c>
      <c r="N74" s="315"/>
      <c r="O74" s="321" t="s">
        <v>256</v>
      </c>
    </row>
    <row r="75" spans="1:15" s="321" customFormat="1" ht="48.1" customHeight="1" outlineLevel="1">
      <c r="A75" s="317">
        <v>222</v>
      </c>
      <c r="B75" s="317" t="str">
        <f t="shared" si="7"/>
        <v>IVF222</v>
      </c>
      <c r="C75" s="318" t="s">
        <v>66</v>
      </c>
      <c r="D75" s="317">
        <v>1</v>
      </c>
      <c r="E75" s="319" t="s">
        <v>9</v>
      </c>
      <c r="F75" s="5">
        <v>103125</v>
      </c>
      <c r="G75" s="314">
        <f>ROUND(D75*F75,0)</f>
        <v>103125</v>
      </c>
      <c r="H75" s="320">
        <v>1</v>
      </c>
      <c r="I75" s="313" t="s">
        <v>9</v>
      </c>
      <c r="J75" s="40">
        <f>F75</f>
        <v>103125</v>
      </c>
      <c r="K75" s="314">
        <f>ROUND(H75*J75,0)</f>
        <v>103125</v>
      </c>
      <c r="L75" s="314">
        <f t="shared" si="5"/>
        <v>0</v>
      </c>
      <c r="M75" s="314">
        <f t="shared" si="6"/>
        <v>0</v>
      </c>
      <c r="N75" s="315" t="s">
        <v>302</v>
      </c>
      <c r="O75" s="321" t="s">
        <v>256</v>
      </c>
    </row>
    <row r="76" spans="1:15" s="321" customFormat="1" outlineLevel="1">
      <c r="A76" s="317"/>
      <c r="B76" s="317" t="str">
        <f t="shared" si="7"/>
        <v/>
      </c>
      <c r="C76" s="322" t="s">
        <v>338</v>
      </c>
      <c r="D76" s="317"/>
      <c r="E76" s="319"/>
      <c r="F76" s="5"/>
      <c r="G76" s="314"/>
      <c r="H76" s="320"/>
      <c r="I76" s="313"/>
      <c r="J76" s="40"/>
      <c r="K76" s="314"/>
      <c r="L76" s="314"/>
      <c r="M76" s="314"/>
      <c r="N76" s="315"/>
      <c r="O76" s="321" t="s">
        <v>256</v>
      </c>
    </row>
    <row r="77" spans="1:15" s="321" customFormat="1" ht="12.1" customHeight="1" outlineLevel="1">
      <c r="A77" s="313"/>
      <c r="B77" s="317" t="str">
        <f t="shared" si="7"/>
        <v/>
      </c>
      <c r="F77" s="40"/>
      <c r="G77" s="314"/>
      <c r="H77" s="320"/>
      <c r="I77" s="313"/>
      <c r="J77" s="40"/>
      <c r="K77" s="314"/>
      <c r="L77" s="314">
        <f t="shared" si="5"/>
        <v>0</v>
      </c>
      <c r="M77" s="314">
        <f t="shared" si="6"/>
        <v>0</v>
      </c>
      <c r="N77" s="315"/>
      <c r="O77" s="321" t="s">
        <v>256</v>
      </c>
    </row>
    <row r="78" spans="1:15" s="321" customFormat="1" ht="48.1" customHeight="1" outlineLevel="1">
      <c r="A78" s="317">
        <v>223</v>
      </c>
      <c r="B78" s="317" t="str">
        <f t="shared" si="7"/>
        <v>IVF223</v>
      </c>
      <c r="C78" s="318" t="s">
        <v>67</v>
      </c>
      <c r="D78" s="317">
        <v>1</v>
      </c>
      <c r="E78" s="319" t="s">
        <v>9</v>
      </c>
      <c r="F78" s="5">
        <v>225000</v>
      </c>
      <c r="G78" s="314">
        <f>ROUND(D78*F78,0)</f>
        <v>225000</v>
      </c>
      <c r="H78" s="320">
        <v>1</v>
      </c>
      <c r="I78" s="313" t="s">
        <v>9</v>
      </c>
      <c r="J78" s="40">
        <f>F78</f>
        <v>225000</v>
      </c>
      <c r="K78" s="314">
        <f>ROUND(H78*J78,0)</f>
        <v>225000</v>
      </c>
      <c r="L78" s="314">
        <f t="shared" si="5"/>
        <v>0</v>
      </c>
      <c r="M78" s="314">
        <f t="shared" si="6"/>
        <v>0</v>
      </c>
      <c r="N78" s="315" t="s">
        <v>302</v>
      </c>
      <c r="O78" s="321" t="s">
        <v>256</v>
      </c>
    </row>
    <row r="79" spans="1:15" s="321" customFormat="1" outlineLevel="1">
      <c r="A79" s="317"/>
      <c r="B79" s="317" t="str">
        <f t="shared" si="7"/>
        <v/>
      </c>
      <c r="C79" s="322" t="s">
        <v>336</v>
      </c>
      <c r="D79" s="317"/>
      <c r="E79" s="319"/>
      <c r="F79" s="5"/>
      <c r="G79" s="314"/>
      <c r="H79" s="320"/>
      <c r="I79" s="313"/>
      <c r="J79" s="40"/>
      <c r="K79" s="314"/>
      <c r="L79" s="314"/>
      <c r="M79" s="314"/>
      <c r="N79" s="315"/>
      <c r="O79" s="321" t="s">
        <v>256</v>
      </c>
    </row>
    <row r="80" spans="1:15" s="321" customFormat="1" ht="12.1" customHeight="1" outlineLevel="1">
      <c r="A80" s="313"/>
      <c r="B80" s="317" t="str">
        <f t="shared" si="7"/>
        <v/>
      </c>
      <c r="F80" s="40"/>
      <c r="G80" s="314"/>
      <c r="H80" s="320"/>
      <c r="I80" s="313"/>
      <c r="J80" s="40"/>
      <c r="K80" s="314"/>
      <c r="L80" s="314">
        <f t="shared" si="5"/>
        <v>0</v>
      </c>
      <c r="M80" s="314">
        <f t="shared" si="6"/>
        <v>0</v>
      </c>
      <c r="N80" s="315"/>
      <c r="O80" s="321" t="s">
        <v>256</v>
      </c>
    </row>
    <row r="81" spans="1:15" s="321" customFormat="1" ht="48.1" customHeight="1" outlineLevel="1">
      <c r="A81" s="317">
        <v>224</v>
      </c>
      <c r="B81" s="317" t="str">
        <f t="shared" si="7"/>
        <v>IVF224</v>
      </c>
      <c r="C81" s="318" t="s">
        <v>68</v>
      </c>
      <c r="D81" s="317">
        <v>2</v>
      </c>
      <c r="E81" s="319" t="s">
        <v>9</v>
      </c>
      <c r="F81" s="5">
        <v>61875</v>
      </c>
      <c r="G81" s="314">
        <f>ROUND(D81*F81,0)</f>
        <v>123750</v>
      </c>
      <c r="H81" s="320">
        <v>2</v>
      </c>
      <c r="I81" s="313" t="s">
        <v>9</v>
      </c>
      <c r="J81" s="40">
        <f>F81</f>
        <v>61875</v>
      </c>
      <c r="K81" s="314">
        <f>ROUND(H81*J81,0)</f>
        <v>123750</v>
      </c>
      <c r="L81" s="314">
        <f t="shared" si="5"/>
        <v>0</v>
      </c>
      <c r="M81" s="314">
        <f t="shared" si="6"/>
        <v>0</v>
      </c>
      <c r="N81" s="315" t="s">
        <v>302</v>
      </c>
      <c r="O81" s="321" t="s">
        <v>256</v>
      </c>
    </row>
    <row r="82" spans="1:15" s="321" customFormat="1" outlineLevel="1">
      <c r="A82" s="317"/>
      <c r="B82" s="317" t="str">
        <f t="shared" si="7"/>
        <v/>
      </c>
      <c r="C82" s="322" t="s">
        <v>336</v>
      </c>
      <c r="D82" s="317"/>
      <c r="E82" s="319"/>
      <c r="F82" s="5"/>
      <c r="G82" s="314"/>
      <c r="H82" s="320"/>
      <c r="I82" s="313"/>
      <c r="J82" s="40"/>
      <c r="K82" s="314"/>
      <c r="L82" s="314"/>
      <c r="M82" s="314"/>
      <c r="N82" s="315"/>
      <c r="O82" s="321" t="s">
        <v>256</v>
      </c>
    </row>
    <row r="83" spans="1:15" s="321" customFormat="1" ht="12.1" customHeight="1" outlineLevel="1">
      <c r="A83" s="313"/>
      <c r="B83" s="317" t="str">
        <f t="shared" si="7"/>
        <v/>
      </c>
      <c r="F83" s="40"/>
      <c r="G83" s="314"/>
      <c r="H83" s="320"/>
      <c r="I83" s="313"/>
      <c r="J83" s="40"/>
      <c r="K83" s="314"/>
      <c r="L83" s="314">
        <f t="shared" si="5"/>
        <v>0</v>
      </c>
      <c r="M83" s="314">
        <f t="shared" si="6"/>
        <v>0</v>
      </c>
      <c r="N83" s="315"/>
      <c r="O83" s="321" t="s">
        <v>256</v>
      </c>
    </row>
    <row r="84" spans="1:15" s="321" customFormat="1" ht="48.1" customHeight="1" outlineLevel="1">
      <c r="A84" s="317">
        <v>225</v>
      </c>
      <c r="B84" s="317" t="str">
        <f t="shared" si="7"/>
        <v>IVF225</v>
      </c>
      <c r="C84" s="318" t="s">
        <v>69</v>
      </c>
      <c r="D84" s="317">
        <v>1</v>
      </c>
      <c r="E84" s="319" t="s">
        <v>9</v>
      </c>
      <c r="F84" s="5">
        <v>312500</v>
      </c>
      <c r="G84" s="314">
        <f>ROUND(D84*F84,0)</f>
        <v>312500</v>
      </c>
      <c r="H84" s="320">
        <v>1</v>
      </c>
      <c r="I84" s="313" t="s">
        <v>9</v>
      </c>
      <c r="J84" s="40">
        <f>F84</f>
        <v>312500</v>
      </c>
      <c r="K84" s="314">
        <f>ROUND(H84*J84,0)</f>
        <v>312500</v>
      </c>
      <c r="L84" s="314">
        <f t="shared" si="5"/>
        <v>0</v>
      </c>
      <c r="M84" s="314">
        <f t="shared" si="6"/>
        <v>0</v>
      </c>
      <c r="N84" s="315" t="s">
        <v>302</v>
      </c>
      <c r="O84" s="321" t="s">
        <v>256</v>
      </c>
    </row>
    <row r="85" spans="1:15" s="321" customFormat="1" outlineLevel="1">
      <c r="A85" s="317"/>
      <c r="B85" s="317" t="str">
        <f t="shared" si="7"/>
        <v/>
      </c>
      <c r="C85" s="322" t="s">
        <v>336</v>
      </c>
      <c r="D85" s="317"/>
      <c r="E85" s="319"/>
      <c r="F85" s="5"/>
      <c r="G85" s="314"/>
      <c r="H85" s="320"/>
      <c r="I85" s="313"/>
      <c r="J85" s="40"/>
      <c r="K85" s="314"/>
      <c r="L85" s="314"/>
      <c r="M85" s="314"/>
      <c r="N85" s="315"/>
      <c r="O85" s="321" t="s">
        <v>256</v>
      </c>
    </row>
    <row r="86" spans="1:15" s="321" customFormat="1" ht="12.1" customHeight="1" outlineLevel="1">
      <c r="A86" s="313"/>
      <c r="B86" s="317" t="str">
        <f t="shared" si="7"/>
        <v/>
      </c>
      <c r="F86" s="40"/>
      <c r="G86" s="314"/>
      <c r="H86" s="320"/>
      <c r="I86" s="313"/>
      <c r="J86" s="40"/>
      <c r="K86" s="314"/>
      <c r="L86" s="314">
        <f t="shared" si="5"/>
        <v>0</v>
      </c>
      <c r="M86" s="314">
        <f t="shared" si="6"/>
        <v>0</v>
      </c>
      <c r="N86" s="315"/>
      <c r="O86" s="321" t="s">
        <v>256</v>
      </c>
    </row>
    <row r="87" spans="1:15" s="321" customFormat="1" ht="48.1" customHeight="1" outlineLevel="1">
      <c r="A87" s="317">
        <v>226</v>
      </c>
      <c r="B87" s="317" t="str">
        <f t="shared" si="7"/>
        <v>IVF226</v>
      </c>
      <c r="C87" s="318" t="s">
        <v>70</v>
      </c>
      <c r="D87" s="317">
        <v>2</v>
      </c>
      <c r="E87" s="319" t="s">
        <v>9</v>
      </c>
      <c r="F87" s="5">
        <v>280000</v>
      </c>
      <c r="G87" s="314">
        <f>ROUND(D87*F87,0)</f>
        <v>560000</v>
      </c>
      <c r="H87" s="320">
        <v>2</v>
      </c>
      <c r="I87" s="313" t="s">
        <v>9</v>
      </c>
      <c r="J87" s="40">
        <f>F87</f>
        <v>280000</v>
      </c>
      <c r="K87" s="314">
        <f>ROUND(H87*J87,0)</f>
        <v>560000</v>
      </c>
      <c r="L87" s="314">
        <f t="shared" si="5"/>
        <v>0</v>
      </c>
      <c r="M87" s="314">
        <f t="shared" si="6"/>
        <v>0</v>
      </c>
      <c r="N87" s="315" t="s">
        <v>302</v>
      </c>
      <c r="O87" s="321" t="s">
        <v>256</v>
      </c>
    </row>
    <row r="88" spans="1:15" s="321" customFormat="1" outlineLevel="1">
      <c r="A88" s="317"/>
      <c r="B88" s="317" t="str">
        <f t="shared" si="7"/>
        <v/>
      </c>
      <c r="C88" s="322" t="s">
        <v>336</v>
      </c>
      <c r="D88" s="317"/>
      <c r="E88" s="319"/>
      <c r="F88" s="5"/>
      <c r="G88" s="314"/>
      <c r="H88" s="320"/>
      <c r="I88" s="313"/>
      <c r="J88" s="40"/>
      <c r="K88" s="314"/>
      <c r="L88" s="314"/>
      <c r="M88" s="314"/>
      <c r="N88" s="315"/>
      <c r="O88" s="321" t="s">
        <v>256</v>
      </c>
    </row>
    <row r="89" spans="1:15" s="321" customFormat="1" ht="12.1" customHeight="1" outlineLevel="1">
      <c r="A89" s="313"/>
      <c r="B89" s="317" t="str">
        <f t="shared" si="7"/>
        <v/>
      </c>
      <c r="F89" s="40"/>
      <c r="G89" s="314"/>
      <c r="H89" s="320"/>
      <c r="I89" s="313"/>
      <c r="J89" s="40"/>
      <c r="K89" s="314"/>
      <c r="L89" s="314">
        <f t="shared" si="5"/>
        <v>0</v>
      </c>
      <c r="M89" s="314">
        <f t="shared" si="6"/>
        <v>0</v>
      </c>
      <c r="N89" s="315"/>
      <c r="O89" s="321" t="s">
        <v>256</v>
      </c>
    </row>
    <row r="90" spans="1:15" s="321" customFormat="1" ht="48.1" customHeight="1" outlineLevel="1">
      <c r="A90" s="317">
        <v>227</v>
      </c>
      <c r="B90" s="317" t="str">
        <f t="shared" si="7"/>
        <v>IVF227</v>
      </c>
      <c r="C90" s="318" t="s">
        <v>71</v>
      </c>
      <c r="D90" s="317">
        <v>1</v>
      </c>
      <c r="E90" s="319" t="s">
        <v>9</v>
      </c>
      <c r="F90" s="5">
        <v>49500</v>
      </c>
      <c r="G90" s="314">
        <f>ROUND(D90*F90,0)</f>
        <v>49500</v>
      </c>
      <c r="H90" s="320">
        <v>1</v>
      </c>
      <c r="I90" s="313" t="s">
        <v>9</v>
      </c>
      <c r="J90" s="40">
        <f>F90</f>
        <v>49500</v>
      </c>
      <c r="K90" s="314">
        <f>ROUND(H90*J90,0)</f>
        <v>49500</v>
      </c>
      <c r="L90" s="314">
        <f t="shared" si="5"/>
        <v>0</v>
      </c>
      <c r="M90" s="314">
        <f t="shared" si="6"/>
        <v>0</v>
      </c>
      <c r="N90" s="315" t="s">
        <v>302</v>
      </c>
      <c r="O90" s="321" t="s">
        <v>256</v>
      </c>
    </row>
    <row r="91" spans="1:15" s="321" customFormat="1" outlineLevel="1">
      <c r="A91" s="317"/>
      <c r="B91" s="317" t="str">
        <f t="shared" si="7"/>
        <v/>
      </c>
      <c r="C91" s="322" t="s">
        <v>348</v>
      </c>
      <c r="D91" s="317"/>
      <c r="E91" s="319"/>
      <c r="F91" s="5"/>
      <c r="G91" s="314"/>
      <c r="H91" s="320"/>
      <c r="I91" s="313"/>
      <c r="J91" s="40"/>
      <c r="K91" s="314"/>
      <c r="L91" s="314"/>
      <c r="M91" s="314"/>
      <c r="N91" s="315"/>
      <c r="O91" s="321" t="s">
        <v>256</v>
      </c>
    </row>
    <row r="92" spans="1:15" s="321" customFormat="1" ht="12.1" customHeight="1" outlineLevel="1">
      <c r="A92" s="313"/>
      <c r="B92" s="317" t="str">
        <f t="shared" si="7"/>
        <v/>
      </c>
      <c r="F92" s="40"/>
      <c r="G92" s="314"/>
      <c r="H92" s="320"/>
      <c r="I92" s="313"/>
      <c r="J92" s="40"/>
      <c r="K92" s="314"/>
      <c r="L92" s="314">
        <f t="shared" si="5"/>
        <v>0</v>
      </c>
      <c r="M92" s="314">
        <f t="shared" si="6"/>
        <v>0</v>
      </c>
      <c r="N92" s="315"/>
      <c r="O92" s="321" t="s">
        <v>256</v>
      </c>
    </row>
    <row r="93" spans="1:15" s="321" customFormat="1" ht="48.1" customHeight="1" outlineLevel="1">
      <c r="A93" s="317">
        <v>228</v>
      </c>
      <c r="B93" s="317" t="str">
        <f t="shared" si="7"/>
        <v>IVF228</v>
      </c>
      <c r="C93" s="318" t="s">
        <v>72</v>
      </c>
      <c r="D93" s="317">
        <v>1</v>
      </c>
      <c r="E93" s="319" t="s">
        <v>9</v>
      </c>
      <c r="F93" s="5">
        <v>937500</v>
      </c>
      <c r="G93" s="314">
        <f>ROUND(D93*F93,0)</f>
        <v>937500</v>
      </c>
      <c r="H93" s="320">
        <v>1</v>
      </c>
      <c r="I93" s="313" t="s">
        <v>9</v>
      </c>
      <c r="J93" s="40">
        <f>F93</f>
        <v>937500</v>
      </c>
      <c r="K93" s="314">
        <f>ROUND(H93*J93,0)</f>
        <v>937500</v>
      </c>
      <c r="L93" s="314">
        <f t="shared" si="5"/>
        <v>0</v>
      </c>
      <c r="M93" s="314">
        <f t="shared" si="6"/>
        <v>0</v>
      </c>
      <c r="N93" s="315" t="s">
        <v>302</v>
      </c>
      <c r="O93" s="321" t="s">
        <v>256</v>
      </c>
    </row>
    <row r="94" spans="1:15" s="321" customFormat="1" outlineLevel="1">
      <c r="A94" s="317"/>
      <c r="B94" s="317" t="str">
        <f t="shared" si="7"/>
        <v/>
      </c>
      <c r="C94" s="322" t="s">
        <v>337</v>
      </c>
      <c r="D94" s="317"/>
      <c r="E94" s="319"/>
      <c r="F94" s="5"/>
      <c r="G94" s="314"/>
      <c r="H94" s="320"/>
      <c r="I94" s="313"/>
      <c r="J94" s="40"/>
      <c r="K94" s="314"/>
      <c r="L94" s="314"/>
      <c r="M94" s="314"/>
      <c r="N94" s="315"/>
      <c r="O94" s="321" t="s">
        <v>256</v>
      </c>
    </row>
    <row r="95" spans="1:15" s="321" customFormat="1" ht="12.1" customHeight="1" outlineLevel="1">
      <c r="A95" s="313"/>
      <c r="B95" s="317" t="str">
        <f t="shared" si="7"/>
        <v/>
      </c>
      <c r="F95" s="40"/>
      <c r="G95" s="314"/>
      <c r="H95" s="320"/>
      <c r="I95" s="313"/>
      <c r="J95" s="40"/>
      <c r="K95" s="314"/>
      <c r="L95" s="314">
        <f t="shared" si="5"/>
        <v>0</v>
      </c>
      <c r="M95" s="314">
        <f t="shared" si="6"/>
        <v>0</v>
      </c>
      <c r="N95" s="315"/>
      <c r="O95" s="321" t="s">
        <v>256</v>
      </c>
    </row>
    <row r="96" spans="1:15" s="321" customFormat="1" ht="48.1" customHeight="1" outlineLevel="1">
      <c r="A96" s="317">
        <v>229</v>
      </c>
      <c r="B96" s="317" t="str">
        <f t="shared" si="7"/>
        <v>IVF229</v>
      </c>
      <c r="C96" s="318" t="s">
        <v>73</v>
      </c>
      <c r="D96" s="317">
        <v>1</v>
      </c>
      <c r="E96" s="319" t="s">
        <v>9</v>
      </c>
      <c r="F96" s="5">
        <v>562500</v>
      </c>
      <c r="G96" s="314">
        <f>ROUND(D96*F96,0)</f>
        <v>562500</v>
      </c>
      <c r="H96" s="320">
        <v>1</v>
      </c>
      <c r="I96" s="313" t="s">
        <v>9</v>
      </c>
      <c r="J96" s="40">
        <f>F96</f>
        <v>562500</v>
      </c>
      <c r="K96" s="314">
        <f>ROUND(H96*J96,0)</f>
        <v>562500</v>
      </c>
      <c r="L96" s="314">
        <f t="shared" si="5"/>
        <v>0</v>
      </c>
      <c r="M96" s="314">
        <f t="shared" si="6"/>
        <v>0</v>
      </c>
      <c r="N96" s="315" t="s">
        <v>302</v>
      </c>
      <c r="O96" s="321" t="s">
        <v>256</v>
      </c>
    </row>
    <row r="97" spans="1:15" s="321" customFormat="1" outlineLevel="1">
      <c r="A97" s="317"/>
      <c r="B97" s="317" t="str">
        <f t="shared" si="7"/>
        <v/>
      </c>
      <c r="C97" s="322" t="s">
        <v>338</v>
      </c>
      <c r="D97" s="317"/>
      <c r="E97" s="319"/>
      <c r="F97" s="5"/>
      <c r="G97" s="314"/>
      <c r="H97" s="320"/>
      <c r="I97" s="313"/>
      <c r="J97" s="40"/>
      <c r="K97" s="314"/>
      <c r="L97" s="314"/>
      <c r="M97" s="314"/>
      <c r="N97" s="315"/>
      <c r="O97" s="321" t="s">
        <v>256</v>
      </c>
    </row>
    <row r="98" spans="1:15" s="321" customFormat="1" ht="12.1" customHeight="1" outlineLevel="1">
      <c r="A98" s="313"/>
      <c r="B98" s="317" t="str">
        <f t="shared" si="7"/>
        <v/>
      </c>
      <c r="F98" s="40"/>
      <c r="G98" s="314"/>
      <c r="H98" s="320"/>
      <c r="I98" s="313"/>
      <c r="J98" s="40"/>
      <c r="K98" s="314"/>
      <c r="L98" s="314">
        <f t="shared" si="5"/>
        <v>0</v>
      </c>
      <c r="M98" s="314">
        <f t="shared" si="6"/>
        <v>0</v>
      </c>
      <c r="N98" s="315"/>
      <c r="O98" s="321" t="s">
        <v>256</v>
      </c>
    </row>
    <row r="99" spans="1:15" s="321" customFormat="1" ht="48.1" customHeight="1" outlineLevel="1">
      <c r="A99" s="317">
        <v>230</v>
      </c>
      <c r="B99" s="317" t="str">
        <f t="shared" si="7"/>
        <v>IVF230</v>
      </c>
      <c r="C99" s="318" t="s">
        <v>74</v>
      </c>
      <c r="D99" s="317">
        <v>1</v>
      </c>
      <c r="E99" s="319" t="s">
        <v>9</v>
      </c>
      <c r="F99" s="5">
        <v>2125000</v>
      </c>
      <c r="G99" s="314">
        <f>ROUND(D99*F99,0)</f>
        <v>2125000</v>
      </c>
      <c r="H99" s="320">
        <v>1</v>
      </c>
      <c r="I99" s="313" t="s">
        <v>9</v>
      </c>
      <c r="J99" s="40">
        <f>F99</f>
        <v>2125000</v>
      </c>
      <c r="K99" s="314">
        <f>ROUND(H99*J99,0)</f>
        <v>2125000</v>
      </c>
      <c r="L99" s="314">
        <f t="shared" si="5"/>
        <v>0</v>
      </c>
      <c r="M99" s="314">
        <f t="shared" si="6"/>
        <v>0</v>
      </c>
      <c r="N99" s="315" t="s">
        <v>302</v>
      </c>
      <c r="O99" s="321" t="s">
        <v>256</v>
      </c>
    </row>
    <row r="100" spans="1:15" s="321" customFormat="1" outlineLevel="1">
      <c r="A100" s="317"/>
      <c r="B100" s="317" t="str">
        <f t="shared" si="7"/>
        <v/>
      </c>
      <c r="C100" s="322" t="s">
        <v>349</v>
      </c>
      <c r="D100" s="317"/>
      <c r="E100" s="319"/>
      <c r="F100" s="5"/>
      <c r="G100" s="314"/>
      <c r="H100" s="320"/>
      <c r="I100" s="313"/>
      <c r="J100" s="40"/>
      <c r="K100" s="314"/>
      <c r="L100" s="314"/>
      <c r="M100" s="314"/>
      <c r="N100" s="315"/>
      <c r="O100" s="321" t="s">
        <v>256</v>
      </c>
    </row>
    <row r="101" spans="1:15" s="321" customFormat="1" ht="12.1" customHeight="1" outlineLevel="1">
      <c r="A101" s="313"/>
      <c r="B101" s="317" t="str">
        <f t="shared" si="7"/>
        <v/>
      </c>
      <c r="F101" s="40"/>
      <c r="G101" s="314"/>
      <c r="H101" s="320"/>
      <c r="I101" s="313"/>
      <c r="J101" s="40"/>
      <c r="K101" s="314"/>
      <c r="L101" s="314">
        <f t="shared" si="5"/>
        <v>0</v>
      </c>
      <c r="M101" s="314">
        <f t="shared" si="6"/>
        <v>0</v>
      </c>
      <c r="N101" s="315"/>
      <c r="O101" s="321" t="s">
        <v>256</v>
      </c>
    </row>
    <row r="102" spans="1:15" s="321" customFormat="1" ht="48.1" customHeight="1" outlineLevel="1">
      <c r="A102" s="317">
        <v>231</v>
      </c>
      <c r="B102" s="317" t="str">
        <f t="shared" si="7"/>
        <v>IVF231</v>
      </c>
      <c r="C102" s="318" t="s">
        <v>75</v>
      </c>
      <c r="D102" s="317">
        <v>1</v>
      </c>
      <c r="E102" s="319" t="s">
        <v>9</v>
      </c>
      <c r="F102" s="5">
        <v>4200000</v>
      </c>
      <c r="G102" s="314">
        <f>ROUND(D102*F102,0)</f>
        <v>4200000</v>
      </c>
      <c r="H102" s="320">
        <v>1</v>
      </c>
      <c r="I102" s="313" t="s">
        <v>9</v>
      </c>
      <c r="J102" s="40">
        <f>F102</f>
        <v>4200000</v>
      </c>
      <c r="K102" s="314">
        <f>ROUND(H102*J102,0)</f>
        <v>4200000</v>
      </c>
      <c r="L102" s="314">
        <f t="shared" si="5"/>
        <v>0</v>
      </c>
      <c r="M102" s="314">
        <f t="shared" si="6"/>
        <v>0</v>
      </c>
      <c r="N102" s="315" t="s">
        <v>302</v>
      </c>
      <c r="O102" s="321" t="s">
        <v>256</v>
      </c>
    </row>
    <row r="103" spans="1:15" s="321" customFormat="1" outlineLevel="1">
      <c r="A103" s="317"/>
      <c r="B103" s="317" t="str">
        <f t="shared" si="7"/>
        <v/>
      </c>
      <c r="C103" s="322" t="s">
        <v>349</v>
      </c>
      <c r="D103" s="317"/>
      <c r="E103" s="319"/>
      <c r="F103" s="5"/>
      <c r="G103" s="314"/>
      <c r="H103" s="320"/>
      <c r="I103" s="313"/>
      <c r="J103" s="40"/>
      <c r="K103" s="314"/>
      <c r="L103" s="314"/>
      <c r="M103" s="314"/>
      <c r="N103" s="315"/>
      <c r="O103" s="321" t="s">
        <v>256</v>
      </c>
    </row>
    <row r="104" spans="1:15" s="321" customFormat="1" ht="12.1" customHeight="1" outlineLevel="1">
      <c r="A104" s="313"/>
      <c r="B104" s="317" t="str">
        <f t="shared" si="7"/>
        <v/>
      </c>
      <c r="F104" s="40"/>
      <c r="G104" s="314"/>
      <c r="H104" s="320"/>
      <c r="I104" s="313"/>
      <c r="J104" s="40"/>
      <c r="K104" s="314"/>
      <c r="L104" s="314">
        <f t="shared" si="5"/>
        <v>0</v>
      </c>
      <c r="M104" s="314">
        <f t="shared" si="6"/>
        <v>0</v>
      </c>
      <c r="N104" s="315"/>
      <c r="O104" s="321" t="s">
        <v>256</v>
      </c>
    </row>
    <row r="105" spans="1:15" s="321" customFormat="1" ht="48.1" customHeight="1" outlineLevel="1">
      <c r="A105" s="317">
        <v>232</v>
      </c>
      <c r="B105" s="317" t="str">
        <f t="shared" si="7"/>
        <v>IVF232</v>
      </c>
      <c r="C105" s="318" t="s">
        <v>76</v>
      </c>
      <c r="D105" s="317">
        <v>1</v>
      </c>
      <c r="E105" s="319" t="s">
        <v>9</v>
      </c>
      <c r="F105" s="5">
        <v>43750</v>
      </c>
      <c r="G105" s="314">
        <f>ROUND(D105*F105,0)</f>
        <v>43750</v>
      </c>
      <c r="H105" s="320">
        <v>1</v>
      </c>
      <c r="I105" s="313" t="s">
        <v>9</v>
      </c>
      <c r="J105" s="40">
        <f>F105</f>
        <v>43750</v>
      </c>
      <c r="K105" s="314">
        <f>ROUND(H105*J105,0)</f>
        <v>43750</v>
      </c>
      <c r="L105" s="314">
        <f t="shared" si="5"/>
        <v>0</v>
      </c>
      <c r="M105" s="314">
        <f t="shared" si="6"/>
        <v>0</v>
      </c>
      <c r="N105" s="315" t="s">
        <v>302</v>
      </c>
      <c r="O105" s="321" t="s">
        <v>256</v>
      </c>
    </row>
    <row r="106" spans="1:15" s="321" customFormat="1" outlineLevel="1">
      <c r="A106" s="317"/>
      <c r="B106" s="317" t="str">
        <f t="shared" si="7"/>
        <v/>
      </c>
      <c r="C106" s="322" t="s">
        <v>337</v>
      </c>
      <c r="D106" s="317"/>
      <c r="E106" s="319"/>
      <c r="F106" s="5"/>
      <c r="G106" s="314"/>
      <c r="H106" s="320"/>
      <c r="I106" s="313"/>
      <c r="J106" s="40"/>
      <c r="K106" s="314"/>
      <c r="L106" s="314"/>
      <c r="M106" s="314"/>
      <c r="N106" s="315"/>
      <c r="O106" s="321" t="s">
        <v>256</v>
      </c>
    </row>
    <row r="107" spans="1:15" s="321" customFormat="1" ht="12.1" customHeight="1" outlineLevel="1">
      <c r="A107" s="313"/>
      <c r="B107" s="317" t="str">
        <f t="shared" si="7"/>
        <v/>
      </c>
      <c r="F107" s="40"/>
      <c r="G107" s="314"/>
      <c r="H107" s="320"/>
      <c r="I107" s="313"/>
      <c r="J107" s="40"/>
      <c r="K107" s="314"/>
      <c r="L107" s="314">
        <f t="shared" si="5"/>
        <v>0</v>
      </c>
      <c r="M107" s="314">
        <f t="shared" si="6"/>
        <v>0</v>
      </c>
      <c r="N107" s="315"/>
      <c r="O107" s="321" t="s">
        <v>256</v>
      </c>
    </row>
    <row r="108" spans="1:15" s="321" customFormat="1" ht="48.1" customHeight="1" outlineLevel="1">
      <c r="A108" s="317">
        <v>233</v>
      </c>
      <c r="B108" s="317" t="str">
        <f t="shared" si="7"/>
        <v>IVF233</v>
      </c>
      <c r="C108" s="318" t="s">
        <v>77</v>
      </c>
      <c r="D108" s="317">
        <v>1</v>
      </c>
      <c r="E108" s="319" t="s">
        <v>9</v>
      </c>
      <c r="F108" s="5">
        <v>81250</v>
      </c>
      <c r="G108" s="314">
        <f>ROUND(D108*F108,0)</f>
        <v>81250</v>
      </c>
      <c r="H108" s="320">
        <v>1</v>
      </c>
      <c r="I108" s="313" t="s">
        <v>9</v>
      </c>
      <c r="J108" s="40">
        <f>F108</f>
        <v>81250</v>
      </c>
      <c r="K108" s="314">
        <f>ROUND(H108*J108,0)</f>
        <v>81250</v>
      </c>
      <c r="L108" s="314">
        <f t="shared" si="5"/>
        <v>0</v>
      </c>
      <c r="M108" s="314">
        <f t="shared" si="6"/>
        <v>0</v>
      </c>
      <c r="N108" s="315" t="s">
        <v>302</v>
      </c>
      <c r="O108" s="321" t="s">
        <v>256</v>
      </c>
    </row>
    <row r="109" spans="1:15" s="321" customFormat="1" outlineLevel="1">
      <c r="A109" s="317"/>
      <c r="B109" s="317" t="str">
        <f t="shared" si="7"/>
        <v/>
      </c>
      <c r="C109" s="322" t="s">
        <v>337</v>
      </c>
      <c r="D109" s="317"/>
      <c r="E109" s="319"/>
      <c r="F109" s="5"/>
      <c r="G109" s="314"/>
      <c r="H109" s="320"/>
      <c r="I109" s="313"/>
      <c r="J109" s="40"/>
      <c r="K109" s="314"/>
      <c r="L109" s="314"/>
      <c r="M109" s="314"/>
      <c r="N109" s="315"/>
      <c r="O109" s="321" t="s">
        <v>256</v>
      </c>
    </row>
    <row r="110" spans="1:15" s="321" customFormat="1" ht="12.1" customHeight="1" outlineLevel="1">
      <c r="A110" s="313"/>
      <c r="B110" s="317" t="str">
        <f t="shared" si="7"/>
        <v/>
      </c>
      <c r="F110" s="40"/>
      <c r="G110" s="314"/>
      <c r="H110" s="320"/>
      <c r="I110" s="313"/>
      <c r="J110" s="40"/>
      <c r="K110" s="314"/>
      <c r="L110" s="314">
        <f t="shared" si="5"/>
        <v>0</v>
      </c>
      <c r="M110" s="314">
        <f t="shared" si="6"/>
        <v>0</v>
      </c>
      <c r="N110" s="315"/>
      <c r="O110" s="321" t="s">
        <v>256</v>
      </c>
    </row>
    <row r="111" spans="1:15" s="321" customFormat="1" ht="20.399999999999999" customHeight="1" outlineLevel="1">
      <c r="A111" s="317">
        <v>234</v>
      </c>
      <c r="B111" s="317" t="str">
        <f t="shared" si="7"/>
        <v>IVF234</v>
      </c>
      <c r="C111" s="318" t="s">
        <v>78</v>
      </c>
      <c r="D111" s="317">
        <v>1</v>
      </c>
      <c r="E111" s="319" t="s">
        <v>9</v>
      </c>
      <c r="F111" s="5">
        <v>0</v>
      </c>
      <c r="G111" s="314"/>
      <c r="H111" s="320">
        <v>0</v>
      </c>
      <c r="I111" s="313" t="s">
        <v>9</v>
      </c>
      <c r="J111" s="40">
        <f>F111</f>
        <v>0</v>
      </c>
      <c r="K111" s="314"/>
      <c r="L111" s="314">
        <f t="shared" si="5"/>
        <v>0</v>
      </c>
      <c r="M111" s="314">
        <f t="shared" si="6"/>
        <v>0</v>
      </c>
      <c r="N111" s="315" t="s">
        <v>303</v>
      </c>
      <c r="O111" s="321" t="s">
        <v>256</v>
      </c>
    </row>
    <row r="112" spans="1:15" s="321" customFormat="1" ht="12.1" customHeight="1" outlineLevel="1">
      <c r="A112" s="313"/>
      <c r="B112" s="317" t="str">
        <f t="shared" si="7"/>
        <v/>
      </c>
      <c r="F112" s="40"/>
      <c r="G112" s="314"/>
      <c r="H112" s="320"/>
      <c r="I112" s="313"/>
      <c r="J112" s="40"/>
      <c r="K112" s="314"/>
      <c r="L112" s="314">
        <f t="shared" si="5"/>
        <v>0</v>
      </c>
      <c r="M112" s="314">
        <f t="shared" si="6"/>
        <v>0</v>
      </c>
      <c r="N112" s="315"/>
      <c r="O112" s="321" t="s">
        <v>256</v>
      </c>
    </row>
    <row r="113" spans="1:15" s="321" customFormat="1" ht="48.1" customHeight="1" outlineLevel="1">
      <c r="A113" s="317">
        <v>235</v>
      </c>
      <c r="B113" s="317" t="str">
        <f t="shared" si="7"/>
        <v>IVF235</v>
      </c>
      <c r="C113" s="318" t="s">
        <v>79</v>
      </c>
      <c r="D113" s="317">
        <v>2</v>
      </c>
      <c r="E113" s="319" t="s">
        <v>9</v>
      </c>
      <c r="F113" s="5">
        <v>115000</v>
      </c>
      <c r="G113" s="314">
        <f>ROUND(D113*F113,0)</f>
        <v>230000</v>
      </c>
      <c r="H113" s="320">
        <v>2</v>
      </c>
      <c r="I113" s="313" t="s">
        <v>9</v>
      </c>
      <c r="J113" s="40">
        <f>F113</f>
        <v>115000</v>
      </c>
      <c r="K113" s="314">
        <f>ROUND(H113*J113,0)</f>
        <v>230000</v>
      </c>
      <c r="L113" s="314">
        <f t="shared" si="5"/>
        <v>0</v>
      </c>
      <c r="M113" s="314">
        <f t="shared" si="6"/>
        <v>0</v>
      </c>
      <c r="N113" s="315" t="s">
        <v>302</v>
      </c>
      <c r="O113" s="321" t="s">
        <v>256</v>
      </c>
    </row>
    <row r="114" spans="1:15" s="321" customFormat="1" outlineLevel="1">
      <c r="A114" s="317"/>
      <c r="B114" s="317" t="str">
        <f t="shared" si="7"/>
        <v/>
      </c>
      <c r="C114" s="322" t="s">
        <v>337</v>
      </c>
      <c r="D114" s="317"/>
      <c r="E114" s="319"/>
      <c r="F114" s="5"/>
      <c r="G114" s="314"/>
      <c r="H114" s="320"/>
      <c r="I114" s="313"/>
      <c r="J114" s="40"/>
      <c r="K114" s="314">
        <f>ROUND(H114*J114,0)</f>
        <v>0</v>
      </c>
      <c r="L114" s="314">
        <f>ROUND(IF(K114&gt;G114,K114-G114,0),0)</f>
        <v>0</v>
      </c>
      <c r="M114" s="314">
        <f>ROUND(IF(K114&lt;G114,G114-K114,0),0)</f>
        <v>0</v>
      </c>
      <c r="N114" s="315"/>
      <c r="O114" s="321" t="s">
        <v>256</v>
      </c>
    </row>
    <row r="115" spans="1:15" s="321" customFormat="1" ht="12.1" customHeight="1" outlineLevel="1">
      <c r="A115" s="313"/>
      <c r="B115" s="317" t="str">
        <f t="shared" si="7"/>
        <v/>
      </c>
      <c r="F115" s="40"/>
      <c r="G115" s="314"/>
      <c r="H115" s="320"/>
      <c r="I115" s="313"/>
      <c r="J115" s="40"/>
      <c r="K115" s="314">
        <f>ROUND(H115*J115,0)</f>
        <v>0</v>
      </c>
      <c r="L115" s="314">
        <f>ROUND(IF(K115&gt;G115,K115-G115,0),0)</f>
        <v>0</v>
      </c>
      <c r="M115" s="314">
        <f>ROUND(IF(K115&lt;G115,G115-K115,0),0)</f>
        <v>0</v>
      </c>
      <c r="N115" s="315"/>
      <c r="O115" s="321" t="s">
        <v>256</v>
      </c>
    </row>
    <row r="116" spans="1:15" s="321" customFormat="1" ht="48.1" customHeight="1" outlineLevel="1">
      <c r="A116" s="317">
        <v>236</v>
      </c>
      <c r="B116" s="317" t="str">
        <f t="shared" si="7"/>
        <v>IVF236</v>
      </c>
      <c r="C116" s="318" t="s">
        <v>80</v>
      </c>
      <c r="D116" s="317">
        <v>1</v>
      </c>
      <c r="E116" s="319" t="s">
        <v>9</v>
      </c>
      <c r="F116" s="5">
        <v>110000</v>
      </c>
      <c r="G116" s="314">
        <f>ROUND(D116*F116,0)</f>
        <v>110000</v>
      </c>
      <c r="H116" s="320">
        <v>1</v>
      </c>
      <c r="I116" s="313" t="s">
        <v>9</v>
      </c>
      <c r="J116" s="40">
        <f>F116</f>
        <v>110000</v>
      </c>
      <c r="K116" s="314">
        <f>ROUND(H116*J116,0)</f>
        <v>110000</v>
      </c>
      <c r="L116" s="314">
        <f>ROUND(IF(K116&gt;G116,K116-G116,0),0)</f>
        <v>0</v>
      </c>
      <c r="M116" s="314">
        <f>ROUND(IF(K116&lt;G116,G116-K116,0),0)</f>
        <v>0</v>
      </c>
      <c r="N116" s="315" t="s">
        <v>302</v>
      </c>
      <c r="O116" s="321" t="s">
        <v>256</v>
      </c>
    </row>
    <row r="117" spans="1:15" s="321" customFormat="1" outlineLevel="1">
      <c r="A117" s="317"/>
      <c r="B117" s="317" t="str">
        <f t="shared" si="7"/>
        <v/>
      </c>
      <c r="C117" s="322" t="s">
        <v>339</v>
      </c>
      <c r="D117" s="317"/>
      <c r="E117" s="319"/>
      <c r="F117" s="5"/>
      <c r="G117" s="314"/>
      <c r="H117" s="325"/>
      <c r="I117" s="313"/>
      <c r="J117" s="40"/>
      <c r="K117" s="314"/>
      <c r="L117" s="314"/>
      <c r="M117" s="314"/>
      <c r="N117" s="315"/>
      <c r="O117" s="321" t="s">
        <v>256</v>
      </c>
    </row>
    <row r="118" spans="1:15" s="321" customFormat="1" ht="12.1" customHeight="1" outlineLevel="1">
      <c r="A118" s="313"/>
      <c r="B118" s="317" t="str">
        <f t="shared" si="7"/>
        <v/>
      </c>
      <c r="F118" s="40"/>
      <c r="G118" s="314"/>
      <c r="H118" s="320"/>
      <c r="I118" s="313"/>
      <c r="J118" s="40"/>
      <c r="K118" s="314"/>
      <c r="L118" s="314">
        <f t="shared" si="5"/>
        <v>0</v>
      </c>
      <c r="M118" s="314">
        <f t="shared" si="6"/>
        <v>0</v>
      </c>
      <c r="N118" s="315"/>
      <c r="O118" s="321" t="s">
        <v>256</v>
      </c>
    </row>
    <row r="119" spans="1:15" s="321" customFormat="1" ht="48.1" customHeight="1" outlineLevel="1">
      <c r="A119" s="317">
        <v>237</v>
      </c>
      <c r="B119" s="317" t="str">
        <f t="shared" si="7"/>
        <v>IVF237</v>
      </c>
      <c r="C119" s="318" t="s">
        <v>81</v>
      </c>
      <c r="D119" s="317">
        <v>2</v>
      </c>
      <c r="E119" s="319" t="s">
        <v>9</v>
      </c>
      <c r="F119" s="5">
        <v>34500</v>
      </c>
      <c r="G119" s="314">
        <f>ROUND(D119*F119,0)</f>
        <v>69000</v>
      </c>
      <c r="H119" s="320">
        <v>2</v>
      </c>
      <c r="I119" s="313" t="s">
        <v>9</v>
      </c>
      <c r="J119" s="40">
        <f>F119</f>
        <v>34500</v>
      </c>
      <c r="K119" s="314">
        <f>ROUND(H119*J119,0)</f>
        <v>69000</v>
      </c>
      <c r="L119" s="314">
        <f t="shared" si="5"/>
        <v>0</v>
      </c>
      <c r="M119" s="314">
        <f t="shared" si="6"/>
        <v>0</v>
      </c>
      <c r="N119" s="315" t="s">
        <v>302</v>
      </c>
      <c r="O119" s="321" t="s">
        <v>256</v>
      </c>
    </row>
    <row r="120" spans="1:15" s="321" customFormat="1" ht="12.1" customHeight="1" outlineLevel="1">
      <c r="A120" s="313"/>
      <c r="B120" s="317" t="str">
        <f t="shared" si="7"/>
        <v/>
      </c>
      <c r="F120" s="40"/>
      <c r="G120" s="314"/>
      <c r="H120" s="320"/>
      <c r="I120" s="313"/>
      <c r="J120" s="40"/>
      <c r="K120" s="314"/>
      <c r="L120" s="314">
        <f t="shared" si="5"/>
        <v>0</v>
      </c>
      <c r="M120" s="314">
        <f t="shared" si="6"/>
        <v>0</v>
      </c>
      <c r="N120" s="315"/>
      <c r="O120" s="321" t="s">
        <v>256</v>
      </c>
    </row>
    <row r="121" spans="1:15" s="321" customFormat="1" ht="48.1" customHeight="1" outlineLevel="1">
      <c r="A121" s="317">
        <v>238</v>
      </c>
      <c r="B121" s="317" t="str">
        <f t="shared" si="7"/>
        <v>IVF238</v>
      </c>
      <c r="C121" s="318" t="s">
        <v>82</v>
      </c>
      <c r="D121" s="317">
        <v>2</v>
      </c>
      <c r="E121" s="319" t="s">
        <v>9</v>
      </c>
      <c r="F121" s="5">
        <v>34500</v>
      </c>
      <c r="G121" s="314">
        <f>ROUND(D121*F121,0)</f>
        <v>69000</v>
      </c>
      <c r="H121" s="320">
        <v>2</v>
      </c>
      <c r="I121" s="313" t="s">
        <v>9</v>
      </c>
      <c r="J121" s="40">
        <f>F121</f>
        <v>34500</v>
      </c>
      <c r="K121" s="314">
        <f>ROUND(H121*J121,0)</f>
        <v>69000</v>
      </c>
      <c r="L121" s="314">
        <f t="shared" si="5"/>
        <v>0</v>
      </c>
      <c r="M121" s="314">
        <f t="shared" si="6"/>
        <v>0</v>
      </c>
      <c r="N121" s="315" t="s">
        <v>302</v>
      </c>
      <c r="O121" s="321" t="s">
        <v>256</v>
      </c>
    </row>
    <row r="122" spans="1:15" s="321" customFormat="1" outlineLevel="1">
      <c r="A122" s="317"/>
      <c r="B122" s="317" t="str">
        <f t="shared" si="7"/>
        <v/>
      </c>
      <c r="C122" s="322" t="s">
        <v>339</v>
      </c>
      <c r="D122" s="317"/>
      <c r="E122" s="319"/>
      <c r="F122" s="5"/>
      <c r="G122" s="314"/>
      <c r="H122" s="320"/>
      <c r="I122" s="313"/>
      <c r="J122" s="40"/>
      <c r="K122" s="314"/>
      <c r="L122" s="314"/>
      <c r="M122" s="314"/>
      <c r="N122" s="315"/>
      <c r="O122" s="321" t="s">
        <v>256</v>
      </c>
    </row>
    <row r="123" spans="1:15" s="321" customFormat="1" ht="12.1" customHeight="1" outlineLevel="1">
      <c r="A123" s="313"/>
      <c r="B123" s="317" t="str">
        <f t="shared" si="7"/>
        <v/>
      </c>
      <c r="F123" s="40"/>
      <c r="G123" s="314"/>
      <c r="H123" s="320"/>
      <c r="I123" s="313"/>
      <c r="J123" s="40"/>
      <c r="K123" s="314"/>
      <c r="L123" s="314">
        <f t="shared" si="5"/>
        <v>0</v>
      </c>
      <c r="M123" s="314">
        <f t="shared" si="6"/>
        <v>0</v>
      </c>
      <c r="N123" s="315"/>
      <c r="O123" s="321" t="s">
        <v>256</v>
      </c>
    </row>
    <row r="124" spans="1:15" s="321" customFormat="1" ht="48.1" customHeight="1" outlineLevel="1">
      <c r="A124" s="317">
        <v>239</v>
      </c>
      <c r="B124" s="317" t="str">
        <f t="shared" si="7"/>
        <v>IVF239</v>
      </c>
      <c r="C124" s="318" t="s">
        <v>83</v>
      </c>
      <c r="D124" s="317">
        <v>3</v>
      </c>
      <c r="E124" s="319" t="s">
        <v>9</v>
      </c>
      <c r="F124" s="5">
        <v>38500</v>
      </c>
      <c r="G124" s="314">
        <f>ROUND(D124*F124,0)</f>
        <v>115500</v>
      </c>
      <c r="H124" s="320">
        <v>3</v>
      </c>
      <c r="I124" s="313" t="s">
        <v>9</v>
      </c>
      <c r="J124" s="40">
        <f>F124</f>
        <v>38500</v>
      </c>
      <c r="K124" s="314">
        <f>ROUND(H124*J124,0)</f>
        <v>115500</v>
      </c>
      <c r="L124" s="314">
        <f t="shared" si="5"/>
        <v>0</v>
      </c>
      <c r="M124" s="314">
        <f t="shared" si="6"/>
        <v>0</v>
      </c>
      <c r="N124" s="315" t="s">
        <v>302</v>
      </c>
      <c r="O124" s="321" t="s">
        <v>256</v>
      </c>
    </row>
    <row r="125" spans="1:15" s="321" customFormat="1" outlineLevel="1">
      <c r="A125" s="317"/>
      <c r="B125" s="317" t="str">
        <f t="shared" si="7"/>
        <v/>
      </c>
      <c r="C125" s="322" t="s">
        <v>339</v>
      </c>
      <c r="D125" s="317"/>
      <c r="E125" s="319"/>
      <c r="F125" s="5"/>
      <c r="G125" s="314"/>
      <c r="H125" s="320"/>
      <c r="I125" s="313"/>
      <c r="J125" s="40"/>
      <c r="K125" s="314"/>
      <c r="L125" s="314"/>
      <c r="M125" s="314"/>
      <c r="N125" s="315"/>
      <c r="O125" s="321" t="s">
        <v>256</v>
      </c>
    </row>
    <row r="126" spans="1:15" s="321" customFormat="1" ht="12.1" customHeight="1" outlineLevel="1">
      <c r="A126" s="313"/>
      <c r="B126" s="317" t="str">
        <f t="shared" si="7"/>
        <v/>
      </c>
      <c r="F126" s="40"/>
      <c r="G126" s="314"/>
      <c r="H126" s="320"/>
      <c r="I126" s="313"/>
      <c r="J126" s="40"/>
      <c r="K126" s="314"/>
      <c r="L126" s="314">
        <f t="shared" si="5"/>
        <v>0</v>
      </c>
      <c r="M126" s="314">
        <f t="shared" si="6"/>
        <v>0</v>
      </c>
      <c r="N126" s="315"/>
      <c r="O126" s="321" t="s">
        <v>256</v>
      </c>
    </row>
    <row r="127" spans="1:15" s="321" customFormat="1" ht="143.35" customHeight="1" outlineLevel="1">
      <c r="A127" s="317">
        <v>240</v>
      </c>
      <c r="B127" s="317" t="str">
        <f t="shared" si="7"/>
        <v>IVF240</v>
      </c>
      <c r="C127" s="318" t="s">
        <v>84</v>
      </c>
      <c r="D127" s="317">
        <v>3</v>
      </c>
      <c r="E127" s="319" t="s">
        <v>9</v>
      </c>
      <c r="F127" s="5">
        <v>20000</v>
      </c>
      <c r="G127" s="314">
        <f>ROUND(D127*F127,0)</f>
        <v>60000</v>
      </c>
      <c r="H127" s="320">
        <v>3</v>
      </c>
      <c r="I127" s="313" t="s">
        <v>9</v>
      </c>
      <c r="J127" s="40">
        <f>F127</f>
        <v>20000</v>
      </c>
      <c r="K127" s="314">
        <f>ROUND(H127*J127,0)</f>
        <v>60000</v>
      </c>
      <c r="L127" s="314">
        <f t="shared" si="5"/>
        <v>0</v>
      </c>
      <c r="M127" s="314">
        <f t="shared" si="6"/>
        <v>0</v>
      </c>
      <c r="N127" s="326" t="s">
        <v>610</v>
      </c>
      <c r="O127" s="321" t="s">
        <v>256</v>
      </c>
    </row>
    <row r="128" spans="1:15" s="321" customFormat="1" ht="19.2" customHeight="1" outlineLevel="1">
      <c r="A128" s="317"/>
      <c r="B128" s="317"/>
      <c r="C128" s="327" t="s">
        <v>30</v>
      </c>
      <c r="D128" s="317"/>
      <c r="E128" s="319"/>
      <c r="F128" s="5"/>
      <c r="G128" s="314"/>
      <c r="H128" s="320">
        <v>3</v>
      </c>
      <c r="I128" s="313" t="s">
        <v>9</v>
      </c>
      <c r="J128" s="40">
        <v>20000</v>
      </c>
      <c r="K128" s="314">
        <f>ROUND(H128*J128,0)</f>
        <v>60000</v>
      </c>
      <c r="L128" s="314">
        <f t="shared" si="5"/>
        <v>60000</v>
      </c>
      <c r="M128" s="314"/>
      <c r="N128" s="328"/>
      <c r="O128" s="321" t="s">
        <v>256</v>
      </c>
    </row>
    <row r="129" spans="1:15" s="321" customFormat="1" ht="12.1" customHeight="1" outlineLevel="1">
      <c r="A129" s="313"/>
      <c r="B129" s="317" t="str">
        <f t="shared" si="7"/>
        <v/>
      </c>
      <c r="F129" s="40"/>
      <c r="G129" s="314"/>
      <c r="H129" s="320"/>
      <c r="I129" s="313"/>
      <c r="J129" s="40"/>
      <c r="K129" s="314"/>
      <c r="L129" s="314">
        <f t="shared" si="5"/>
        <v>0</v>
      </c>
      <c r="M129" s="314">
        <f t="shared" si="6"/>
        <v>0</v>
      </c>
      <c r="N129" s="315"/>
      <c r="O129" s="321" t="s">
        <v>256</v>
      </c>
    </row>
    <row r="130" spans="1:15" s="321" customFormat="1" ht="143.35" customHeight="1" outlineLevel="1">
      <c r="A130" s="317">
        <v>241</v>
      </c>
      <c r="B130" s="317" t="str">
        <f t="shared" si="7"/>
        <v>IVF241</v>
      </c>
      <c r="C130" s="318" t="s">
        <v>85</v>
      </c>
      <c r="D130" s="317">
        <v>6</v>
      </c>
      <c r="E130" s="319" t="s">
        <v>9</v>
      </c>
      <c r="F130" s="5">
        <v>13750</v>
      </c>
      <c r="G130" s="314">
        <f>ROUND(D130*F130,0)</f>
        <v>82500</v>
      </c>
      <c r="H130" s="320">
        <v>6</v>
      </c>
      <c r="I130" s="313" t="s">
        <v>9</v>
      </c>
      <c r="J130" s="40">
        <f>F130</f>
        <v>13750</v>
      </c>
      <c r="K130" s="314">
        <f>ROUND(H130*J130,0)</f>
        <v>82500</v>
      </c>
      <c r="L130" s="314">
        <f t="shared" si="5"/>
        <v>0</v>
      </c>
      <c r="M130" s="314">
        <f t="shared" si="6"/>
        <v>0</v>
      </c>
      <c r="N130" s="326" t="s">
        <v>611</v>
      </c>
      <c r="O130" s="321" t="s">
        <v>256</v>
      </c>
    </row>
    <row r="131" spans="1:15" s="321" customFormat="1" ht="17.5" customHeight="1" outlineLevel="1">
      <c r="A131" s="317"/>
      <c r="B131" s="317"/>
      <c r="C131" s="327" t="s">
        <v>30</v>
      </c>
      <c r="D131" s="317"/>
      <c r="E131" s="319"/>
      <c r="F131" s="5"/>
      <c r="G131" s="314"/>
      <c r="H131" s="320">
        <v>6</v>
      </c>
      <c r="I131" s="313" t="s">
        <v>9</v>
      </c>
      <c r="J131" s="40">
        <v>13750</v>
      </c>
      <c r="K131" s="314">
        <f>ROUND(H131*J131,0)</f>
        <v>82500</v>
      </c>
      <c r="L131" s="314">
        <f t="shared" si="5"/>
        <v>82500</v>
      </c>
      <c r="M131" s="314"/>
      <c r="N131" s="328"/>
      <c r="O131" s="321" t="s">
        <v>256</v>
      </c>
    </row>
    <row r="132" spans="1:15" s="321" customFormat="1" ht="12.1" customHeight="1" outlineLevel="1">
      <c r="A132" s="313"/>
      <c r="B132" s="317" t="str">
        <f t="shared" si="7"/>
        <v/>
      </c>
      <c r="F132" s="40"/>
      <c r="G132" s="314"/>
      <c r="H132" s="320"/>
      <c r="I132" s="313"/>
      <c r="J132" s="40"/>
      <c r="K132" s="314"/>
      <c r="L132" s="314">
        <f t="shared" ref="L132:L144" si="8">ROUND(IF(K132&gt;G132,K132-G132,0),0)</f>
        <v>0</v>
      </c>
      <c r="M132" s="314">
        <f t="shared" ref="M132:M144" si="9">ROUND(IF(K132&lt;G132,G132-K132,0),0)</f>
        <v>0</v>
      </c>
      <c r="N132" s="315"/>
      <c r="O132" s="321" t="s">
        <v>256</v>
      </c>
    </row>
    <row r="133" spans="1:15" s="321" customFormat="1" ht="48.1" customHeight="1" outlineLevel="1">
      <c r="A133" s="317">
        <v>242</v>
      </c>
      <c r="B133" s="317" t="str">
        <f t="shared" si="7"/>
        <v>IVF242</v>
      </c>
      <c r="C133" s="318" t="s">
        <v>86</v>
      </c>
      <c r="D133" s="317">
        <v>3</v>
      </c>
      <c r="E133" s="319" t="s">
        <v>9</v>
      </c>
      <c r="F133" s="5">
        <v>39200</v>
      </c>
      <c r="G133" s="314">
        <f>ROUND(D133*F133,0)</f>
        <v>117600</v>
      </c>
      <c r="H133" s="320">
        <v>3</v>
      </c>
      <c r="I133" s="313" t="s">
        <v>9</v>
      </c>
      <c r="J133" s="40">
        <f>F133</f>
        <v>39200</v>
      </c>
      <c r="K133" s="314">
        <f>ROUND(H133*J133,0)</f>
        <v>117600</v>
      </c>
      <c r="L133" s="314">
        <f t="shared" si="8"/>
        <v>0</v>
      </c>
      <c r="M133" s="314">
        <f t="shared" si="9"/>
        <v>0</v>
      </c>
      <c r="N133" s="315" t="s">
        <v>302</v>
      </c>
      <c r="O133" s="321" t="s">
        <v>256</v>
      </c>
    </row>
    <row r="134" spans="1:15" s="321" customFormat="1" ht="12.1" customHeight="1" outlineLevel="1">
      <c r="A134" s="313"/>
      <c r="B134" s="317" t="str">
        <f t="shared" si="7"/>
        <v/>
      </c>
      <c r="F134" s="40"/>
      <c r="G134" s="314"/>
      <c r="H134" s="320"/>
      <c r="I134" s="313"/>
      <c r="J134" s="40"/>
      <c r="K134" s="314"/>
      <c r="L134" s="314">
        <f t="shared" si="8"/>
        <v>0</v>
      </c>
      <c r="M134" s="314">
        <f t="shared" si="9"/>
        <v>0</v>
      </c>
      <c r="N134" s="315"/>
      <c r="O134" s="321" t="s">
        <v>256</v>
      </c>
    </row>
    <row r="135" spans="1:15" s="321" customFormat="1" ht="48.1" customHeight="1" outlineLevel="1">
      <c r="A135" s="317">
        <v>243</v>
      </c>
      <c r="B135" s="317" t="str">
        <f t="shared" si="7"/>
        <v>IVF243</v>
      </c>
      <c r="C135" s="318" t="s">
        <v>87</v>
      </c>
      <c r="D135" s="317">
        <v>3</v>
      </c>
      <c r="E135" s="319" t="s">
        <v>9</v>
      </c>
      <c r="F135" s="5">
        <v>62500</v>
      </c>
      <c r="G135" s="314">
        <f>ROUND(D135*F135,0)</f>
        <v>187500</v>
      </c>
      <c r="H135" s="320">
        <v>3</v>
      </c>
      <c r="I135" s="313" t="s">
        <v>9</v>
      </c>
      <c r="J135" s="40">
        <f>F135</f>
        <v>62500</v>
      </c>
      <c r="K135" s="314">
        <f>ROUND(H135*J135,0)</f>
        <v>187500</v>
      </c>
      <c r="L135" s="314">
        <f t="shared" si="8"/>
        <v>0</v>
      </c>
      <c r="M135" s="314">
        <f t="shared" si="9"/>
        <v>0</v>
      </c>
      <c r="N135" s="315" t="s">
        <v>302</v>
      </c>
      <c r="O135" s="321" t="s">
        <v>256</v>
      </c>
    </row>
    <row r="136" spans="1:15" s="321" customFormat="1" ht="12.1" customHeight="1" outlineLevel="1">
      <c r="A136" s="313"/>
      <c r="B136" s="317" t="str">
        <f t="shared" si="7"/>
        <v/>
      </c>
      <c r="F136" s="40"/>
      <c r="G136" s="314"/>
      <c r="H136" s="320"/>
      <c r="I136" s="313"/>
      <c r="J136" s="40"/>
      <c r="K136" s="314"/>
      <c r="L136" s="314">
        <f t="shared" si="8"/>
        <v>0</v>
      </c>
      <c r="M136" s="314">
        <f t="shared" si="9"/>
        <v>0</v>
      </c>
      <c r="N136" s="315"/>
      <c r="O136" s="321" t="s">
        <v>256</v>
      </c>
    </row>
    <row r="137" spans="1:15" s="321" customFormat="1" ht="48.1" customHeight="1" outlineLevel="1">
      <c r="A137" s="317">
        <v>244</v>
      </c>
      <c r="B137" s="317" t="str">
        <f t="shared" ref="B137:B201" si="10">IF(ISBLANK(A137), "","IVF"&amp;A137)</f>
        <v>IVF244</v>
      </c>
      <c r="C137" s="318" t="s">
        <v>88</v>
      </c>
      <c r="D137" s="317">
        <v>8</v>
      </c>
      <c r="E137" s="319" t="s">
        <v>9</v>
      </c>
      <c r="F137" s="5">
        <v>17500</v>
      </c>
      <c r="G137" s="314">
        <f>ROUND(D137*F137,0)</f>
        <v>140000</v>
      </c>
      <c r="H137" s="320">
        <v>8</v>
      </c>
      <c r="I137" s="313" t="s">
        <v>9</v>
      </c>
      <c r="J137" s="40">
        <f>F137</f>
        <v>17500</v>
      </c>
      <c r="K137" s="314">
        <f>ROUND(H137*J137,0)</f>
        <v>140000</v>
      </c>
      <c r="L137" s="314">
        <f t="shared" si="8"/>
        <v>0</v>
      </c>
      <c r="M137" s="314">
        <f t="shared" si="9"/>
        <v>0</v>
      </c>
      <c r="N137" s="315" t="s">
        <v>302</v>
      </c>
      <c r="O137" s="321" t="s">
        <v>256</v>
      </c>
    </row>
    <row r="138" spans="1:15" s="321" customFormat="1" outlineLevel="1">
      <c r="A138" s="317"/>
      <c r="B138" s="317" t="str">
        <f t="shared" si="10"/>
        <v/>
      </c>
      <c r="C138" s="322" t="s">
        <v>339</v>
      </c>
      <c r="D138" s="317"/>
      <c r="E138" s="319"/>
      <c r="F138" s="5"/>
      <c r="G138" s="314"/>
      <c r="H138" s="320"/>
      <c r="I138" s="313"/>
      <c r="J138" s="40"/>
      <c r="K138" s="314"/>
      <c r="L138" s="314"/>
      <c r="M138" s="314"/>
      <c r="N138" s="315"/>
      <c r="O138" s="321" t="s">
        <v>256</v>
      </c>
    </row>
    <row r="139" spans="1:15" s="321" customFormat="1" ht="12.1" customHeight="1" outlineLevel="1">
      <c r="A139" s="313"/>
      <c r="B139" s="317" t="str">
        <f t="shared" si="10"/>
        <v/>
      </c>
      <c r="F139" s="40"/>
      <c r="G139" s="314"/>
      <c r="H139" s="320"/>
      <c r="I139" s="313"/>
      <c r="J139" s="40"/>
      <c r="K139" s="314"/>
      <c r="L139" s="314">
        <f t="shared" si="8"/>
        <v>0</v>
      </c>
      <c r="M139" s="314">
        <f t="shared" si="9"/>
        <v>0</v>
      </c>
      <c r="N139" s="315"/>
      <c r="O139" s="321" t="s">
        <v>256</v>
      </c>
    </row>
    <row r="140" spans="1:15" s="321" customFormat="1" ht="48.1" customHeight="1" outlineLevel="1">
      <c r="A140" s="317">
        <v>245</v>
      </c>
      <c r="B140" s="317" t="str">
        <f t="shared" si="10"/>
        <v>IVF245</v>
      </c>
      <c r="C140" s="318" t="s">
        <v>89</v>
      </c>
      <c r="D140" s="317">
        <v>3</v>
      </c>
      <c r="E140" s="319" t="s">
        <v>9</v>
      </c>
      <c r="F140" s="5">
        <v>20000</v>
      </c>
      <c r="G140" s="314">
        <f>ROUND(D140*F140,0)</f>
        <v>60000</v>
      </c>
      <c r="H140" s="320">
        <v>3</v>
      </c>
      <c r="I140" s="313" t="s">
        <v>9</v>
      </c>
      <c r="J140" s="40">
        <f>F140</f>
        <v>20000</v>
      </c>
      <c r="K140" s="314">
        <f>ROUND(H140*J140,0)</f>
        <v>60000</v>
      </c>
      <c r="L140" s="314">
        <f t="shared" si="8"/>
        <v>0</v>
      </c>
      <c r="M140" s="314">
        <f t="shared" si="9"/>
        <v>0</v>
      </c>
      <c r="N140" s="315" t="s">
        <v>302</v>
      </c>
      <c r="O140" s="321" t="s">
        <v>256</v>
      </c>
    </row>
    <row r="141" spans="1:15" s="321" customFormat="1" outlineLevel="1">
      <c r="A141" s="317"/>
      <c r="B141" s="317" t="str">
        <f t="shared" si="10"/>
        <v/>
      </c>
      <c r="C141" s="322" t="s">
        <v>339</v>
      </c>
      <c r="D141" s="317"/>
      <c r="E141" s="319"/>
      <c r="F141" s="5"/>
      <c r="G141" s="314"/>
      <c r="H141" s="320"/>
      <c r="I141" s="313"/>
      <c r="J141" s="40"/>
      <c r="K141" s="314"/>
      <c r="L141" s="314"/>
      <c r="M141" s="314"/>
      <c r="N141" s="315"/>
      <c r="O141" s="321" t="s">
        <v>256</v>
      </c>
    </row>
    <row r="142" spans="1:15" s="321" customFormat="1" ht="12.1" customHeight="1" outlineLevel="1">
      <c r="A142" s="313"/>
      <c r="B142" s="317" t="str">
        <f t="shared" si="10"/>
        <v/>
      </c>
      <c r="F142" s="40"/>
      <c r="G142" s="314"/>
      <c r="H142" s="320"/>
      <c r="I142" s="313"/>
      <c r="J142" s="40"/>
      <c r="K142" s="314"/>
      <c r="L142" s="314">
        <f t="shared" si="8"/>
        <v>0</v>
      </c>
      <c r="M142" s="314">
        <f t="shared" si="9"/>
        <v>0</v>
      </c>
      <c r="N142" s="315"/>
      <c r="O142" s="321" t="s">
        <v>256</v>
      </c>
    </row>
    <row r="143" spans="1:15" s="321" customFormat="1" ht="31.25" outlineLevel="1">
      <c r="A143" s="317">
        <v>246</v>
      </c>
      <c r="B143" s="317" t="str">
        <f t="shared" si="10"/>
        <v>IVF246</v>
      </c>
      <c r="C143" s="318" t="s">
        <v>90</v>
      </c>
      <c r="D143" s="317">
        <v>1</v>
      </c>
      <c r="E143" s="319" t="s">
        <v>10</v>
      </c>
      <c r="F143" s="5"/>
      <c r="G143" s="314"/>
      <c r="H143" s="320">
        <v>0</v>
      </c>
      <c r="I143" s="313" t="s">
        <v>10</v>
      </c>
      <c r="J143" s="40">
        <f>F143</f>
        <v>0</v>
      </c>
      <c r="K143" s="314"/>
      <c r="L143" s="314">
        <f t="shared" si="8"/>
        <v>0</v>
      </c>
      <c r="M143" s="314">
        <f t="shared" si="9"/>
        <v>0</v>
      </c>
      <c r="N143" s="315" t="s">
        <v>303</v>
      </c>
      <c r="O143" s="321" t="s">
        <v>256</v>
      </c>
    </row>
    <row r="144" spans="1:15" s="321" customFormat="1" ht="12.1" customHeight="1" outlineLevel="1">
      <c r="A144" s="313"/>
      <c r="B144" s="317" t="str">
        <f t="shared" si="10"/>
        <v/>
      </c>
      <c r="F144" s="40"/>
      <c r="G144" s="314"/>
      <c r="H144" s="320"/>
      <c r="I144" s="313"/>
      <c r="J144" s="40"/>
      <c r="K144" s="314"/>
      <c r="L144" s="314">
        <f t="shared" si="8"/>
        <v>0</v>
      </c>
      <c r="M144" s="314">
        <f t="shared" si="9"/>
        <v>0</v>
      </c>
      <c r="N144" s="315"/>
      <c r="O144" s="321" t="s">
        <v>256</v>
      </c>
    </row>
    <row r="145" spans="1:16" s="321" customFormat="1" ht="23.45" customHeight="1">
      <c r="A145" s="313"/>
      <c r="B145" s="317" t="str">
        <f t="shared" si="10"/>
        <v/>
      </c>
      <c r="F145" s="40"/>
      <c r="G145" s="329">
        <f>ROUND(SUM(G6:G144),0)</f>
        <v>26020475</v>
      </c>
      <c r="H145" s="320"/>
      <c r="I145" s="313"/>
      <c r="J145" s="42" t="s">
        <v>32</v>
      </c>
      <c r="K145" s="329">
        <f>ROUND(SUM(K6:K144),0)</f>
        <v>26162975</v>
      </c>
      <c r="L145" s="330">
        <f>SUM(L6:L144)</f>
        <v>142500</v>
      </c>
      <c r="M145" s="329">
        <f>SUM(M6:M144)</f>
        <v>0</v>
      </c>
      <c r="N145" s="315"/>
    </row>
    <row r="146" spans="1:16" s="321" customFormat="1" ht="19.899999999999999" customHeight="1">
      <c r="A146" s="313"/>
      <c r="B146" s="317" t="str">
        <f t="shared" si="10"/>
        <v/>
      </c>
      <c r="C146" s="331" t="s">
        <v>33</v>
      </c>
      <c r="F146" s="40"/>
      <c r="G146" s="312"/>
      <c r="H146" s="320"/>
      <c r="I146" s="313"/>
      <c r="J146" s="40"/>
      <c r="K146" s="312"/>
      <c r="L146" s="314"/>
      <c r="M146" s="314"/>
      <c r="N146" s="315"/>
    </row>
    <row r="147" spans="1:16" s="321" customFormat="1" ht="107.35" customHeight="1" outlineLevel="1">
      <c r="A147" s="317">
        <v>247</v>
      </c>
      <c r="B147" s="317" t="str">
        <f t="shared" si="10"/>
        <v>IVF247</v>
      </c>
      <c r="C147" s="318" t="s">
        <v>418</v>
      </c>
      <c r="D147" s="317">
        <v>80</v>
      </c>
      <c r="E147" s="319" t="s">
        <v>11</v>
      </c>
      <c r="F147" s="5">
        <v>398</v>
      </c>
      <c r="G147" s="314">
        <f>ROUND(D147*F147,0)</f>
        <v>31840</v>
      </c>
      <c r="H147" s="320">
        <f>20.38+0.19</f>
        <v>20.57</v>
      </c>
      <c r="I147" s="313" t="s">
        <v>11</v>
      </c>
      <c r="J147" s="40">
        <f>F147</f>
        <v>398</v>
      </c>
      <c r="K147" s="314">
        <f>ROUND(H147*J147,0)</f>
        <v>8187</v>
      </c>
      <c r="L147" s="314">
        <f>ROUND(IF(K147&gt;G147,K147-G147,0),0)</f>
        <v>0</v>
      </c>
      <c r="M147" s="314">
        <f>ROUND(IF(K147&lt;G147,G147-K147,0),0)</f>
        <v>23653</v>
      </c>
      <c r="N147" s="315" t="s">
        <v>305</v>
      </c>
      <c r="O147" s="321" t="s">
        <v>250</v>
      </c>
    </row>
    <row r="148" spans="1:16" s="321" customFormat="1" ht="31.25" outlineLevel="1">
      <c r="A148" s="317"/>
      <c r="B148" s="317" t="str">
        <f t="shared" si="10"/>
        <v/>
      </c>
      <c r="C148" s="322" t="s">
        <v>329</v>
      </c>
      <c r="D148" s="317"/>
      <c r="E148" s="319"/>
      <c r="F148" s="5"/>
      <c r="G148" s="314"/>
      <c r="H148" s="320"/>
      <c r="I148" s="313"/>
      <c r="J148" s="40"/>
      <c r="K148" s="314"/>
      <c r="L148" s="314"/>
      <c r="M148" s="314"/>
      <c r="N148" s="315"/>
      <c r="O148" s="321" t="s">
        <v>250</v>
      </c>
    </row>
    <row r="149" spans="1:16" s="321" customFormat="1" ht="12.1" customHeight="1" outlineLevel="1">
      <c r="A149" s="313"/>
      <c r="B149" s="317" t="str">
        <f t="shared" si="10"/>
        <v/>
      </c>
      <c r="F149" s="40"/>
      <c r="G149" s="314"/>
      <c r="H149" s="320"/>
      <c r="I149" s="313"/>
      <c r="J149" s="40"/>
      <c r="K149" s="314"/>
      <c r="L149" s="314">
        <f t="shared" ref="L149:L248" si="11">ROUND(IF(K149&gt;G149,K149-G149,0),0)</f>
        <v>0</v>
      </c>
      <c r="M149" s="314">
        <f t="shared" ref="M149:M248" si="12">ROUND(IF(K149&lt;G149,G149-K149,0),0)</f>
        <v>0</v>
      </c>
      <c r="N149" s="315"/>
      <c r="O149" s="321" t="s">
        <v>250</v>
      </c>
    </row>
    <row r="150" spans="1:16" s="321" customFormat="1" ht="108.7" customHeight="1" outlineLevel="1">
      <c r="A150" s="317">
        <v>248</v>
      </c>
      <c r="B150" s="317" t="str">
        <f t="shared" si="10"/>
        <v>IVF248</v>
      </c>
      <c r="C150" s="318" t="s">
        <v>91</v>
      </c>
      <c r="D150" s="317">
        <v>400</v>
      </c>
      <c r="E150" s="319" t="s">
        <v>12</v>
      </c>
      <c r="F150" s="5">
        <v>20</v>
      </c>
      <c r="G150" s="314">
        <f>ROUND(D150*F150,0)</f>
        <v>8000</v>
      </c>
      <c r="H150" s="320">
        <v>400</v>
      </c>
      <c r="I150" s="313" t="s">
        <v>12</v>
      </c>
      <c r="J150" s="40">
        <f>F150</f>
        <v>20</v>
      </c>
      <c r="K150" s="314">
        <f>ROUND(H150*J150,0)</f>
        <v>8000</v>
      </c>
      <c r="L150" s="314">
        <f t="shared" si="11"/>
        <v>0</v>
      </c>
      <c r="M150" s="314">
        <f t="shared" si="12"/>
        <v>0</v>
      </c>
      <c r="N150" s="332" t="s">
        <v>304</v>
      </c>
      <c r="O150" s="321" t="s">
        <v>250</v>
      </c>
    </row>
    <row r="151" spans="1:16" s="321" customFormat="1" outlineLevel="1">
      <c r="A151" s="313"/>
      <c r="B151" s="317" t="str">
        <f t="shared" si="10"/>
        <v/>
      </c>
      <c r="C151" s="327" t="s">
        <v>30</v>
      </c>
      <c r="F151" s="40"/>
      <c r="G151" s="314"/>
      <c r="H151" s="320">
        <f>729.93-400</f>
        <v>329.92999999999995</v>
      </c>
      <c r="I151" s="313" t="s">
        <v>12</v>
      </c>
      <c r="J151" s="40">
        <f>J150</f>
        <v>20</v>
      </c>
      <c r="K151" s="314">
        <f>ROUND(H151*J151,0)</f>
        <v>6599</v>
      </c>
      <c r="L151" s="314">
        <f t="shared" si="11"/>
        <v>6599</v>
      </c>
      <c r="M151" s="314">
        <f t="shared" si="12"/>
        <v>0</v>
      </c>
      <c r="N151" s="332"/>
      <c r="O151" s="321" t="s">
        <v>250</v>
      </c>
    </row>
    <row r="152" spans="1:16" s="321" customFormat="1" outlineLevel="1">
      <c r="A152" s="313"/>
      <c r="B152" s="317" t="str">
        <f t="shared" si="10"/>
        <v/>
      </c>
      <c r="C152" s="323" t="s">
        <v>328</v>
      </c>
      <c r="F152" s="40"/>
      <c r="G152" s="314"/>
      <c r="H152" s="320"/>
      <c r="I152" s="313"/>
      <c r="J152" s="40"/>
      <c r="K152" s="314"/>
      <c r="L152" s="314"/>
      <c r="M152" s="314"/>
      <c r="N152" s="315"/>
      <c r="O152" s="321" t="s">
        <v>250</v>
      </c>
    </row>
    <row r="153" spans="1:16" s="321" customFormat="1" ht="12.1" customHeight="1" outlineLevel="1">
      <c r="A153" s="313"/>
      <c r="B153" s="317" t="str">
        <f t="shared" si="10"/>
        <v/>
      </c>
      <c r="C153" s="323"/>
      <c r="F153" s="40"/>
      <c r="G153" s="314"/>
      <c r="H153" s="320"/>
      <c r="I153" s="313"/>
      <c r="J153" s="40"/>
      <c r="K153" s="314"/>
      <c r="L153" s="314"/>
      <c r="M153" s="314"/>
      <c r="N153" s="315"/>
      <c r="O153" s="321" t="s">
        <v>250</v>
      </c>
    </row>
    <row r="154" spans="1:16" s="321" customFormat="1" ht="120.1" customHeight="1" outlineLevel="1">
      <c r="A154" s="317">
        <v>249</v>
      </c>
      <c r="B154" s="317" t="str">
        <f t="shared" si="10"/>
        <v>IVF249</v>
      </c>
      <c r="C154" s="318" t="s">
        <v>92</v>
      </c>
      <c r="D154" s="317">
        <v>16</v>
      </c>
      <c r="E154" s="319" t="s">
        <v>9</v>
      </c>
      <c r="F154" s="5">
        <v>350</v>
      </c>
      <c r="G154" s="314">
        <f>ROUND(D154*F154,0)</f>
        <v>5600</v>
      </c>
      <c r="H154" s="320">
        <v>16</v>
      </c>
      <c r="I154" s="313" t="s">
        <v>9</v>
      </c>
      <c r="J154" s="40">
        <f>F154</f>
        <v>350</v>
      </c>
      <c r="K154" s="314">
        <f>ROUND(H154*J154,0)</f>
        <v>5600</v>
      </c>
      <c r="L154" s="314">
        <f t="shared" si="11"/>
        <v>0</v>
      </c>
      <c r="M154" s="314">
        <f t="shared" si="12"/>
        <v>0</v>
      </c>
      <c r="N154" s="332" t="s">
        <v>304</v>
      </c>
      <c r="O154" s="321" t="s">
        <v>250</v>
      </c>
    </row>
    <row r="155" spans="1:16" s="321" customFormat="1" outlineLevel="1">
      <c r="A155" s="313"/>
      <c r="B155" s="317" t="str">
        <f t="shared" si="10"/>
        <v/>
      </c>
      <c r="C155" s="327" t="s">
        <v>30</v>
      </c>
      <c r="F155" s="40"/>
      <c r="G155" s="314"/>
      <c r="H155" s="320">
        <f>32-H154</f>
        <v>16</v>
      </c>
      <c r="I155" s="313" t="s">
        <v>12</v>
      </c>
      <c r="J155" s="40">
        <f>J154</f>
        <v>350</v>
      </c>
      <c r="K155" s="314">
        <f>ROUND(H155*J155,0)</f>
        <v>5600</v>
      </c>
      <c r="L155" s="314">
        <f t="shared" si="11"/>
        <v>5600</v>
      </c>
      <c r="M155" s="314">
        <f t="shared" si="12"/>
        <v>0</v>
      </c>
      <c r="N155" s="332"/>
      <c r="O155" s="321" t="s">
        <v>250</v>
      </c>
    </row>
    <row r="156" spans="1:16" s="321" customFormat="1" outlineLevel="1">
      <c r="A156" s="313"/>
      <c r="B156" s="317" t="str">
        <f t="shared" si="10"/>
        <v/>
      </c>
      <c r="C156" s="323" t="s">
        <v>328</v>
      </c>
      <c r="F156" s="40"/>
      <c r="G156" s="314"/>
      <c r="H156" s="320"/>
      <c r="I156" s="313"/>
      <c r="J156" s="40"/>
      <c r="K156" s="314"/>
      <c r="L156" s="314"/>
      <c r="M156" s="314"/>
      <c r="N156" s="315"/>
      <c r="O156" s="321" t="s">
        <v>250</v>
      </c>
    </row>
    <row r="157" spans="1:16" s="321" customFormat="1" ht="12.1" customHeight="1" outlineLevel="1">
      <c r="A157" s="313"/>
      <c r="B157" s="317" t="str">
        <f t="shared" si="10"/>
        <v/>
      </c>
      <c r="C157" s="323"/>
      <c r="F157" s="40"/>
      <c r="G157" s="314"/>
      <c r="H157" s="320"/>
      <c r="I157" s="313"/>
      <c r="J157" s="40"/>
      <c r="K157" s="314"/>
      <c r="L157" s="314"/>
      <c r="M157" s="314"/>
      <c r="N157" s="315"/>
      <c r="O157" s="321" t="s">
        <v>250</v>
      </c>
    </row>
    <row r="158" spans="1:16" s="321" customFormat="1" ht="118.2" customHeight="1" outlineLevel="1">
      <c r="A158" s="317">
        <v>250</v>
      </c>
      <c r="B158" s="317" t="str">
        <f t="shared" si="10"/>
        <v>IVF250</v>
      </c>
      <c r="C158" s="318" t="s">
        <v>20</v>
      </c>
      <c r="D158" s="317">
        <v>5</v>
      </c>
      <c r="E158" s="319" t="s">
        <v>9</v>
      </c>
      <c r="F158" s="5">
        <v>468</v>
      </c>
      <c r="G158" s="314">
        <f>ROUND(D158*F158,0)</f>
        <v>2340</v>
      </c>
      <c r="H158" s="320">
        <v>0</v>
      </c>
      <c r="I158" s="313" t="s">
        <v>9</v>
      </c>
      <c r="J158" s="40">
        <f>F158</f>
        <v>468</v>
      </c>
      <c r="K158" s="314"/>
      <c r="L158" s="314">
        <f t="shared" si="11"/>
        <v>0</v>
      </c>
      <c r="M158" s="314">
        <f t="shared" si="12"/>
        <v>2340</v>
      </c>
      <c r="N158" s="315" t="s">
        <v>393</v>
      </c>
      <c r="O158" s="321" t="s">
        <v>250</v>
      </c>
    </row>
    <row r="159" spans="1:16" s="321" customFormat="1" ht="12.1" customHeight="1" outlineLevel="1">
      <c r="A159" s="313"/>
      <c r="B159" s="317" t="str">
        <f t="shared" si="10"/>
        <v/>
      </c>
      <c r="C159" s="323"/>
      <c r="F159" s="40"/>
      <c r="G159" s="314"/>
      <c r="H159" s="320"/>
      <c r="I159" s="313"/>
      <c r="J159" s="40"/>
      <c r="K159" s="314"/>
      <c r="L159" s="314">
        <f t="shared" si="11"/>
        <v>0</v>
      </c>
      <c r="M159" s="314">
        <f t="shared" si="12"/>
        <v>0</v>
      </c>
      <c r="N159" s="315"/>
      <c r="O159" s="321" t="s">
        <v>250</v>
      </c>
    </row>
    <row r="160" spans="1:16" s="321" customFormat="1" ht="95.45" customHeight="1" outlineLevel="1">
      <c r="A160" s="317">
        <v>251</v>
      </c>
      <c r="B160" s="317" t="str">
        <f t="shared" si="10"/>
        <v>IVF251</v>
      </c>
      <c r="C160" s="318" t="s">
        <v>29</v>
      </c>
      <c r="D160" s="317">
        <v>120</v>
      </c>
      <c r="E160" s="319" t="s">
        <v>11</v>
      </c>
      <c r="F160" s="5">
        <v>455</v>
      </c>
      <c r="G160" s="314">
        <f>ROUND(D160*F160,0)</f>
        <v>54600</v>
      </c>
      <c r="H160" s="320">
        <v>120</v>
      </c>
      <c r="I160" s="313" t="s">
        <v>11</v>
      </c>
      <c r="J160" s="40">
        <f>F160</f>
        <v>455</v>
      </c>
      <c r="K160" s="314">
        <f>ROUND(H160*J160,0)</f>
        <v>54600</v>
      </c>
      <c r="L160" s="314">
        <f>ROUND(IF(K160&gt;G160,K160-G160,0),0)</f>
        <v>0</v>
      </c>
      <c r="M160" s="314">
        <f>ROUND(IF(K160&lt;G160,G160-K160,0),0)</f>
        <v>0</v>
      </c>
      <c r="N160" s="332" t="s">
        <v>304</v>
      </c>
      <c r="O160" s="321" t="s">
        <v>250</v>
      </c>
      <c r="P160" s="321">
        <f>226.24-120</f>
        <v>106.24000000000001</v>
      </c>
    </row>
    <row r="161" spans="1:15" s="321" customFormat="1" outlineLevel="1">
      <c r="A161" s="313"/>
      <c r="B161" s="317" t="str">
        <f t="shared" si="10"/>
        <v/>
      </c>
      <c r="C161" s="327" t="s">
        <v>30</v>
      </c>
      <c r="F161" s="40"/>
      <c r="G161" s="314"/>
      <c r="H161" s="320">
        <v>106.24</v>
      </c>
      <c r="I161" s="313" t="s">
        <v>11</v>
      </c>
      <c r="J161" s="40">
        <f>J160</f>
        <v>455</v>
      </c>
      <c r="K161" s="314">
        <f>ROUND(H161*J161,0)</f>
        <v>48339</v>
      </c>
      <c r="L161" s="314">
        <f>ROUND(IF(K161&gt;G161,K161-G161,0),0)</f>
        <v>48339</v>
      </c>
      <c r="M161" s="314">
        <f>ROUND(IF(K161&lt;G161,G161-K161,0),0)</f>
        <v>0</v>
      </c>
      <c r="N161" s="332"/>
      <c r="O161" s="321" t="s">
        <v>250</v>
      </c>
    </row>
    <row r="162" spans="1:15" s="321" customFormat="1" ht="207" customHeight="1" outlineLevel="1">
      <c r="A162" s="317">
        <v>252</v>
      </c>
      <c r="B162" s="317" t="str">
        <f t="shared" si="10"/>
        <v>IVF252</v>
      </c>
      <c r="C162" s="318" t="s">
        <v>93</v>
      </c>
      <c r="D162" s="333">
        <v>10.5</v>
      </c>
      <c r="E162" s="319" t="s">
        <v>11</v>
      </c>
      <c r="F162" s="5">
        <v>14558</v>
      </c>
      <c r="G162" s="314">
        <f>ROUND(D162*F162,0)</f>
        <v>152859</v>
      </c>
      <c r="H162" s="320">
        <v>10.5</v>
      </c>
      <c r="I162" s="313" t="s">
        <v>11</v>
      </c>
      <c r="J162" s="40">
        <f>F162</f>
        <v>14558</v>
      </c>
      <c r="K162" s="314">
        <f>ROUND(H162*J162,0)</f>
        <v>152859</v>
      </c>
      <c r="L162" s="314">
        <f t="shared" si="11"/>
        <v>0</v>
      </c>
      <c r="M162" s="314">
        <f t="shared" si="12"/>
        <v>0</v>
      </c>
      <c r="N162" s="332" t="s">
        <v>304</v>
      </c>
      <c r="O162" s="321" t="s">
        <v>250</v>
      </c>
    </row>
    <row r="163" spans="1:15" s="321" customFormat="1" outlineLevel="1">
      <c r="A163" s="313"/>
      <c r="B163" s="317" t="str">
        <f t="shared" si="10"/>
        <v/>
      </c>
      <c r="C163" s="327" t="s">
        <v>30</v>
      </c>
      <c r="F163" s="40"/>
      <c r="G163" s="314"/>
      <c r="H163" s="320">
        <f>20.08-10.5</f>
        <v>9.5799999999999983</v>
      </c>
      <c r="I163" s="313" t="s">
        <v>11</v>
      </c>
      <c r="J163" s="40">
        <f>J162</f>
        <v>14558</v>
      </c>
      <c r="K163" s="314">
        <f>ROUND(H163*J163,0)</f>
        <v>139466</v>
      </c>
      <c r="L163" s="314">
        <f t="shared" si="11"/>
        <v>139466</v>
      </c>
      <c r="M163" s="314">
        <f t="shared" si="12"/>
        <v>0</v>
      </c>
      <c r="N163" s="332"/>
      <c r="O163" s="321" t="s">
        <v>250</v>
      </c>
    </row>
    <row r="164" spans="1:15" s="321" customFormat="1" outlineLevel="1">
      <c r="A164" s="313"/>
      <c r="B164" s="317" t="str">
        <f t="shared" si="10"/>
        <v/>
      </c>
      <c r="C164" s="323" t="s">
        <v>330</v>
      </c>
      <c r="F164" s="40"/>
      <c r="G164" s="314"/>
      <c r="H164" s="320"/>
      <c r="I164" s="313"/>
      <c r="J164" s="40"/>
      <c r="K164" s="314"/>
      <c r="L164" s="314"/>
      <c r="M164" s="314"/>
      <c r="N164" s="315"/>
      <c r="O164" s="321" t="s">
        <v>250</v>
      </c>
    </row>
    <row r="165" spans="1:15" s="321" customFormat="1" ht="12.1" customHeight="1" outlineLevel="1">
      <c r="A165" s="313"/>
      <c r="B165" s="317" t="str">
        <f t="shared" si="10"/>
        <v/>
      </c>
      <c r="C165" s="323"/>
      <c r="F165" s="40"/>
      <c r="G165" s="314"/>
      <c r="H165" s="320"/>
      <c r="I165" s="313"/>
      <c r="J165" s="40"/>
      <c r="K165" s="314"/>
      <c r="L165" s="314"/>
      <c r="M165" s="314"/>
      <c r="N165" s="315"/>
      <c r="O165" s="321" t="s">
        <v>250</v>
      </c>
    </row>
    <row r="166" spans="1:15" s="321" customFormat="1" ht="254.25" customHeight="1" outlineLevel="1">
      <c r="A166" s="317">
        <v>253</v>
      </c>
      <c r="B166" s="317" t="str">
        <f t="shared" si="10"/>
        <v>IVF253</v>
      </c>
      <c r="C166" s="318" t="s">
        <v>21</v>
      </c>
      <c r="D166" s="317">
        <v>215</v>
      </c>
      <c r="E166" s="319" t="s">
        <v>12</v>
      </c>
      <c r="F166" s="5">
        <v>1716</v>
      </c>
      <c r="G166" s="314">
        <f>ROUND(D166*F166,0)</f>
        <v>368940</v>
      </c>
      <c r="H166" s="320">
        <v>215</v>
      </c>
      <c r="I166" s="313" t="s">
        <v>12</v>
      </c>
      <c r="J166" s="40">
        <f>F166</f>
        <v>1716</v>
      </c>
      <c r="K166" s="314">
        <f>ROUND(H166*J166,0)</f>
        <v>368940</v>
      </c>
      <c r="L166" s="314">
        <f t="shared" si="11"/>
        <v>0</v>
      </c>
      <c r="M166" s="314">
        <f t="shared" si="12"/>
        <v>0</v>
      </c>
      <c r="N166" s="332" t="s">
        <v>304</v>
      </c>
      <c r="O166" s="321" t="s">
        <v>250</v>
      </c>
    </row>
    <row r="167" spans="1:15" s="321" customFormat="1" outlineLevel="1">
      <c r="A167" s="313"/>
      <c r="B167" s="317" t="str">
        <f t="shared" si="10"/>
        <v/>
      </c>
      <c r="C167" s="327" t="s">
        <v>30</v>
      </c>
      <c r="F167" s="40"/>
      <c r="G167" s="314"/>
      <c r="H167" s="320">
        <f>227.17-215</f>
        <v>12.169999999999987</v>
      </c>
      <c r="I167" s="313" t="s">
        <v>12</v>
      </c>
      <c r="J167" s="40">
        <f>J166</f>
        <v>1716</v>
      </c>
      <c r="K167" s="314">
        <f>ROUND(H167*J167,0)</f>
        <v>20884</v>
      </c>
      <c r="L167" s="314">
        <f t="shared" si="11"/>
        <v>20884</v>
      </c>
      <c r="M167" s="314">
        <f t="shared" si="12"/>
        <v>0</v>
      </c>
      <c r="N167" s="332"/>
      <c r="O167" s="321" t="s">
        <v>250</v>
      </c>
    </row>
    <row r="168" spans="1:15" s="321" customFormat="1" outlineLevel="1">
      <c r="A168" s="313"/>
      <c r="B168" s="317" t="str">
        <f t="shared" si="10"/>
        <v/>
      </c>
      <c r="C168" s="323" t="s">
        <v>330</v>
      </c>
      <c r="F168" s="40"/>
      <c r="G168" s="314"/>
      <c r="H168" s="320"/>
      <c r="I168" s="313"/>
      <c r="J168" s="40"/>
      <c r="K168" s="314"/>
      <c r="L168" s="314"/>
      <c r="M168" s="314"/>
      <c r="N168" s="315"/>
      <c r="O168" s="321" t="s">
        <v>250</v>
      </c>
    </row>
    <row r="169" spans="1:15" s="321" customFormat="1" ht="12.1" customHeight="1" outlineLevel="1">
      <c r="A169" s="313"/>
      <c r="B169" s="317" t="str">
        <f t="shared" si="10"/>
        <v/>
      </c>
      <c r="C169" s="323"/>
      <c r="F169" s="40"/>
      <c r="G169" s="314"/>
      <c r="H169" s="320"/>
      <c r="I169" s="313"/>
      <c r="J169" s="40"/>
      <c r="K169" s="314"/>
      <c r="L169" s="314"/>
      <c r="M169" s="314"/>
      <c r="N169" s="315"/>
      <c r="O169" s="321" t="s">
        <v>250</v>
      </c>
    </row>
    <row r="170" spans="1:15" s="321" customFormat="1" ht="288.7" customHeight="1" outlineLevel="1">
      <c r="A170" s="317">
        <v>254</v>
      </c>
      <c r="B170" s="317" t="str">
        <f t="shared" si="10"/>
        <v>IVF254</v>
      </c>
      <c r="C170" s="318" t="s">
        <v>94</v>
      </c>
      <c r="D170" s="333">
        <v>0.9</v>
      </c>
      <c r="E170" s="319" t="s">
        <v>13</v>
      </c>
      <c r="F170" s="5">
        <v>116500</v>
      </c>
      <c r="G170" s="314">
        <f>ROUND(D170*F170,0)</f>
        <v>104850</v>
      </c>
      <c r="H170" s="320">
        <v>0</v>
      </c>
      <c r="I170" s="313" t="s">
        <v>13</v>
      </c>
      <c r="J170" s="40">
        <f>F170</f>
        <v>116500</v>
      </c>
      <c r="K170" s="314"/>
      <c r="L170" s="314">
        <f t="shared" si="11"/>
        <v>0</v>
      </c>
      <c r="M170" s="314">
        <f t="shared" si="12"/>
        <v>104850</v>
      </c>
      <c r="N170" s="315" t="s">
        <v>393</v>
      </c>
      <c r="O170" s="321" t="s">
        <v>250</v>
      </c>
    </row>
    <row r="171" spans="1:15" s="321" customFormat="1" ht="12.1" customHeight="1" outlineLevel="1">
      <c r="A171" s="313"/>
      <c r="B171" s="317" t="str">
        <f t="shared" si="10"/>
        <v/>
      </c>
      <c r="F171" s="40"/>
      <c r="G171" s="314"/>
      <c r="H171" s="320"/>
      <c r="I171" s="313"/>
      <c r="J171" s="40"/>
      <c r="K171" s="314"/>
      <c r="L171" s="314">
        <f t="shared" si="11"/>
        <v>0</v>
      </c>
      <c r="M171" s="314">
        <f t="shared" si="12"/>
        <v>0</v>
      </c>
      <c r="N171" s="315"/>
      <c r="O171" s="321" t="s">
        <v>250</v>
      </c>
    </row>
    <row r="172" spans="1:15" s="321" customFormat="1" ht="200.25" customHeight="1" outlineLevel="1">
      <c r="A172" s="317">
        <v>255</v>
      </c>
      <c r="B172" s="317" t="str">
        <f t="shared" si="10"/>
        <v>IVF255</v>
      </c>
      <c r="C172" s="318" t="s">
        <v>95</v>
      </c>
      <c r="D172" s="317">
        <v>45</v>
      </c>
      <c r="E172" s="319" t="s">
        <v>12</v>
      </c>
      <c r="F172" s="5">
        <v>945</v>
      </c>
      <c r="G172" s="314">
        <f>ROUND(D172*F172,0)</f>
        <v>42525</v>
      </c>
      <c r="H172" s="320">
        <v>39.56</v>
      </c>
      <c r="I172" s="313" t="s">
        <v>12</v>
      </c>
      <c r="J172" s="40">
        <f>F172</f>
        <v>945</v>
      </c>
      <c r="K172" s="314">
        <f>ROUND(H172*J172,0)</f>
        <v>37384</v>
      </c>
      <c r="L172" s="314">
        <f t="shared" si="11"/>
        <v>0</v>
      </c>
      <c r="M172" s="314">
        <f t="shared" si="12"/>
        <v>5141</v>
      </c>
      <c r="N172" s="315" t="s">
        <v>305</v>
      </c>
      <c r="O172" s="321" t="s">
        <v>250</v>
      </c>
    </row>
    <row r="173" spans="1:15" s="321" customFormat="1" outlineLevel="1">
      <c r="A173" s="317"/>
      <c r="B173" s="317" t="str">
        <f t="shared" si="10"/>
        <v/>
      </c>
      <c r="C173" s="322" t="s">
        <v>350</v>
      </c>
      <c r="D173" s="317"/>
      <c r="E173" s="319"/>
      <c r="F173" s="5"/>
      <c r="G173" s="314"/>
      <c r="H173" s="320"/>
      <c r="I173" s="313"/>
      <c r="J173" s="40"/>
      <c r="K173" s="314"/>
      <c r="L173" s="314"/>
      <c r="M173" s="314"/>
      <c r="N173" s="315"/>
      <c r="O173" s="321" t="s">
        <v>250</v>
      </c>
    </row>
    <row r="174" spans="1:15" s="321" customFormat="1" ht="12.1" customHeight="1" outlineLevel="1">
      <c r="A174" s="313"/>
      <c r="B174" s="317" t="str">
        <f t="shared" si="10"/>
        <v/>
      </c>
      <c r="F174" s="40"/>
      <c r="G174" s="314"/>
      <c r="H174" s="320"/>
      <c r="I174" s="313"/>
      <c r="J174" s="40"/>
      <c r="K174" s="314"/>
      <c r="L174" s="314">
        <f t="shared" si="11"/>
        <v>0</v>
      </c>
      <c r="M174" s="314">
        <f t="shared" si="12"/>
        <v>0</v>
      </c>
      <c r="N174" s="315"/>
      <c r="O174" s="321" t="s">
        <v>250</v>
      </c>
    </row>
    <row r="175" spans="1:15" s="321" customFormat="1" ht="227.25" customHeight="1" outlineLevel="1">
      <c r="A175" s="317">
        <v>256</v>
      </c>
      <c r="B175" s="317" t="str">
        <f t="shared" si="10"/>
        <v>IVF256</v>
      </c>
      <c r="C175" s="318" t="s">
        <v>96</v>
      </c>
      <c r="D175" s="317">
        <v>430</v>
      </c>
      <c r="E175" s="319" t="s">
        <v>12</v>
      </c>
      <c r="F175" s="5">
        <v>906</v>
      </c>
      <c r="G175" s="314">
        <f>ROUND(D175*F175,0)</f>
        <v>389580</v>
      </c>
      <c r="H175" s="320">
        <v>430</v>
      </c>
      <c r="I175" s="313" t="s">
        <v>12</v>
      </c>
      <c r="J175" s="40">
        <f>F175</f>
        <v>906</v>
      </c>
      <c r="K175" s="314">
        <f>ROUND(H175*J175,0)</f>
        <v>389580</v>
      </c>
      <c r="L175" s="314">
        <f t="shared" si="11"/>
        <v>0</v>
      </c>
      <c r="M175" s="314">
        <f t="shared" si="12"/>
        <v>0</v>
      </c>
      <c r="N175" s="332" t="s">
        <v>304</v>
      </c>
      <c r="O175" s="321" t="s">
        <v>250</v>
      </c>
    </row>
    <row r="176" spans="1:15" s="321" customFormat="1" outlineLevel="1">
      <c r="A176" s="313"/>
      <c r="B176" s="317" t="str">
        <f t="shared" si="10"/>
        <v/>
      </c>
      <c r="C176" s="327" t="s">
        <v>30</v>
      </c>
      <c r="F176" s="40"/>
      <c r="G176" s="314"/>
      <c r="H176" s="320">
        <f>905.88-H175</f>
        <v>475.88</v>
      </c>
      <c r="I176" s="313" t="s">
        <v>12</v>
      </c>
      <c r="J176" s="40">
        <f>J175</f>
        <v>906</v>
      </c>
      <c r="K176" s="314">
        <f>ROUND(H176*J176,0)</f>
        <v>431147</v>
      </c>
      <c r="L176" s="314">
        <f t="shared" si="11"/>
        <v>431147</v>
      </c>
      <c r="M176" s="314">
        <f t="shared" si="12"/>
        <v>0</v>
      </c>
      <c r="N176" s="332"/>
      <c r="O176" s="321" t="s">
        <v>250</v>
      </c>
    </row>
    <row r="177" spans="1:15" s="321" customFormat="1" outlineLevel="1">
      <c r="A177" s="313"/>
      <c r="B177" s="317" t="str">
        <f t="shared" si="10"/>
        <v/>
      </c>
      <c r="C177" s="323" t="s">
        <v>331</v>
      </c>
      <c r="F177" s="40"/>
      <c r="G177" s="314"/>
      <c r="H177" s="320"/>
      <c r="I177" s="313"/>
      <c r="J177" s="40"/>
      <c r="K177" s="314"/>
      <c r="L177" s="314"/>
      <c r="M177" s="314"/>
      <c r="N177" s="315"/>
      <c r="O177" s="321" t="s">
        <v>250</v>
      </c>
    </row>
    <row r="178" spans="1:15" s="321" customFormat="1" ht="12.1" customHeight="1" outlineLevel="1">
      <c r="A178" s="313"/>
      <c r="B178" s="317" t="str">
        <f t="shared" si="10"/>
        <v/>
      </c>
      <c r="C178" s="323"/>
      <c r="F178" s="40"/>
      <c r="G178" s="314"/>
      <c r="H178" s="320"/>
      <c r="I178" s="313"/>
      <c r="J178" s="40"/>
      <c r="K178" s="314"/>
      <c r="L178" s="314"/>
      <c r="M178" s="314"/>
      <c r="N178" s="315"/>
      <c r="O178" s="321" t="s">
        <v>250</v>
      </c>
    </row>
    <row r="179" spans="1:15" s="321" customFormat="1" ht="107.35" customHeight="1" outlineLevel="1">
      <c r="A179" s="317">
        <v>257</v>
      </c>
      <c r="B179" s="317" t="str">
        <f t="shared" si="10"/>
        <v>IVF257</v>
      </c>
      <c r="C179" s="318" t="s">
        <v>7</v>
      </c>
      <c r="D179" s="317">
        <v>20</v>
      </c>
      <c r="E179" s="319" t="s">
        <v>12</v>
      </c>
      <c r="F179" s="5">
        <v>4670</v>
      </c>
      <c r="G179" s="314">
        <f>ROUND(D179*F179,0)</f>
        <v>93400</v>
      </c>
      <c r="H179" s="320">
        <v>0</v>
      </c>
      <c r="I179" s="313" t="s">
        <v>12</v>
      </c>
      <c r="J179" s="40">
        <f>F179</f>
        <v>4670</v>
      </c>
      <c r="K179" s="314"/>
      <c r="L179" s="314">
        <f t="shared" si="11"/>
        <v>0</v>
      </c>
      <c r="M179" s="314">
        <f t="shared" si="12"/>
        <v>93400</v>
      </c>
      <c r="N179" s="315" t="s">
        <v>393</v>
      </c>
      <c r="O179" s="321" t="s">
        <v>250</v>
      </c>
    </row>
    <row r="180" spans="1:15" s="321" customFormat="1" ht="12.1" customHeight="1" outlineLevel="1">
      <c r="A180" s="313"/>
      <c r="B180" s="317" t="str">
        <f t="shared" si="10"/>
        <v/>
      </c>
      <c r="F180" s="40"/>
      <c r="G180" s="314"/>
      <c r="H180" s="320"/>
      <c r="I180" s="313"/>
      <c r="J180" s="40"/>
      <c r="K180" s="314"/>
      <c r="L180" s="314">
        <f t="shared" si="11"/>
        <v>0</v>
      </c>
      <c r="M180" s="314">
        <f t="shared" si="12"/>
        <v>0</v>
      </c>
      <c r="N180" s="315"/>
      <c r="O180" s="321" t="s">
        <v>250</v>
      </c>
    </row>
    <row r="181" spans="1:15" s="321" customFormat="1" ht="226.9" customHeight="1" outlineLevel="1">
      <c r="A181" s="334">
        <v>258</v>
      </c>
      <c r="B181" s="334" t="str">
        <f t="shared" si="10"/>
        <v>IVF258</v>
      </c>
      <c r="C181" s="335" t="s">
        <v>8</v>
      </c>
      <c r="D181" s="334">
        <v>5</v>
      </c>
      <c r="E181" s="336" t="s">
        <v>12</v>
      </c>
      <c r="F181" s="256">
        <v>13713</v>
      </c>
      <c r="G181" s="337">
        <f>ROUND(D181*F181,0)</f>
        <v>68565</v>
      </c>
      <c r="H181" s="338">
        <v>0</v>
      </c>
      <c r="I181" s="339" t="s">
        <v>12</v>
      </c>
      <c r="J181" s="340">
        <f>F181</f>
        <v>13713</v>
      </c>
      <c r="K181" s="337"/>
      <c r="L181" s="337">
        <f t="shared" si="11"/>
        <v>0</v>
      </c>
      <c r="M181" s="337">
        <f t="shared" si="12"/>
        <v>68565</v>
      </c>
      <c r="N181" s="303" t="s">
        <v>306</v>
      </c>
      <c r="O181" s="321" t="s">
        <v>250</v>
      </c>
    </row>
    <row r="182" spans="1:15" s="321" customFormat="1" ht="261" customHeight="1" outlineLevel="1">
      <c r="A182" s="334"/>
      <c r="B182" s="334"/>
      <c r="C182" s="335"/>
      <c r="D182" s="334"/>
      <c r="E182" s="336"/>
      <c r="F182" s="256"/>
      <c r="G182" s="337"/>
      <c r="H182" s="338"/>
      <c r="I182" s="339"/>
      <c r="J182" s="340"/>
      <c r="K182" s="337"/>
      <c r="L182" s="337"/>
      <c r="M182" s="337"/>
      <c r="N182" s="303"/>
      <c r="O182" s="321" t="s">
        <v>250</v>
      </c>
    </row>
    <row r="183" spans="1:15" s="321" customFormat="1" ht="12.1" customHeight="1" outlineLevel="1">
      <c r="A183" s="313"/>
      <c r="B183" s="317" t="str">
        <f t="shared" si="10"/>
        <v/>
      </c>
      <c r="F183" s="40"/>
      <c r="G183" s="314"/>
      <c r="H183" s="320"/>
      <c r="I183" s="313"/>
      <c r="J183" s="40"/>
      <c r="K183" s="314"/>
      <c r="L183" s="314">
        <f t="shared" si="11"/>
        <v>0</v>
      </c>
      <c r="M183" s="314">
        <f t="shared" si="12"/>
        <v>0</v>
      </c>
      <c r="N183" s="315"/>
      <c r="O183" s="321" t="s">
        <v>250</v>
      </c>
    </row>
    <row r="184" spans="1:15" s="321" customFormat="1" ht="409.6" customHeight="1" outlineLevel="1">
      <c r="A184" s="317">
        <v>259</v>
      </c>
      <c r="B184" s="317" t="str">
        <f t="shared" si="10"/>
        <v>IVF259</v>
      </c>
      <c r="C184" s="318" t="s">
        <v>174</v>
      </c>
      <c r="D184" s="317">
        <v>15</v>
      </c>
      <c r="E184" s="319" t="s">
        <v>12</v>
      </c>
      <c r="F184" s="5">
        <v>9517</v>
      </c>
      <c r="G184" s="314">
        <f>ROUND(D184*F184,0)</f>
        <v>142755</v>
      </c>
      <c r="H184" s="320">
        <v>15</v>
      </c>
      <c r="I184" s="313" t="s">
        <v>12</v>
      </c>
      <c r="J184" s="40">
        <f>F184</f>
        <v>9517</v>
      </c>
      <c r="K184" s="314">
        <f>ROUND(H184*J184,0)</f>
        <v>142755</v>
      </c>
      <c r="L184" s="314">
        <f t="shared" si="11"/>
        <v>0</v>
      </c>
      <c r="M184" s="314">
        <f t="shared" si="12"/>
        <v>0</v>
      </c>
      <c r="N184" s="332" t="s">
        <v>304</v>
      </c>
      <c r="O184" s="321" t="s">
        <v>250</v>
      </c>
    </row>
    <row r="185" spans="1:15" s="321" customFormat="1" outlineLevel="1">
      <c r="A185" s="313"/>
      <c r="B185" s="317" t="str">
        <f t="shared" si="10"/>
        <v/>
      </c>
      <c r="C185" s="327" t="s">
        <v>30</v>
      </c>
      <c r="F185" s="40"/>
      <c r="G185" s="314"/>
      <c r="H185" s="320">
        <f>39.8-H184</f>
        <v>24.799999999999997</v>
      </c>
      <c r="I185" s="313" t="s">
        <v>12</v>
      </c>
      <c r="J185" s="40">
        <f>F184</f>
        <v>9517</v>
      </c>
      <c r="K185" s="314">
        <f>ROUND(H185*J185,0)</f>
        <v>236022</v>
      </c>
      <c r="L185" s="314">
        <f t="shared" si="11"/>
        <v>236022</v>
      </c>
      <c r="M185" s="314">
        <f t="shared" si="12"/>
        <v>0</v>
      </c>
      <c r="N185" s="332"/>
      <c r="O185" s="321" t="s">
        <v>250</v>
      </c>
    </row>
    <row r="186" spans="1:15" s="321" customFormat="1" outlineLevel="1">
      <c r="A186" s="313"/>
      <c r="B186" s="317" t="str">
        <f t="shared" si="10"/>
        <v/>
      </c>
      <c r="C186" s="323" t="s">
        <v>348</v>
      </c>
      <c r="F186" s="40"/>
      <c r="G186" s="314"/>
      <c r="H186" s="320"/>
      <c r="I186" s="313"/>
      <c r="J186" s="40"/>
      <c r="K186" s="314"/>
      <c r="L186" s="314"/>
      <c r="M186" s="314"/>
      <c r="N186" s="315"/>
      <c r="O186" s="321" t="s">
        <v>250</v>
      </c>
    </row>
    <row r="187" spans="1:15" s="321" customFormat="1" ht="12.1" customHeight="1" outlineLevel="1">
      <c r="A187" s="313"/>
      <c r="B187" s="317" t="str">
        <f t="shared" si="10"/>
        <v/>
      </c>
      <c r="C187" s="323"/>
      <c r="F187" s="40"/>
      <c r="G187" s="314"/>
      <c r="H187" s="320"/>
      <c r="I187" s="313"/>
      <c r="J187" s="40"/>
      <c r="K187" s="314"/>
      <c r="L187" s="314"/>
      <c r="M187" s="314"/>
      <c r="N187" s="315"/>
      <c r="O187" s="321" t="s">
        <v>250</v>
      </c>
    </row>
    <row r="188" spans="1:15" s="321" customFormat="1" ht="364.6" customHeight="1" outlineLevel="1">
      <c r="A188" s="317">
        <v>260</v>
      </c>
      <c r="B188" s="317" t="str">
        <f t="shared" si="10"/>
        <v>IVF260</v>
      </c>
      <c r="C188" s="318" t="s">
        <v>422</v>
      </c>
      <c r="D188" s="317">
        <v>5</v>
      </c>
      <c r="E188" s="319" t="s">
        <v>12</v>
      </c>
      <c r="F188" s="5">
        <v>8564</v>
      </c>
      <c r="G188" s="314">
        <f>ROUND(D188*F188,0)</f>
        <v>42820</v>
      </c>
      <c r="H188" s="320">
        <v>1.96</v>
      </c>
      <c r="I188" s="313" t="s">
        <v>12</v>
      </c>
      <c r="J188" s="40">
        <f>F188</f>
        <v>8564</v>
      </c>
      <c r="K188" s="314">
        <f>ROUND(H188*J188,0)</f>
        <v>16785</v>
      </c>
      <c r="L188" s="314">
        <f t="shared" si="11"/>
        <v>0</v>
      </c>
      <c r="M188" s="314">
        <f t="shared" si="12"/>
        <v>26035</v>
      </c>
      <c r="N188" s="315" t="s">
        <v>305</v>
      </c>
      <c r="O188" s="321" t="s">
        <v>250</v>
      </c>
    </row>
    <row r="189" spans="1:15" s="321" customFormat="1" outlineLevel="1">
      <c r="A189" s="317"/>
      <c r="B189" s="317" t="str">
        <f t="shared" si="10"/>
        <v/>
      </c>
      <c r="C189" s="322" t="s">
        <v>348</v>
      </c>
      <c r="D189" s="317"/>
      <c r="E189" s="319"/>
      <c r="F189" s="5"/>
      <c r="G189" s="314"/>
      <c r="H189" s="320"/>
      <c r="I189" s="313"/>
      <c r="J189" s="40"/>
      <c r="K189" s="314"/>
      <c r="L189" s="314"/>
      <c r="M189" s="314"/>
      <c r="N189" s="315"/>
      <c r="O189" s="321" t="s">
        <v>250</v>
      </c>
    </row>
    <row r="190" spans="1:15" s="321" customFormat="1" ht="12.1" customHeight="1" outlineLevel="1">
      <c r="A190" s="313"/>
      <c r="B190" s="317" t="str">
        <f t="shared" si="10"/>
        <v/>
      </c>
      <c r="F190" s="40"/>
      <c r="G190" s="314"/>
      <c r="H190" s="320"/>
      <c r="I190" s="313"/>
      <c r="J190" s="40"/>
      <c r="K190" s="314"/>
      <c r="L190" s="314">
        <f t="shared" si="11"/>
        <v>0</v>
      </c>
      <c r="M190" s="314">
        <f t="shared" si="12"/>
        <v>0</v>
      </c>
      <c r="N190" s="315"/>
      <c r="O190" s="321" t="s">
        <v>250</v>
      </c>
    </row>
    <row r="191" spans="1:15" s="321" customFormat="1" ht="360.7" customHeight="1" outlineLevel="1">
      <c r="A191" s="317">
        <v>261</v>
      </c>
      <c r="B191" s="317" t="str">
        <f t="shared" si="10"/>
        <v>IVF261</v>
      </c>
      <c r="C191" s="318" t="s">
        <v>419</v>
      </c>
      <c r="D191" s="317">
        <v>35</v>
      </c>
      <c r="E191" s="319" t="s">
        <v>12</v>
      </c>
      <c r="F191" s="5">
        <v>5593</v>
      </c>
      <c r="G191" s="314">
        <f>ROUND(D191*F191,0)</f>
        <v>195755</v>
      </c>
      <c r="H191" s="320">
        <v>0</v>
      </c>
      <c r="I191" s="313" t="s">
        <v>12</v>
      </c>
      <c r="J191" s="40">
        <f>F191</f>
        <v>5593</v>
      </c>
      <c r="K191" s="314"/>
      <c r="L191" s="314">
        <f t="shared" si="11"/>
        <v>0</v>
      </c>
      <c r="M191" s="314">
        <f t="shared" si="12"/>
        <v>195755</v>
      </c>
      <c r="N191" s="315" t="s">
        <v>306</v>
      </c>
      <c r="O191" s="321" t="s">
        <v>250</v>
      </c>
    </row>
    <row r="192" spans="1:15" s="321" customFormat="1" ht="12.1" customHeight="1" outlineLevel="1">
      <c r="A192" s="313"/>
      <c r="B192" s="317" t="str">
        <f t="shared" si="10"/>
        <v/>
      </c>
      <c r="F192" s="40"/>
      <c r="G192" s="314"/>
      <c r="H192" s="320"/>
      <c r="I192" s="313"/>
      <c r="J192" s="40"/>
      <c r="K192" s="314"/>
      <c r="L192" s="314">
        <f t="shared" si="11"/>
        <v>0</v>
      </c>
      <c r="M192" s="314">
        <f t="shared" si="12"/>
        <v>0</v>
      </c>
      <c r="N192" s="315"/>
      <c r="O192" s="321" t="s">
        <v>250</v>
      </c>
    </row>
    <row r="193" spans="1:16" s="321" customFormat="1" ht="374.45" customHeight="1" outlineLevel="1">
      <c r="A193" s="317">
        <v>262</v>
      </c>
      <c r="B193" s="317" t="str">
        <f t="shared" si="10"/>
        <v>IVF262</v>
      </c>
      <c r="C193" s="318" t="s">
        <v>420</v>
      </c>
      <c r="D193" s="317">
        <v>10</v>
      </c>
      <c r="E193" s="319" t="s">
        <v>12</v>
      </c>
      <c r="F193" s="5">
        <v>6502</v>
      </c>
      <c r="G193" s="314">
        <f>ROUND(D193*F193,0)</f>
        <v>65020</v>
      </c>
      <c r="H193" s="320">
        <v>0</v>
      </c>
      <c r="I193" s="313" t="s">
        <v>12</v>
      </c>
      <c r="J193" s="40">
        <f>F193</f>
        <v>6502</v>
      </c>
      <c r="K193" s="314"/>
      <c r="L193" s="314">
        <f t="shared" si="11"/>
        <v>0</v>
      </c>
      <c r="M193" s="314">
        <f t="shared" si="12"/>
        <v>65020</v>
      </c>
      <c r="N193" s="315" t="s">
        <v>306</v>
      </c>
      <c r="O193" s="321" t="s">
        <v>250</v>
      </c>
    </row>
    <row r="194" spans="1:16" s="321" customFormat="1" ht="12.1" customHeight="1" outlineLevel="1">
      <c r="A194" s="313"/>
      <c r="B194" s="317" t="str">
        <f t="shared" si="10"/>
        <v/>
      </c>
      <c r="F194" s="40"/>
      <c r="G194" s="314"/>
      <c r="H194" s="320"/>
      <c r="I194" s="313"/>
      <c r="J194" s="40"/>
      <c r="K194" s="314"/>
      <c r="L194" s="314">
        <f t="shared" si="11"/>
        <v>0</v>
      </c>
      <c r="M194" s="314">
        <f t="shared" si="12"/>
        <v>0</v>
      </c>
      <c r="N194" s="315"/>
      <c r="O194" s="321" t="s">
        <v>250</v>
      </c>
    </row>
    <row r="195" spans="1:16" s="321" customFormat="1" ht="363.1" customHeight="1" outlineLevel="1">
      <c r="A195" s="317">
        <v>263</v>
      </c>
      <c r="B195" s="317" t="str">
        <f t="shared" si="10"/>
        <v>IVF263</v>
      </c>
      <c r="C195" s="318" t="s">
        <v>421</v>
      </c>
      <c r="D195" s="317">
        <v>360</v>
      </c>
      <c r="E195" s="319" t="s">
        <v>12</v>
      </c>
      <c r="F195" s="5">
        <v>1593</v>
      </c>
      <c r="G195" s="314">
        <f>ROUND(D195*F195,0)</f>
        <v>573480</v>
      </c>
      <c r="H195" s="320">
        <v>294.66000000000003</v>
      </c>
      <c r="I195" s="313" t="s">
        <v>12</v>
      </c>
      <c r="J195" s="40">
        <f>F195</f>
        <v>1593</v>
      </c>
      <c r="K195" s="314">
        <f>ROUND(H195*J195,0)</f>
        <v>469393</v>
      </c>
      <c r="L195" s="314">
        <f t="shared" si="11"/>
        <v>0</v>
      </c>
      <c r="M195" s="314">
        <f t="shared" si="12"/>
        <v>104087</v>
      </c>
      <c r="N195" s="315" t="s">
        <v>305</v>
      </c>
      <c r="O195" s="321" t="s">
        <v>250</v>
      </c>
    </row>
    <row r="196" spans="1:16" s="321" customFormat="1" outlineLevel="1">
      <c r="A196" s="317"/>
      <c r="B196" s="317" t="str">
        <f t="shared" si="10"/>
        <v/>
      </c>
      <c r="C196" s="322" t="s">
        <v>332</v>
      </c>
      <c r="D196" s="317"/>
      <c r="E196" s="319"/>
      <c r="F196" s="5"/>
      <c r="G196" s="314"/>
      <c r="H196" s="320"/>
      <c r="I196" s="313"/>
      <c r="J196" s="40"/>
      <c r="K196" s="314"/>
      <c r="L196" s="314"/>
      <c r="M196" s="314"/>
      <c r="N196" s="315"/>
      <c r="O196" s="321" t="s">
        <v>250</v>
      </c>
    </row>
    <row r="197" spans="1:16" s="321" customFormat="1" ht="12.1" customHeight="1" outlineLevel="1">
      <c r="A197" s="313"/>
      <c r="B197" s="317" t="str">
        <f t="shared" si="10"/>
        <v/>
      </c>
      <c r="C197" s="323"/>
      <c r="F197" s="40"/>
      <c r="G197" s="314"/>
      <c r="H197" s="320"/>
      <c r="I197" s="313"/>
      <c r="J197" s="40"/>
      <c r="K197" s="314"/>
      <c r="L197" s="314">
        <f t="shared" si="11"/>
        <v>0</v>
      </c>
      <c r="M197" s="314">
        <f t="shared" si="12"/>
        <v>0</v>
      </c>
      <c r="N197" s="315"/>
      <c r="O197" s="321" t="s">
        <v>250</v>
      </c>
    </row>
    <row r="198" spans="1:16" s="321" customFormat="1" ht="231.65" customHeight="1" outlineLevel="1">
      <c r="A198" s="317">
        <v>264</v>
      </c>
      <c r="B198" s="317" t="str">
        <f t="shared" si="10"/>
        <v>IVF264</v>
      </c>
      <c r="C198" s="318" t="s">
        <v>97</v>
      </c>
      <c r="D198" s="317">
        <v>12</v>
      </c>
      <c r="E198" s="319" t="s">
        <v>12</v>
      </c>
      <c r="F198" s="5">
        <v>1395</v>
      </c>
      <c r="G198" s="314">
        <f>ROUND(D198*F198,0)</f>
        <v>16740</v>
      </c>
      <c r="H198" s="320">
        <v>12</v>
      </c>
      <c r="I198" s="313" t="s">
        <v>12</v>
      </c>
      <c r="J198" s="40">
        <f>F198</f>
        <v>1395</v>
      </c>
      <c r="K198" s="314">
        <f>ROUND(H198*J198,0)</f>
        <v>16740</v>
      </c>
      <c r="L198" s="314">
        <f t="shared" si="11"/>
        <v>0</v>
      </c>
      <c r="M198" s="314">
        <f t="shared" si="12"/>
        <v>0</v>
      </c>
      <c r="N198" s="332" t="s">
        <v>304</v>
      </c>
      <c r="O198" s="321" t="s">
        <v>250</v>
      </c>
    </row>
    <row r="199" spans="1:16" s="321" customFormat="1" outlineLevel="1">
      <c r="A199" s="313"/>
      <c r="B199" s="317" t="str">
        <f t="shared" si="10"/>
        <v/>
      </c>
      <c r="C199" s="327" t="s">
        <v>30</v>
      </c>
      <c r="F199" s="40"/>
      <c r="G199" s="314"/>
      <c r="H199" s="320">
        <v>0.93</v>
      </c>
      <c r="I199" s="313" t="s">
        <v>12</v>
      </c>
      <c r="J199" s="40">
        <f>F198</f>
        <v>1395</v>
      </c>
      <c r="K199" s="314">
        <f>ROUND(H199*J199,0)</f>
        <v>1297</v>
      </c>
      <c r="L199" s="314">
        <f t="shared" si="11"/>
        <v>1297</v>
      </c>
      <c r="M199" s="314">
        <f t="shared" si="12"/>
        <v>0</v>
      </c>
      <c r="N199" s="332"/>
      <c r="O199" s="321" t="s">
        <v>250</v>
      </c>
    </row>
    <row r="200" spans="1:16" s="321" customFormat="1" outlineLevel="1">
      <c r="A200" s="313"/>
      <c r="B200" s="317" t="str">
        <f t="shared" si="10"/>
        <v/>
      </c>
      <c r="C200" s="323" t="s">
        <v>351</v>
      </c>
      <c r="F200" s="40"/>
      <c r="G200" s="314"/>
      <c r="H200" s="320"/>
      <c r="I200" s="313"/>
      <c r="J200" s="40"/>
      <c r="K200" s="314"/>
      <c r="L200" s="314"/>
      <c r="M200" s="314"/>
      <c r="N200" s="315"/>
      <c r="O200" s="321" t="s">
        <v>250</v>
      </c>
    </row>
    <row r="201" spans="1:16" s="321" customFormat="1" ht="12.1" customHeight="1" outlineLevel="1">
      <c r="A201" s="313"/>
      <c r="B201" s="317" t="str">
        <f t="shared" si="10"/>
        <v/>
      </c>
      <c r="C201" s="323"/>
      <c r="F201" s="40"/>
      <c r="G201" s="314"/>
      <c r="H201" s="320"/>
      <c r="I201" s="313"/>
      <c r="J201" s="40"/>
      <c r="K201" s="314"/>
      <c r="L201" s="314"/>
      <c r="M201" s="314"/>
      <c r="N201" s="315"/>
      <c r="O201" s="321" t="s">
        <v>250</v>
      </c>
    </row>
    <row r="202" spans="1:16" s="321" customFormat="1" ht="347.3" customHeight="1" outlineLevel="1">
      <c r="A202" s="317">
        <v>265</v>
      </c>
      <c r="B202" s="317" t="str">
        <f t="shared" ref="B202:B265" si="13">IF(ISBLANK(A202), "","IVF"&amp;A202)</f>
        <v>IVF265</v>
      </c>
      <c r="C202" s="318" t="s">
        <v>423</v>
      </c>
      <c r="D202" s="317">
        <v>300</v>
      </c>
      <c r="E202" s="319" t="s">
        <v>12</v>
      </c>
      <c r="F202" s="5">
        <v>1636</v>
      </c>
      <c r="G202" s="314">
        <f>ROUND(D202*F202,0)</f>
        <v>490800</v>
      </c>
      <c r="H202" s="320">
        <v>300</v>
      </c>
      <c r="I202" s="313" t="s">
        <v>12</v>
      </c>
      <c r="J202" s="40">
        <f>F202</f>
        <v>1636</v>
      </c>
      <c r="K202" s="314">
        <f>ROUND(H202*J202,0)</f>
        <v>490800</v>
      </c>
      <c r="L202" s="314">
        <f t="shared" si="11"/>
        <v>0</v>
      </c>
      <c r="M202" s="314">
        <f t="shared" si="12"/>
        <v>0</v>
      </c>
      <c r="N202" s="332" t="s">
        <v>304</v>
      </c>
      <c r="O202" s="321" t="s">
        <v>250</v>
      </c>
    </row>
    <row r="203" spans="1:16" s="321" customFormat="1" outlineLevel="1">
      <c r="A203" s="313"/>
      <c r="B203" s="317" t="str">
        <f t="shared" si="13"/>
        <v/>
      </c>
      <c r="C203" s="327" t="s">
        <v>30</v>
      </c>
      <c r="F203" s="40"/>
      <c r="G203" s="314"/>
      <c r="H203" s="320">
        <f>438.85-H202</f>
        <v>138.85000000000002</v>
      </c>
      <c r="I203" s="313" t="s">
        <v>12</v>
      </c>
      <c r="J203" s="40">
        <f>F202</f>
        <v>1636</v>
      </c>
      <c r="K203" s="314">
        <f>ROUND(H203*J203,0)</f>
        <v>227159</v>
      </c>
      <c r="L203" s="314">
        <f t="shared" si="11"/>
        <v>227159</v>
      </c>
      <c r="M203" s="314">
        <f t="shared" si="12"/>
        <v>0</v>
      </c>
      <c r="N203" s="332"/>
      <c r="O203" s="321" t="s">
        <v>250</v>
      </c>
    </row>
    <row r="204" spans="1:16" s="321" customFormat="1" outlineLevel="1">
      <c r="A204" s="313"/>
      <c r="B204" s="317" t="str">
        <f t="shared" si="13"/>
        <v/>
      </c>
      <c r="C204" s="323" t="s">
        <v>353</v>
      </c>
      <c r="F204" s="40"/>
      <c r="G204" s="314"/>
      <c r="H204" s="320"/>
      <c r="I204" s="313"/>
      <c r="J204" s="40"/>
      <c r="K204" s="314"/>
      <c r="L204" s="314"/>
      <c r="M204" s="314"/>
      <c r="N204" s="315"/>
      <c r="O204" s="321" t="s">
        <v>250</v>
      </c>
    </row>
    <row r="205" spans="1:16" s="321" customFormat="1" ht="12.1" customHeight="1" outlineLevel="1">
      <c r="A205" s="313"/>
      <c r="B205" s="317" t="str">
        <f t="shared" si="13"/>
        <v/>
      </c>
      <c r="C205" s="323"/>
      <c r="F205" s="40"/>
      <c r="G205" s="314"/>
      <c r="H205" s="320"/>
      <c r="I205" s="313"/>
      <c r="J205" s="40"/>
      <c r="K205" s="314"/>
      <c r="L205" s="314"/>
      <c r="M205" s="314"/>
      <c r="N205" s="315"/>
      <c r="O205" s="321" t="s">
        <v>250</v>
      </c>
    </row>
    <row r="206" spans="1:16" s="321" customFormat="1" ht="275.3" customHeight="1" outlineLevel="1">
      <c r="A206" s="317">
        <v>266</v>
      </c>
      <c r="B206" s="317" t="str">
        <f t="shared" si="13"/>
        <v>IVF266</v>
      </c>
      <c r="C206" s="318" t="s">
        <v>424</v>
      </c>
      <c r="D206" s="317">
        <v>30</v>
      </c>
      <c r="E206" s="319" t="s">
        <v>12</v>
      </c>
      <c r="F206" s="5">
        <v>1391</v>
      </c>
      <c r="G206" s="314">
        <f>ROUND(D206*F206,0)</f>
        <v>41730</v>
      </c>
      <c r="H206" s="320">
        <v>30</v>
      </c>
      <c r="I206" s="313" t="s">
        <v>12</v>
      </c>
      <c r="J206" s="40">
        <f>F206</f>
        <v>1391</v>
      </c>
      <c r="K206" s="314">
        <f>ROUND(H206*J206,0)</f>
        <v>41730</v>
      </c>
      <c r="L206" s="314">
        <f t="shared" si="11"/>
        <v>0</v>
      </c>
      <c r="M206" s="314">
        <f t="shared" si="12"/>
        <v>0</v>
      </c>
      <c r="N206" s="332" t="s">
        <v>408</v>
      </c>
      <c r="O206" s="321" t="s">
        <v>250</v>
      </c>
      <c r="P206" s="321">
        <f>258.54-30</f>
        <v>228.54000000000002</v>
      </c>
    </row>
    <row r="207" spans="1:16" s="321" customFormat="1" outlineLevel="1">
      <c r="A207" s="313"/>
      <c r="B207" s="317" t="str">
        <f t="shared" si="13"/>
        <v/>
      </c>
      <c r="C207" s="327" t="s">
        <v>30</v>
      </c>
      <c r="F207" s="40"/>
      <c r="G207" s="314"/>
      <c r="H207" s="320">
        <v>228.54</v>
      </c>
      <c r="I207" s="313" t="s">
        <v>12</v>
      </c>
      <c r="J207" s="40">
        <f>J206</f>
        <v>1391</v>
      </c>
      <c r="K207" s="314">
        <f>ROUND(H207*J207,0)</f>
        <v>317899</v>
      </c>
      <c r="L207" s="314">
        <f t="shared" si="11"/>
        <v>317899</v>
      </c>
      <c r="M207" s="314">
        <f t="shared" si="12"/>
        <v>0</v>
      </c>
      <c r="N207" s="332"/>
      <c r="O207" s="321" t="s">
        <v>250</v>
      </c>
    </row>
    <row r="208" spans="1:16" s="321" customFormat="1" outlineLevel="1">
      <c r="A208" s="313"/>
      <c r="B208" s="317" t="str">
        <f t="shared" si="13"/>
        <v/>
      </c>
      <c r="C208" s="323" t="s">
        <v>333</v>
      </c>
      <c r="F208" s="40"/>
      <c r="G208" s="314"/>
      <c r="H208" s="320"/>
      <c r="I208" s="313"/>
      <c r="J208" s="40"/>
      <c r="K208" s="314"/>
      <c r="L208" s="314"/>
      <c r="M208" s="314"/>
      <c r="N208" s="315"/>
      <c r="O208" s="321" t="s">
        <v>250</v>
      </c>
    </row>
    <row r="209" spans="1:16" s="321" customFormat="1" ht="12.1" customHeight="1" outlineLevel="1">
      <c r="A209" s="313"/>
      <c r="B209" s="317" t="str">
        <f t="shared" si="13"/>
        <v/>
      </c>
      <c r="C209" s="323"/>
      <c r="F209" s="40"/>
      <c r="G209" s="314"/>
      <c r="H209" s="320"/>
      <c r="I209" s="313"/>
      <c r="J209" s="40"/>
      <c r="K209" s="314"/>
      <c r="L209" s="314"/>
      <c r="M209" s="314"/>
      <c r="N209" s="315"/>
      <c r="O209" s="321" t="s">
        <v>250</v>
      </c>
    </row>
    <row r="210" spans="1:16" s="321" customFormat="1" ht="243.7" customHeight="1" outlineLevel="1">
      <c r="A210" s="317">
        <v>267</v>
      </c>
      <c r="B210" s="317" t="str">
        <f t="shared" si="13"/>
        <v>IVF267</v>
      </c>
      <c r="C210" s="318" t="s">
        <v>98</v>
      </c>
      <c r="D210" s="317">
        <v>975</v>
      </c>
      <c r="E210" s="319" t="s">
        <v>12</v>
      </c>
      <c r="F210" s="5">
        <v>315</v>
      </c>
      <c r="G210" s="314">
        <f>ROUND(D210*F210,0)</f>
        <v>307125</v>
      </c>
      <c r="H210" s="320">
        <v>975</v>
      </c>
      <c r="I210" s="313" t="s">
        <v>12</v>
      </c>
      <c r="J210" s="40">
        <f>F210</f>
        <v>315</v>
      </c>
      <c r="K210" s="314">
        <f>ROUND(H210*J210,0)</f>
        <v>307125</v>
      </c>
      <c r="L210" s="314">
        <f t="shared" si="11"/>
        <v>0</v>
      </c>
      <c r="M210" s="314">
        <f t="shared" si="12"/>
        <v>0</v>
      </c>
      <c r="N210" s="332" t="s">
        <v>304</v>
      </c>
      <c r="O210" s="321" t="s">
        <v>250</v>
      </c>
    </row>
    <row r="211" spans="1:16" s="321" customFormat="1" outlineLevel="1">
      <c r="A211" s="313"/>
      <c r="B211" s="317" t="str">
        <f t="shared" si="13"/>
        <v/>
      </c>
      <c r="C211" s="327" t="s">
        <v>30</v>
      </c>
      <c r="F211" s="40"/>
      <c r="G211" s="314"/>
      <c r="H211" s="320">
        <f>1448.95-H210</f>
        <v>473.95000000000005</v>
      </c>
      <c r="I211" s="313" t="s">
        <v>12</v>
      </c>
      <c r="J211" s="40">
        <f>J210</f>
        <v>315</v>
      </c>
      <c r="K211" s="314">
        <f>ROUND(H211*J211,0)</f>
        <v>149294</v>
      </c>
      <c r="L211" s="314">
        <f t="shared" si="11"/>
        <v>149294</v>
      </c>
      <c r="M211" s="314">
        <f t="shared" si="12"/>
        <v>0</v>
      </c>
      <c r="N211" s="332"/>
      <c r="O211" s="321" t="s">
        <v>250</v>
      </c>
    </row>
    <row r="212" spans="1:16" s="321" customFormat="1" outlineLevel="1">
      <c r="A212" s="313"/>
      <c r="B212" s="317" t="str">
        <f t="shared" si="13"/>
        <v/>
      </c>
      <c r="C212" s="323" t="s">
        <v>352</v>
      </c>
      <c r="F212" s="40"/>
      <c r="G212" s="314"/>
      <c r="H212" s="320"/>
      <c r="I212" s="313"/>
      <c r="J212" s="40"/>
      <c r="K212" s="314"/>
      <c r="L212" s="314"/>
      <c r="M212" s="314"/>
      <c r="N212" s="315"/>
      <c r="O212" s="321" t="s">
        <v>250</v>
      </c>
    </row>
    <row r="213" spans="1:16" s="321" customFormat="1" ht="12.1" customHeight="1" outlineLevel="1">
      <c r="A213" s="313"/>
      <c r="B213" s="317" t="str">
        <f t="shared" si="13"/>
        <v/>
      </c>
      <c r="C213" s="323"/>
      <c r="F213" s="40"/>
      <c r="G213" s="314"/>
      <c r="H213" s="320"/>
      <c r="I213" s="313"/>
      <c r="J213" s="40"/>
      <c r="K213" s="314"/>
      <c r="L213" s="314"/>
      <c r="M213" s="314"/>
      <c r="N213" s="315"/>
      <c r="O213" s="321" t="s">
        <v>250</v>
      </c>
    </row>
    <row r="214" spans="1:16" s="321" customFormat="1" ht="171.7" customHeight="1" outlineLevel="1">
      <c r="A214" s="317">
        <v>268</v>
      </c>
      <c r="B214" s="317" t="str">
        <f t="shared" si="13"/>
        <v>IVF268</v>
      </c>
      <c r="C214" s="318" t="s">
        <v>25</v>
      </c>
      <c r="D214" s="317">
        <v>80</v>
      </c>
      <c r="E214" s="319" t="s">
        <v>12</v>
      </c>
      <c r="F214" s="5">
        <v>281</v>
      </c>
      <c r="G214" s="314">
        <f>ROUND(D214*F214,0)</f>
        <v>22480</v>
      </c>
      <c r="H214" s="320">
        <v>0</v>
      </c>
      <c r="I214" s="313" t="s">
        <v>12</v>
      </c>
      <c r="J214" s="40">
        <f>F214</f>
        <v>281</v>
      </c>
      <c r="K214" s="314"/>
      <c r="L214" s="314">
        <f t="shared" si="11"/>
        <v>0</v>
      </c>
      <c r="M214" s="314">
        <f t="shared" si="12"/>
        <v>22480</v>
      </c>
      <c r="N214" s="315" t="s">
        <v>307</v>
      </c>
      <c r="O214" s="321" t="s">
        <v>250</v>
      </c>
    </row>
    <row r="215" spans="1:16" s="321" customFormat="1" ht="12.1" customHeight="1" outlineLevel="1">
      <c r="A215" s="313"/>
      <c r="B215" s="317" t="str">
        <f t="shared" si="13"/>
        <v/>
      </c>
      <c r="F215" s="40"/>
      <c r="G215" s="314"/>
      <c r="H215" s="320"/>
      <c r="I215" s="313"/>
      <c r="J215" s="40"/>
      <c r="K215" s="314"/>
      <c r="L215" s="314">
        <f t="shared" si="11"/>
        <v>0</v>
      </c>
      <c r="M215" s="314">
        <f t="shared" si="12"/>
        <v>0</v>
      </c>
      <c r="N215" s="315"/>
      <c r="O215" s="321" t="s">
        <v>250</v>
      </c>
    </row>
    <row r="216" spans="1:16" s="321" customFormat="1" ht="156.1" customHeight="1" outlineLevel="1">
      <c r="A216" s="317">
        <v>269</v>
      </c>
      <c r="B216" s="317" t="str">
        <f t="shared" si="13"/>
        <v>IVF269</v>
      </c>
      <c r="C216" s="318" t="s">
        <v>99</v>
      </c>
      <c r="D216" s="317">
        <v>975</v>
      </c>
      <c r="E216" s="319" t="s">
        <v>12</v>
      </c>
      <c r="F216" s="5">
        <v>259</v>
      </c>
      <c r="G216" s="314">
        <f>ROUND(D216*F216,0)</f>
        <v>252525</v>
      </c>
      <c r="H216" s="320">
        <v>975</v>
      </c>
      <c r="I216" s="313" t="s">
        <v>12</v>
      </c>
      <c r="J216" s="40">
        <f>F216</f>
        <v>259</v>
      </c>
      <c r="K216" s="314">
        <f>ROUND(H216*J216,0)</f>
        <v>252525</v>
      </c>
      <c r="L216" s="314">
        <f t="shared" si="11"/>
        <v>0</v>
      </c>
      <c r="M216" s="314">
        <f t="shared" si="12"/>
        <v>0</v>
      </c>
      <c r="N216" s="332" t="s">
        <v>304</v>
      </c>
      <c r="O216" s="321" t="s">
        <v>250</v>
      </c>
    </row>
    <row r="217" spans="1:16" s="321" customFormat="1" outlineLevel="1">
      <c r="A217" s="313"/>
      <c r="B217" s="317" t="str">
        <f t="shared" si="13"/>
        <v/>
      </c>
      <c r="C217" s="327" t="s">
        <v>30</v>
      </c>
      <c r="F217" s="40"/>
      <c r="G217" s="314"/>
      <c r="H217" s="320">
        <f>1127.93-H216</f>
        <v>152.93000000000006</v>
      </c>
      <c r="I217" s="313" t="s">
        <v>12</v>
      </c>
      <c r="J217" s="40">
        <f>J216</f>
        <v>259</v>
      </c>
      <c r="K217" s="314">
        <f>ROUND(H217*J217,0)</f>
        <v>39609</v>
      </c>
      <c r="L217" s="314">
        <f t="shared" si="11"/>
        <v>39609</v>
      </c>
      <c r="M217" s="314">
        <f t="shared" si="12"/>
        <v>0</v>
      </c>
      <c r="N217" s="332"/>
      <c r="O217" s="321" t="s">
        <v>250</v>
      </c>
    </row>
    <row r="218" spans="1:16" s="321" customFormat="1" outlineLevel="1">
      <c r="A218" s="313"/>
      <c r="B218" s="317" t="str">
        <f t="shared" si="13"/>
        <v/>
      </c>
      <c r="C218" s="323" t="s">
        <v>354</v>
      </c>
      <c r="F218" s="40"/>
      <c r="G218" s="314"/>
      <c r="H218" s="320"/>
      <c r="I218" s="313"/>
      <c r="J218" s="40"/>
      <c r="K218" s="314"/>
      <c r="L218" s="314"/>
      <c r="M218" s="314"/>
      <c r="N218" s="315"/>
      <c r="O218" s="321" t="s">
        <v>250</v>
      </c>
    </row>
    <row r="219" spans="1:16" s="321" customFormat="1" ht="12.1" customHeight="1" outlineLevel="1">
      <c r="A219" s="313"/>
      <c r="B219" s="317" t="str">
        <f t="shared" si="13"/>
        <v/>
      </c>
      <c r="C219" s="323"/>
      <c r="F219" s="40"/>
      <c r="G219" s="314"/>
      <c r="H219" s="320"/>
      <c r="I219" s="313"/>
      <c r="J219" s="40"/>
      <c r="K219" s="314"/>
      <c r="L219" s="314"/>
      <c r="M219" s="314"/>
      <c r="N219" s="315"/>
      <c r="O219" s="321" t="s">
        <v>250</v>
      </c>
    </row>
    <row r="220" spans="1:16" s="321" customFormat="1" ht="165.1" customHeight="1" outlineLevel="1">
      <c r="A220" s="317">
        <v>270</v>
      </c>
      <c r="B220" s="317" t="str">
        <f t="shared" si="13"/>
        <v>IVF270</v>
      </c>
      <c r="C220" s="318" t="s">
        <v>100</v>
      </c>
      <c r="D220" s="317">
        <v>100</v>
      </c>
      <c r="E220" s="319" t="s">
        <v>12</v>
      </c>
      <c r="F220" s="5">
        <v>229</v>
      </c>
      <c r="G220" s="314">
        <f>ROUND(D220*F220,0)</f>
        <v>22900</v>
      </c>
      <c r="H220" s="320">
        <v>18.36</v>
      </c>
      <c r="I220" s="313" t="s">
        <v>12</v>
      </c>
      <c r="J220" s="40">
        <f>F220</f>
        <v>229</v>
      </c>
      <c r="K220" s="314">
        <f>ROUND(H220*J220,0)</f>
        <v>4204</v>
      </c>
      <c r="L220" s="314">
        <f>ROUND(IF(K220&gt;G220,K220-G220,0),0)</f>
        <v>0</v>
      </c>
      <c r="M220" s="314">
        <f>ROUND(IF(K220&lt;G220,G220-K220,0),0)</f>
        <v>18696</v>
      </c>
      <c r="N220" s="315" t="s">
        <v>305</v>
      </c>
      <c r="O220" s="321" t="s">
        <v>250</v>
      </c>
      <c r="P220" s="321">
        <f>1.7*1.8*6</f>
        <v>18.36</v>
      </c>
    </row>
    <row r="221" spans="1:16" s="321" customFormat="1" ht="12.1" customHeight="1" outlineLevel="1">
      <c r="A221" s="317"/>
      <c r="B221" s="317" t="str">
        <f t="shared" si="13"/>
        <v/>
      </c>
      <c r="C221" s="318"/>
      <c r="D221" s="317"/>
      <c r="E221" s="319"/>
      <c r="F221" s="5"/>
      <c r="G221" s="314"/>
      <c r="H221" s="320"/>
      <c r="I221" s="313"/>
      <c r="J221" s="40"/>
      <c r="K221" s="314"/>
      <c r="L221" s="314">
        <f t="shared" si="11"/>
        <v>0</v>
      </c>
      <c r="M221" s="314">
        <f t="shared" si="12"/>
        <v>0</v>
      </c>
      <c r="N221" s="315"/>
      <c r="O221" s="321" t="s">
        <v>250</v>
      </c>
    </row>
    <row r="222" spans="1:16" s="321" customFormat="1" ht="225" customHeight="1" outlineLevel="1">
      <c r="A222" s="317">
        <v>285</v>
      </c>
      <c r="B222" s="317" t="str">
        <f t="shared" si="13"/>
        <v>IVF285</v>
      </c>
      <c r="C222" s="318" t="s">
        <v>101</v>
      </c>
      <c r="D222" s="317">
        <v>125</v>
      </c>
      <c r="E222" s="319" t="s">
        <v>15</v>
      </c>
      <c r="F222" s="5">
        <v>5620</v>
      </c>
      <c r="G222" s="314">
        <f>ROUND(D222*F222,0)</f>
        <v>702500</v>
      </c>
      <c r="H222" s="320">
        <v>121.04</v>
      </c>
      <c r="I222" s="313" t="s">
        <v>15</v>
      </c>
      <c r="J222" s="40">
        <f>F222</f>
        <v>5620</v>
      </c>
      <c r="K222" s="314">
        <f>ROUND(H222*J222,0)</f>
        <v>680245</v>
      </c>
      <c r="L222" s="314">
        <f t="shared" si="11"/>
        <v>0</v>
      </c>
      <c r="M222" s="314">
        <f t="shared" si="12"/>
        <v>22255</v>
      </c>
      <c r="N222" s="315" t="s">
        <v>305</v>
      </c>
      <c r="O222" s="321" t="s">
        <v>250</v>
      </c>
    </row>
    <row r="223" spans="1:16" s="321" customFormat="1" outlineLevel="1">
      <c r="A223" s="317"/>
      <c r="B223" s="317" t="str">
        <f t="shared" si="13"/>
        <v/>
      </c>
      <c r="C223" s="322" t="s">
        <v>347</v>
      </c>
      <c r="D223" s="317"/>
      <c r="E223" s="319"/>
      <c r="F223" s="5"/>
      <c r="G223" s="314"/>
      <c r="H223" s="320"/>
      <c r="I223" s="313"/>
      <c r="J223" s="40"/>
      <c r="K223" s="314"/>
      <c r="L223" s="314"/>
      <c r="M223" s="314"/>
      <c r="N223" s="315"/>
      <c r="O223" s="321" t="s">
        <v>250</v>
      </c>
    </row>
    <row r="224" spans="1:16" s="321" customFormat="1" ht="12.1" customHeight="1" outlineLevel="1">
      <c r="A224" s="313"/>
      <c r="B224" s="317" t="str">
        <f t="shared" si="13"/>
        <v/>
      </c>
      <c r="F224" s="40"/>
      <c r="G224" s="314"/>
      <c r="H224" s="320"/>
      <c r="I224" s="313"/>
      <c r="J224" s="40"/>
      <c r="K224" s="314"/>
      <c r="L224" s="314">
        <f t="shared" si="11"/>
        <v>0</v>
      </c>
      <c r="M224" s="314">
        <f t="shared" si="12"/>
        <v>0</v>
      </c>
      <c r="N224" s="315"/>
      <c r="O224" s="321" t="s">
        <v>250</v>
      </c>
    </row>
    <row r="225" spans="1:15" s="321" customFormat="1" ht="227.25" customHeight="1" outlineLevel="1">
      <c r="A225" s="317">
        <v>286</v>
      </c>
      <c r="B225" s="317" t="str">
        <f t="shared" si="13"/>
        <v>IVF286</v>
      </c>
      <c r="C225" s="318" t="s">
        <v>425</v>
      </c>
      <c r="D225" s="317">
        <v>60</v>
      </c>
      <c r="E225" s="319" t="s">
        <v>15</v>
      </c>
      <c r="F225" s="5">
        <v>5135</v>
      </c>
      <c r="G225" s="314">
        <f>ROUND(D225*F225,0)</f>
        <v>308100</v>
      </c>
      <c r="H225" s="320">
        <v>60</v>
      </c>
      <c r="I225" s="313" t="s">
        <v>15</v>
      </c>
      <c r="J225" s="40">
        <f>F225</f>
        <v>5135</v>
      </c>
      <c r="K225" s="314">
        <f>ROUND(H225*J225,0)</f>
        <v>308100</v>
      </c>
      <c r="L225" s="314">
        <f t="shared" si="11"/>
        <v>0</v>
      </c>
      <c r="M225" s="314">
        <f t="shared" si="12"/>
        <v>0</v>
      </c>
      <c r="N225" s="332" t="s">
        <v>304</v>
      </c>
      <c r="O225" s="321" t="s">
        <v>250</v>
      </c>
    </row>
    <row r="226" spans="1:15" s="321" customFormat="1" outlineLevel="1">
      <c r="A226" s="313"/>
      <c r="B226" s="317" t="str">
        <f t="shared" si="13"/>
        <v/>
      </c>
      <c r="C226" s="327" t="s">
        <v>30</v>
      </c>
      <c r="F226" s="40"/>
      <c r="G226" s="314"/>
      <c r="H226" s="320">
        <v>2.66</v>
      </c>
      <c r="I226" s="313" t="s">
        <v>15</v>
      </c>
      <c r="J226" s="40">
        <f>F225</f>
        <v>5135</v>
      </c>
      <c r="K226" s="314">
        <f>ROUND(H226*J226,0)</f>
        <v>13659</v>
      </c>
      <c r="L226" s="314">
        <f t="shared" si="11"/>
        <v>13659</v>
      </c>
      <c r="M226" s="314">
        <f t="shared" si="12"/>
        <v>0</v>
      </c>
      <c r="N226" s="332"/>
      <c r="O226" s="321" t="s">
        <v>250</v>
      </c>
    </row>
    <row r="227" spans="1:15" s="321" customFormat="1" outlineLevel="1">
      <c r="A227" s="313"/>
      <c r="B227" s="317" t="str">
        <f t="shared" si="13"/>
        <v/>
      </c>
      <c r="C227" s="323" t="s">
        <v>348</v>
      </c>
      <c r="F227" s="40"/>
      <c r="G227" s="314"/>
      <c r="H227" s="320"/>
      <c r="I227" s="313"/>
      <c r="J227" s="40"/>
      <c r="K227" s="314"/>
      <c r="L227" s="314"/>
      <c r="M227" s="314"/>
      <c r="N227" s="315"/>
      <c r="O227" s="321" t="s">
        <v>250</v>
      </c>
    </row>
    <row r="228" spans="1:15" s="321" customFormat="1" ht="12.1" customHeight="1" outlineLevel="1">
      <c r="A228" s="313"/>
      <c r="B228" s="317" t="str">
        <f t="shared" si="13"/>
        <v/>
      </c>
      <c r="C228" s="323"/>
      <c r="F228" s="40"/>
      <c r="G228" s="314"/>
      <c r="H228" s="320"/>
      <c r="I228" s="313"/>
      <c r="J228" s="40"/>
      <c r="K228" s="314"/>
      <c r="L228" s="314"/>
      <c r="M228" s="314"/>
      <c r="N228" s="315"/>
      <c r="O228" s="321" t="s">
        <v>250</v>
      </c>
    </row>
    <row r="229" spans="1:15" s="321" customFormat="1" ht="257.3" customHeight="1" outlineLevel="1">
      <c r="A229" s="317">
        <v>287</v>
      </c>
      <c r="B229" s="317" t="str">
        <f t="shared" si="13"/>
        <v>IVF287</v>
      </c>
      <c r="C229" s="318" t="s">
        <v>426</v>
      </c>
      <c r="D229" s="317">
        <v>4</v>
      </c>
      <c r="E229" s="319" t="s">
        <v>9</v>
      </c>
      <c r="F229" s="5">
        <v>46000</v>
      </c>
      <c r="G229" s="314">
        <f>ROUND(D229*F229,0)</f>
        <v>184000</v>
      </c>
      <c r="H229" s="320">
        <v>4</v>
      </c>
      <c r="I229" s="313" t="s">
        <v>9</v>
      </c>
      <c r="J229" s="40">
        <f>F229</f>
        <v>46000</v>
      </c>
      <c r="K229" s="314">
        <f>ROUND(H229*J229,0)</f>
        <v>184000</v>
      </c>
      <c r="L229" s="314">
        <f t="shared" si="11"/>
        <v>0</v>
      </c>
      <c r="M229" s="314">
        <f t="shared" si="12"/>
        <v>0</v>
      </c>
      <c r="N229" s="332" t="s">
        <v>309</v>
      </c>
      <c r="O229" s="321" t="s">
        <v>250</v>
      </c>
    </row>
    <row r="230" spans="1:15" s="321" customFormat="1" outlineLevel="1">
      <c r="A230" s="313"/>
      <c r="B230" s="317" t="str">
        <f t="shared" si="13"/>
        <v/>
      </c>
      <c r="C230" s="327" t="s">
        <v>30</v>
      </c>
      <c r="F230" s="40"/>
      <c r="G230" s="314"/>
      <c r="H230" s="320">
        <v>1</v>
      </c>
      <c r="I230" s="313" t="s">
        <v>9</v>
      </c>
      <c r="J230" s="40">
        <f>F229</f>
        <v>46000</v>
      </c>
      <c r="K230" s="314">
        <f>ROUND(H230*J230,0)</f>
        <v>46000</v>
      </c>
      <c r="L230" s="314">
        <f t="shared" si="11"/>
        <v>46000</v>
      </c>
      <c r="M230" s="314">
        <f t="shared" si="12"/>
        <v>0</v>
      </c>
      <c r="N230" s="332"/>
      <c r="O230" s="321" t="s">
        <v>250</v>
      </c>
    </row>
    <row r="231" spans="1:15" s="321" customFormat="1" outlineLevel="1">
      <c r="A231" s="313"/>
      <c r="B231" s="317" t="str">
        <f t="shared" si="13"/>
        <v/>
      </c>
      <c r="C231" s="323" t="s">
        <v>347</v>
      </c>
      <c r="F231" s="40"/>
      <c r="G231" s="314"/>
      <c r="H231" s="320"/>
      <c r="I231" s="313"/>
      <c r="J231" s="40"/>
      <c r="K231" s="314"/>
      <c r="L231" s="314"/>
      <c r="M231" s="314"/>
      <c r="N231" s="315"/>
      <c r="O231" s="321" t="s">
        <v>250</v>
      </c>
    </row>
    <row r="232" spans="1:15" s="321" customFormat="1" ht="12.1" customHeight="1" outlineLevel="1">
      <c r="A232" s="313"/>
      <c r="B232" s="317" t="str">
        <f t="shared" si="13"/>
        <v/>
      </c>
      <c r="C232" s="323"/>
      <c r="F232" s="40"/>
      <c r="G232" s="314"/>
      <c r="H232" s="320"/>
      <c r="I232" s="313"/>
      <c r="J232" s="40"/>
      <c r="K232" s="314"/>
      <c r="L232" s="314"/>
      <c r="M232" s="314"/>
      <c r="N232" s="315"/>
      <c r="O232" s="321" t="s">
        <v>250</v>
      </c>
    </row>
    <row r="233" spans="1:15" s="321" customFormat="1" ht="258.8" customHeight="1" outlineLevel="1">
      <c r="A233" s="317">
        <v>288</v>
      </c>
      <c r="B233" s="317" t="str">
        <f t="shared" si="13"/>
        <v>IVF288</v>
      </c>
      <c r="C233" s="318" t="s">
        <v>102</v>
      </c>
      <c r="D233" s="317">
        <v>2</v>
      </c>
      <c r="E233" s="319" t="s">
        <v>9</v>
      </c>
      <c r="F233" s="5">
        <v>28700</v>
      </c>
      <c r="G233" s="314">
        <f>ROUND(D233*F233,0)</f>
        <v>57400</v>
      </c>
      <c r="H233" s="320">
        <v>2</v>
      </c>
      <c r="I233" s="313" t="s">
        <v>9</v>
      </c>
      <c r="J233" s="40">
        <f>F233</f>
        <v>28700</v>
      </c>
      <c r="K233" s="314">
        <f>ROUND(H233*J233,0)</f>
        <v>57400</v>
      </c>
      <c r="L233" s="314">
        <f t="shared" si="11"/>
        <v>0</v>
      </c>
      <c r="M233" s="314">
        <f t="shared" si="12"/>
        <v>0</v>
      </c>
      <c r="N233" s="332" t="s">
        <v>308</v>
      </c>
      <c r="O233" s="321" t="s">
        <v>250</v>
      </c>
    </row>
    <row r="234" spans="1:15" s="321" customFormat="1" outlineLevel="1">
      <c r="A234" s="313"/>
      <c r="B234" s="317" t="str">
        <f t="shared" si="13"/>
        <v/>
      </c>
      <c r="C234" s="327" t="s">
        <v>30</v>
      </c>
      <c r="F234" s="40"/>
      <c r="G234" s="314"/>
      <c r="H234" s="320">
        <v>3</v>
      </c>
      <c r="I234" s="313" t="s">
        <v>9</v>
      </c>
      <c r="J234" s="40">
        <f>J233</f>
        <v>28700</v>
      </c>
      <c r="K234" s="314">
        <f>ROUND(H234*J234,0)</f>
        <v>86100</v>
      </c>
      <c r="L234" s="314">
        <f t="shared" si="11"/>
        <v>86100</v>
      </c>
      <c r="M234" s="314">
        <f t="shared" si="12"/>
        <v>0</v>
      </c>
      <c r="N234" s="332"/>
      <c r="O234" s="321" t="s">
        <v>250</v>
      </c>
    </row>
    <row r="235" spans="1:15" s="321" customFormat="1" outlineLevel="1">
      <c r="A235" s="313"/>
      <c r="B235" s="317" t="str">
        <f t="shared" si="13"/>
        <v/>
      </c>
      <c r="C235" s="323" t="s">
        <v>347</v>
      </c>
      <c r="F235" s="40"/>
      <c r="G235" s="314"/>
      <c r="H235" s="320"/>
      <c r="I235" s="313"/>
      <c r="J235" s="40"/>
      <c r="K235" s="314"/>
      <c r="L235" s="314"/>
      <c r="M235" s="314"/>
      <c r="N235" s="315"/>
      <c r="O235" s="321" t="s">
        <v>250</v>
      </c>
    </row>
    <row r="236" spans="1:15" s="321" customFormat="1" ht="12.1" customHeight="1" outlineLevel="1">
      <c r="A236" s="313"/>
      <c r="B236" s="317" t="str">
        <f t="shared" si="13"/>
        <v/>
      </c>
      <c r="C236" s="323"/>
      <c r="F236" s="40"/>
      <c r="G236" s="314"/>
      <c r="H236" s="320"/>
      <c r="I236" s="313"/>
      <c r="J236" s="40"/>
      <c r="K236" s="314"/>
      <c r="L236" s="314"/>
      <c r="M236" s="314"/>
      <c r="N236" s="315"/>
      <c r="O236" s="321" t="s">
        <v>250</v>
      </c>
    </row>
    <row r="237" spans="1:15" s="321" customFormat="1" ht="76.099999999999994" customHeight="1" outlineLevel="1">
      <c r="A237" s="317">
        <v>289</v>
      </c>
      <c r="B237" s="317" t="str">
        <f t="shared" si="13"/>
        <v>IVF289</v>
      </c>
      <c r="C237" s="318" t="s">
        <v>103</v>
      </c>
      <c r="D237" s="317">
        <v>100</v>
      </c>
      <c r="E237" s="319" t="s">
        <v>14</v>
      </c>
      <c r="F237" s="5">
        <v>585</v>
      </c>
      <c r="G237" s="314">
        <f>ROUND(D237*F237,0)</f>
        <v>58500</v>
      </c>
      <c r="H237" s="320">
        <v>100</v>
      </c>
      <c r="I237" s="313" t="s">
        <v>14</v>
      </c>
      <c r="J237" s="40">
        <f>F237</f>
        <v>585</v>
      </c>
      <c r="K237" s="314">
        <f>ROUND(H237*J237,0)</f>
        <v>58500</v>
      </c>
      <c r="L237" s="314">
        <f t="shared" si="11"/>
        <v>0</v>
      </c>
      <c r="M237" s="314">
        <f t="shared" si="12"/>
        <v>0</v>
      </c>
      <c r="N237" s="332" t="s">
        <v>304</v>
      </c>
      <c r="O237" s="321" t="s">
        <v>250</v>
      </c>
    </row>
    <row r="238" spans="1:15" s="321" customFormat="1" outlineLevel="1">
      <c r="A238" s="313"/>
      <c r="B238" s="317" t="str">
        <f t="shared" si="13"/>
        <v/>
      </c>
      <c r="C238" s="327" t="s">
        <v>30</v>
      </c>
      <c r="F238" s="40"/>
      <c r="G238" s="314"/>
      <c r="H238" s="320">
        <f>109.8-H237</f>
        <v>9.7999999999999972</v>
      </c>
      <c r="I238" s="313" t="s">
        <v>14</v>
      </c>
      <c r="J238" s="40">
        <f>J237</f>
        <v>585</v>
      </c>
      <c r="K238" s="314">
        <f>ROUND(H238*J238,0)</f>
        <v>5733</v>
      </c>
      <c r="L238" s="314">
        <f t="shared" si="11"/>
        <v>5733</v>
      </c>
      <c r="M238" s="314">
        <f t="shared" si="12"/>
        <v>0</v>
      </c>
      <c r="N238" s="332"/>
      <c r="O238" s="321" t="s">
        <v>250</v>
      </c>
    </row>
    <row r="239" spans="1:15" s="321" customFormat="1" outlineLevel="1">
      <c r="A239" s="313"/>
      <c r="B239" s="317" t="str">
        <f t="shared" si="13"/>
        <v/>
      </c>
      <c r="C239" s="323" t="s">
        <v>348</v>
      </c>
      <c r="F239" s="40"/>
      <c r="G239" s="314"/>
      <c r="H239" s="320"/>
      <c r="I239" s="313"/>
      <c r="J239" s="40"/>
      <c r="K239" s="314"/>
      <c r="L239" s="314"/>
      <c r="M239" s="314"/>
      <c r="N239" s="315"/>
      <c r="O239" s="321" t="s">
        <v>250</v>
      </c>
    </row>
    <row r="240" spans="1:15" s="321" customFormat="1" ht="12.1" customHeight="1" outlineLevel="1">
      <c r="A240" s="313"/>
      <c r="B240" s="317" t="str">
        <f t="shared" si="13"/>
        <v/>
      </c>
      <c r="C240" s="323"/>
      <c r="F240" s="40"/>
      <c r="G240" s="314"/>
      <c r="H240" s="320"/>
      <c r="I240" s="313"/>
      <c r="J240" s="40"/>
      <c r="K240" s="314"/>
      <c r="L240" s="314"/>
      <c r="M240" s="314"/>
      <c r="N240" s="315"/>
      <c r="O240" s="321" t="s">
        <v>250</v>
      </c>
    </row>
    <row r="241" spans="1:15" s="321" customFormat="1" ht="151.5" customHeight="1" outlineLevel="1">
      <c r="A241" s="317">
        <v>290</v>
      </c>
      <c r="B241" s="317" t="str">
        <f t="shared" si="13"/>
        <v>IVF290</v>
      </c>
      <c r="C241" s="318" t="s">
        <v>104</v>
      </c>
      <c r="D241" s="317">
        <v>140</v>
      </c>
      <c r="E241" s="319" t="s">
        <v>12</v>
      </c>
      <c r="F241" s="5">
        <v>4070</v>
      </c>
      <c r="G241" s="314">
        <f>ROUND(D241*F241,0)</f>
        <v>569800</v>
      </c>
      <c r="H241" s="320">
        <v>140</v>
      </c>
      <c r="I241" s="313" t="s">
        <v>12</v>
      </c>
      <c r="J241" s="40">
        <f>F241</f>
        <v>4070</v>
      </c>
      <c r="K241" s="314">
        <f>ROUND(H241*J241,0)</f>
        <v>569800</v>
      </c>
      <c r="L241" s="314">
        <f t="shared" si="11"/>
        <v>0</v>
      </c>
      <c r="M241" s="314">
        <f t="shared" si="12"/>
        <v>0</v>
      </c>
      <c r="N241" s="332" t="s">
        <v>304</v>
      </c>
      <c r="O241" s="321" t="s">
        <v>250</v>
      </c>
    </row>
    <row r="242" spans="1:15" s="321" customFormat="1" outlineLevel="1">
      <c r="A242" s="313"/>
      <c r="B242" s="317" t="str">
        <f t="shared" si="13"/>
        <v/>
      </c>
      <c r="C242" s="327" t="s">
        <v>30</v>
      </c>
      <c r="F242" s="40"/>
      <c r="G242" s="314"/>
      <c r="H242" s="320">
        <f>173.31-H241</f>
        <v>33.31</v>
      </c>
      <c r="I242" s="313" t="s">
        <v>12</v>
      </c>
      <c r="J242" s="40">
        <f>F241</f>
        <v>4070</v>
      </c>
      <c r="K242" s="314">
        <f>ROUND(H242*J242,0)</f>
        <v>135572</v>
      </c>
      <c r="L242" s="314">
        <f t="shared" si="11"/>
        <v>135572</v>
      </c>
      <c r="M242" s="314">
        <f t="shared" si="12"/>
        <v>0</v>
      </c>
      <c r="N242" s="332"/>
      <c r="O242" s="321" t="s">
        <v>250</v>
      </c>
    </row>
    <row r="243" spans="1:15" s="321" customFormat="1" outlineLevel="1">
      <c r="A243" s="313"/>
      <c r="B243" s="317" t="str">
        <f t="shared" si="13"/>
        <v/>
      </c>
      <c r="C243" s="323" t="s">
        <v>359</v>
      </c>
      <c r="F243" s="40"/>
      <c r="G243" s="314"/>
      <c r="H243" s="320"/>
      <c r="I243" s="313"/>
      <c r="J243" s="40"/>
      <c r="K243" s="314"/>
      <c r="L243" s="314"/>
      <c r="M243" s="314"/>
      <c r="N243" s="315"/>
      <c r="O243" s="321" t="s">
        <v>250</v>
      </c>
    </row>
    <row r="244" spans="1:15" s="321" customFormat="1" ht="12.1" customHeight="1" outlineLevel="1">
      <c r="A244" s="313"/>
      <c r="B244" s="317" t="str">
        <f t="shared" si="13"/>
        <v/>
      </c>
      <c r="C244" s="323"/>
      <c r="F244" s="40"/>
      <c r="G244" s="314"/>
      <c r="H244" s="320"/>
      <c r="I244" s="313"/>
      <c r="J244" s="40"/>
      <c r="K244" s="314"/>
      <c r="L244" s="314"/>
      <c r="M244" s="314"/>
      <c r="N244" s="315"/>
      <c r="O244" s="321" t="s">
        <v>250</v>
      </c>
    </row>
    <row r="245" spans="1:15" s="321" customFormat="1" ht="66.599999999999994" customHeight="1" outlineLevel="1">
      <c r="A245" s="317">
        <v>291</v>
      </c>
      <c r="B245" s="317" t="str">
        <f t="shared" si="13"/>
        <v>IVF291</v>
      </c>
      <c r="C245" s="318" t="s">
        <v>105</v>
      </c>
      <c r="D245" s="317">
        <v>1</v>
      </c>
      <c r="E245" s="319" t="s">
        <v>9</v>
      </c>
      <c r="F245" s="5">
        <v>355000</v>
      </c>
      <c r="G245" s="314">
        <f>ROUND(D245*F245,0)</f>
        <v>355000</v>
      </c>
      <c r="H245" s="320">
        <v>1</v>
      </c>
      <c r="I245" s="313" t="s">
        <v>9</v>
      </c>
      <c r="J245" s="40">
        <f>F245</f>
        <v>355000</v>
      </c>
      <c r="K245" s="314">
        <f>ROUND(H245*J245,0)</f>
        <v>355000</v>
      </c>
      <c r="L245" s="314">
        <f t="shared" si="11"/>
        <v>0</v>
      </c>
      <c r="M245" s="314">
        <f t="shared" si="12"/>
        <v>0</v>
      </c>
      <c r="N245" s="315" t="s">
        <v>302</v>
      </c>
      <c r="O245" s="321" t="s">
        <v>250</v>
      </c>
    </row>
    <row r="246" spans="1:15" s="321" customFormat="1" outlineLevel="1">
      <c r="A246" s="317"/>
      <c r="B246" s="317" t="str">
        <f t="shared" si="13"/>
        <v/>
      </c>
      <c r="C246" s="322" t="s">
        <v>347</v>
      </c>
      <c r="D246" s="317"/>
      <c r="E246" s="319"/>
      <c r="F246" s="5"/>
      <c r="G246" s="314"/>
      <c r="H246" s="320"/>
      <c r="I246" s="313"/>
      <c r="J246" s="40"/>
      <c r="K246" s="314"/>
      <c r="L246" s="314"/>
      <c r="M246" s="314"/>
      <c r="N246" s="315"/>
      <c r="O246" s="321" t="s">
        <v>250</v>
      </c>
    </row>
    <row r="247" spans="1:15" s="321" customFormat="1" ht="12.1" customHeight="1" outlineLevel="1">
      <c r="A247" s="313"/>
      <c r="B247" s="317" t="str">
        <f t="shared" si="13"/>
        <v/>
      </c>
      <c r="F247" s="40"/>
      <c r="G247" s="314"/>
      <c r="H247" s="320"/>
      <c r="I247" s="313"/>
      <c r="J247" s="40"/>
      <c r="K247" s="314"/>
      <c r="L247" s="314">
        <f t="shared" si="11"/>
        <v>0</v>
      </c>
      <c r="M247" s="314">
        <f t="shared" si="12"/>
        <v>0</v>
      </c>
      <c r="N247" s="315"/>
      <c r="O247" s="321" t="s">
        <v>250</v>
      </c>
    </row>
    <row r="248" spans="1:15" s="321" customFormat="1" ht="99.7" customHeight="1" outlineLevel="1">
      <c r="A248" s="317">
        <v>292</v>
      </c>
      <c r="B248" s="317" t="str">
        <f t="shared" si="13"/>
        <v>IVF292</v>
      </c>
      <c r="C248" s="318" t="s">
        <v>106</v>
      </c>
      <c r="D248" s="317">
        <v>3</v>
      </c>
      <c r="E248" s="319" t="s">
        <v>9</v>
      </c>
      <c r="F248" s="5">
        <v>61000</v>
      </c>
      <c r="G248" s="314">
        <f>ROUND(D248*F248,0)</f>
        <v>183000</v>
      </c>
      <c r="H248" s="320">
        <v>2</v>
      </c>
      <c r="I248" s="313" t="s">
        <v>9</v>
      </c>
      <c r="J248" s="40">
        <f>F248</f>
        <v>61000</v>
      </c>
      <c r="K248" s="314">
        <f>ROUND(H248*J248,0)</f>
        <v>122000</v>
      </c>
      <c r="L248" s="314">
        <f t="shared" si="11"/>
        <v>0</v>
      </c>
      <c r="M248" s="314">
        <f t="shared" si="12"/>
        <v>61000</v>
      </c>
      <c r="N248" s="315" t="s">
        <v>305</v>
      </c>
      <c r="O248" s="321" t="s">
        <v>250</v>
      </c>
    </row>
    <row r="249" spans="1:15" s="321" customFormat="1" outlineLevel="1">
      <c r="A249" s="317"/>
      <c r="B249" s="317" t="str">
        <f t="shared" si="13"/>
        <v/>
      </c>
      <c r="C249" s="322" t="s">
        <v>348</v>
      </c>
      <c r="D249" s="317"/>
      <c r="E249" s="319"/>
      <c r="F249" s="5"/>
      <c r="G249" s="314"/>
      <c r="H249" s="320"/>
      <c r="I249" s="313"/>
      <c r="J249" s="40"/>
      <c r="K249" s="314"/>
      <c r="L249" s="314"/>
      <c r="M249" s="314"/>
      <c r="N249" s="315"/>
      <c r="O249" s="321" t="s">
        <v>250</v>
      </c>
    </row>
    <row r="250" spans="1:15" s="321" customFormat="1" ht="12.1" customHeight="1" outlineLevel="1">
      <c r="A250" s="317"/>
      <c r="B250" s="317" t="str">
        <f t="shared" si="13"/>
        <v/>
      </c>
      <c r="C250" s="318"/>
      <c r="D250" s="317"/>
      <c r="E250" s="319"/>
      <c r="F250" s="5"/>
      <c r="G250" s="314"/>
      <c r="H250" s="320"/>
      <c r="I250" s="313"/>
      <c r="J250" s="40"/>
      <c r="K250" s="314"/>
      <c r="L250" s="314"/>
      <c r="M250" s="314"/>
      <c r="N250" s="315"/>
      <c r="O250" s="321" t="s">
        <v>250</v>
      </c>
    </row>
    <row r="251" spans="1:15" s="321" customFormat="1" ht="19.899999999999999" customHeight="1">
      <c r="A251" s="317"/>
      <c r="B251" s="317" t="str">
        <f t="shared" si="13"/>
        <v/>
      </c>
      <c r="C251" s="318"/>
      <c r="D251" s="317"/>
      <c r="E251" s="319"/>
      <c r="F251" s="5"/>
      <c r="G251" s="329">
        <f>ROUND(SUM(G147:G250),0)</f>
        <v>5915529</v>
      </c>
      <c r="H251" s="320"/>
      <c r="I251" s="313"/>
      <c r="J251" s="42" t="s">
        <v>32</v>
      </c>
      <c r="K251" s="329">
        <f>ROUND(SUM(K147:K250),0)</f>
        <v>7012631</v>
      </c>
      <c r="L251" s="329">
        <f>SUM(L147:L250)</f>
        <v>1910379</v>
      </c>
      <c r="M251" s="329">
        <f>SUM(M147:M250)</f>
        <v>813277</v>
      </c>
      <c r="N251" s="341"/>
    </row>
    <row r="252" spans="1:15" s="321" customFormat="1">
      <c r="A252" s="313"/>
      <c r="B252" s="317" t="str">
        <f t="shared" si="13"/>
        <v/>
      </c>
      <c r="C252" s="331" t="s">
        <v>35</v>
      </c>
      <c r="F252" s="40"/>
      <c r="G252" s="312"/>
      <c r="H252" s="320"/>
      <c r="I252" s="313"/>
      <c r="J252" s="40"/>
      <c r="K252" s="312"/>
      <c r="L252" s="314"/>
      <c r="M252" s="314"/>
      <c r="N252" s="315"/>
    </row>
    <row r="253" spans="1:15" s="321" customFormat="1" ht="151.5" customHeight="1" outlineLevel="1">
      <c r="A253" s="317">
        <v>271</v>
      </c>
      <c r="B253" s="317" t="str">
        <f t="shared" si="13"/>
        <v>IVF271</v>
      </c>
      <c r="C253" s="318" t="s">
        <v>427</v>
      </c>
      <c r="D253" s="317">
        <v>2</v>
      </c>
      <c r="E253" s="319" t="s">
        <v>9</v>
      </c>
      <c r="F253" s="5">
        <v>881</v>
      </c>
      <c r="G253" s="314">
        <f>ROUND(D253*F253,0)</f>
        <v>1762</v>
      </c>
      <c r="H253" s="320">
        <v>0</v>
      </c>
      <c r="I253" s="313" t="s">
        <v>9</v>
      </c>
      <c r="J253" s="40">
        <f>F253</f>
        <v>881</v>
      </c>
      <c r="K253" s="314"/>
      <c r="L253" s="314">
        <f>ROUND(IF(K253&gt;G253,K253-G253,0),0)</f>
        <v>0</v>
      </c>
      <c r="M253" s="314">
        <f>ROUND(IF(K253&lt;G253,G253-K253,0),0)</f>
        <v>1762</v>
      </c>
      <c r="N253" s="315" t="s">
        <v>393</v>
      </c>
      <c r="O253" s="321" t="s">
        <v>251</v>
      </c>
    </row>
    <row r="254" spans="1:15" s="321" customFormat="1" ht="12.1" customHeight="1" outlineLevel="1">
      <c r="A254" s="313"/>
      <c r="B254" s="317" t="str">
        <f t="shared" si="13"/>
        <v/>
      </c>
      <c r="F254" s="40"/>
      <c r="G254" s="314"/>
      <c r="H254" s="320"/>
      <c r="I254" s="313"/>
      <c r="J254" s="40"/>
      <c r="K254" s="314"/>
      <c r="L254" s="314">
        <f t="shared" ref="L254:L291" si="14">ROUND(IF(K254&gt;G254,K254-G254,0),0)</f>
        <v>0</v>
      </c>
      <c r="M254" s="314">
        <f t="shared" ref="M254:M291" si="15">ROUND(IF(K254&lt;G254,G254-K254,0),0)</f>
        <v>0</v>
      </c>
      <c r="N254" s="315"/>
      <c r="O254" s="321" t="s">
        <v>251</v>
      </c>
    </row>
    <row r="255" spans="1:15" s="321" customFormat="1" ht="152.35" customHeight="1" outlineLevel="1">
      <c r="A255" s="317">
        <v>272</v>
      </c>
      <c r="B255" s="317" t="str">
        <f t="shared" si="13"/>
        <v>IVF272</v>
      </c>
      <c r="C255" s="318" t="s">
        <v>107</v>
      </c>
      <c r="D255" s="317">
        <v>60</v>
      </c>
      <c r="E255" s="319" t="s">
        <v>14</v>
      </c>
      <c r="F255" s="5">
        <v>199</v>
      </c>
      <c r="G255" s="314">
        <f>ROUND(D255*F255,0)</f>
        <v>11940</v>
      </c>
      <c r="H255" s="320">
        <v>60</v>
      </c>
      <c r="I255" s="313" t="s">
        <v>14</v>
      </c>
      <c r="J255" s="40">
        <f>F255</f>
        <v>199</v>
      </c>
      <c r="K255" s="314">
        <f>ROUND(H255*J255,0)</f>
        <v>11940</v>
      </c>
      <c r="L255" s="314">
        <f t="shared" si="14"/>
        <v>0</v>
      </c>
      <c r="M255" s="314">
        <f t="shared" si="15"/>
        <v>0</v>
      </c>
      <c r="N255" s="332" t="s">
        <v>304</v>
      </c>
      <c r="O255" s="321" t="s">
        <v>251</v>
      </c>
    </row>
    <row r="256" spans="1:15" s="321" customFormat="1" outlineLevel="1">
      <c r="A256" s="313"/>
      <c r="B256" s="317" t="str">
        <f t="shared" si="13"/>
        <v/>
      </c>
      <c r="C256" s="327" t="s">
        <v>30</v>
      </c>
      <c r="F256" s="40"/>
      <c r="G256" s="314"/>
      <c r="H256" s="320">
        <f>95.61-60</f>
        <v>35.61</v>
      </c>
      <c r="I256" s="313" t="s">
        <v>14</v>
      </c>
      <c r="J256" s="40">
        <f>J255</f>
        <v>199</v>
      </c>
      <c r="K256" s="314">
        <f>ROUND(H256*J256,0)</f>
        <v>7086</v>
      </c>
      <c r="L256" s="314">
        <f t="shared" si="14"/>
        <v>7086</v>
      </c>
      <c r="M256" s="314">
        <f t="shared" si="15"/>
        <v>0</v>
      </c>
      <c r="N256" s="332"/>
      <c r="O256" s="321" t="s">
        <v>251</v>
      </c>
    </row>
    <row r="257" spans="1:15" s="321" customFormat="1" outlineLevel="1">
      <c r="A257" s="313"/>
      <c r="B257" s="317" t="str">
        <f t="shared" si="13"/>
        <v/>
      </c>
      <c r="C257" s="323" t="s">
        <v>350</v>
      </c>
      <c r="F257" s="40"/>
      <c r="G257" s="314"/>
      <c r="H257" s="320"/>
      <c r="I257" s="313"/>
      <c r="J257" s="40"/>
      <c r="K257" s="314"/>
      <c r="L257" s="314"/>
      <c r="M257" s="314"/>
      <c r="N257" s="315"/>
      <c r="O257" s="321" t="s">
        <v>251</v>
      </c>
    </row>
    <row r="258" spans="1:15" s="321" customFormat="1" ht="12.1" customHeight="1" outlineLevel="1">
      <c r="A258" s="313"/>
      <c r="B258" s="317" t="str">
        <f t="shared" si="13"/>
        <v/>
      </c>
      <c r="C258" s="323"/>
      <c r="F258" s="40"/>
      <c r="G258" s="314"/>
      <c r="H258" s="320"/>
      <c r="I258" s="313"/>
      <c r="J258" s="40"/>
      <c r="K258" s="314"/>
      <c r="L258" s="314"/>
      <c r="M258" s="314"/>
      <c r="N258" s="315"/>
      <c r="O258" s="321" t="s">
        <v>251</v>
      </c>
    </row>
    <row r="259" spans="1:15" s="321" customFormat="1" ht="154.55000000000001" customHeight="1" outlineLevel="1">
      <c r="A259" s="317">
        <v>273</v>
      </c>
      <c r="B259" s="317" t="str">
        <f t="shared" si="13"/>
        <v>IVF273</v>
      </c>
      <c r="C259" s="318" t="s">
        <v>108</v>
      </c>
      <c r="D259" s="317">
        <v>60</v>
      </c>
      <c r="E259" s="319" t="s">
        <v>14</v>
      </c>
      <c r="F259" s="5">
        <v>229</v>
      </c>
      <c r="G259" s="314">
        <f>ROUND(D259*F259,0)</f>
        <v>13740</v>
      </c>
      <c r="H259" s="320">
        <v>0</v>
      </c>
      <c r="I259" s="313" t="s">
        <v>14</v>
      </c>
      <c r="J259" s="40">
        <f>F259</f>
        <v>229</v>
      </c>
      <c r="K259" s="314"/>
      <c r="L259" s="314">
        <f t="shared" si="14"/>
        <v>0</v>
      </c>
      <c r="M259" s="314">
        <f t="shared" si="15"/>
        <v>13740</v>
      </c>
      <c r="N259" s="315" t="s">
        <v>393</v>
      </c>
      <c r="O259" s="321" t="s">
        <v>251</v>
      </c>
    </row>
    <row r="260" spans="1:15" s="321" customFormat="1" ht="12.1" customHeight="1" outlineLevel="1">
      <c r="A260" s="313"/>
      <c r="B260" s="317" t="str">
        <f t="shared" si="13"/>
        <v/>
      </c>
      <c r="F260" s="40"/>
      <c r="G260" s="314"/>
      <c r="H260" s="320"/>
      <c r="I260" s="313"/>
      <c r="J260" s="40"/>
      <c r="K260" s="314"/>
      <c r="L260" s="314">
        <f t="shared" si="14"/>
        <v>0</v>
      </c>
      <c r="M260" s="314">
        <f t="shared" si="15"/>
        <v>0</v>
      </c>
      <c r="N260" s="315"/>
      <c r="O260" s="321" t="s">
        <v>251</v>
      </c>
    </row>
    <row r="261" spans="1:15" s="321" customFormat="1" ht="181.55" customHeight="1" outlineLevel="1">
      <c r="A261" s="317">
        <v>274</v>
      </c>
      <c r="B261" s="317" t="str">
        <f t="shared" si="13"/>
        <v>IVF274</v>
      </c>
      <c r="C261" s="318" t="s">
        <v>109</v>
      </c>
      <c r="D261" s="317">
        <v>90</v>
      </c>
      <c r="E261" s="319" t="s">
        <v>14</v>
      </c>
      <c r="F261" s="5">
        <v>327</v>
      </c>
      <c r="G261" s="314">
        <f>ROUND(D261*F261,0)</f>
        <v>29430</v>
      </c>
      <c r="H261" s="320">
        <v>0</v>
      </c>
      <c r="I261" s="313" t="s">
        <v>14</v>
      </c>
      <c r="J261" s="40">
        <f>F261</f>
        <v>327</v>
      </c>
      <c r="K261" s="314"/>
      <c r="L261" s="314">
        <f t="shared" si="14"/>
        <v>0</v>
      </c>
      <c r="M261" s="314">
        <f t="shared" si="15"/>
        <v>29430</v>
      </c>
      <c r="N261" s="315" t="s">
        <v>393</v>
      </c>
      <c r="O261" s="321" t="s">
        <v>251</v>
      </c>
    </row>
    <row r="262" spans="1:15" s="321" customFormat="1" ht="12.1" customHeight="1" outlineLevel="1">
      <c r="A262" s="313"/>
      <c r="B262" s="317" t="str">
        <f t="shared" si="13"/>
        <v/>
      </c>
      <c r="F262" s="40"/>
      <c r="G262" s="314"/>
      <c r="H262" s="320"/>
      <c r="I262" s="313"/>
      <c r="J262" s="40"/>
      <c r="K262" s="314"/>
      <c r="L262" s="314">
        <f t="shared" si="14"/>
        <v>0</v>
      </c>
      <c r="M262" s="314">
        <f t="shared" si="15"/>
        <v>0</v>
      </c>
      <c r="N262" s="315"/>
      <c r="O262" s="321" t="s">
        <v>251</v>
      </c>
    </row>
    <row r="263" spans="1:15" s="321" customFormat="1" ht="181.55" customHeight="1" outlineLevel="1">
      <c r="A263" s="317">
        <v>275</v>
      </c>
      <c r="B263" s="317" t="str">
        <f t="shared" si="13"/>
        <v>IVF275</v>
      </c>
      <c r="C263" s="318" t="s">
        <v>428</v>
      </c>
      <c r="D263" s="317">
        <v>75</v>
      </c>
      <c r="E263" s="319" t="s">
        <v>14</v>
      </c>
      <c r="F263" s="5">
        <v>444</v>
      </c>
      <c r="G263" s="314">
        <f>ROUND(D263*F263,0)</f>
        <v>33300</v>
      </c>
      <c r="H263" s="320">
        <v>10.3</v>
      </c>
      <c r="I263" s="313" t="s">
        <v>14</v>
      </c>
      <c r="J263" s="40">
        <f>F263</f>
        <v>444</v>
      </c>
      <c r="K263" s="314">
        <f>ROUND(H263*J263,0)</f>
        <v>4573</v>
      </c>
      <c r="L263" s="314">
        <f t="shared" si="14"/>
        <v>0</v>
      </c>
      <c r="M263" s="314">
        <f t="shared" si="15"/>
        <v>28727</v>
      </c>
      <c r="N263" s="315" t="s">
        <v>305</v>
      </c>
      <c r="O263" s="321" t="s">
        <v>251</v>
      </c>
    </row>
    <row r="264" spans="1:15" s="321" customFormat="1" outlineLevel="1">
      <c r="A264" s="313"/>
      <c r="B264" s="317" t="str">
        <f t="shared" si="13"/>
        <v/>
      </c>
      <c r="C264" s="323" t="s">
        <v>350</v>
      </c>
      <c r="F264" s="40"/>
      <c r="G264" s="314"/>
      <c r="H264" s="320"/>
      <c r="I264" s="313"/>
      <c r="J264" s="40"/>
      <c r="K264" s="314"/>
      <c r="L264" s="314">
        <f t="shared" si="14"/>
        <v>0</v>
      </c>
      <c r="M264" s="314">
        <f t="shared" si="15"/>
        <v>0</v>
      </c>
      <c r="N264" s="315"/>
      <c r="O264" s="321" t="s">
        <v>251</v>
      </c>
    </row>
    <row r="265" spans="1:15" s="321" customFormat="1" ht="12.1" customHeight="1" outlineLevel="1">
      <c r="A265" s="313"/>
      <c r="B265" s="317" t="str">
        <f t="shared" si="13"/>
        <v/>
      </c>
      <c r="F265" s="40"/>
      <c r="G265" s="314"/>
      <c r="H265" s="320"/>
      <c r="I265" s="313"/>
      <c r="J265" s="40"/>
      <c r="K265" s="314"/>
      <c r="L265" s="314"/>
      <c r="M265" s="314"/>
      <c r="N265" s="315"/>
      <c r="O265" s="321" t="s">
        <v>251</v>
      </c>
    </row>
    <row r="266" spans="1:15" s="321" customFormat="1" ht="94.95" customHeight="1" outlineLevel="1">
      <c r="A266" s="317">
        <v>276</v>
      </c>
      <c r="B266" s="317" t="str">
        <f t="shared" ref="B266:B329" si="16">IF(ISBLANK(A266), "","IVF"&amp;A266)</f>
        <v>IVF276</v>
      </c>
      <c r="C266" s="318" t="s">
        <v>110</v>
      </c>
      <c r="D266" s="317">
        <v>6</v>
      </c>
      <c r="E266" s="319" t="s">
        <v>9</v>
      </c>
      <c r="F266" s="5">
        <v>1746</v>
      </c>
      <c r="G266" s="314">
        <f>ROUND(D266*F266,0)</f>
        <v>10476</v>
      </c>
      <c r="H266" s="320">
        <v>0</v>
      </c>
      <c r="I266" s="313" t="s">
        <v>9</v>
      </c>
      <c r="J266" s="40">
        <f>F266</f>
        <v>1746</v>
      </c>
      <c r="K266" s="314"/>
      <c r="L266" s="314">
        <f t="shared" si="14"/>
        <v>0</v>
      </c>
      <c r="M266" s="314">
        <f t="shared" si="15"/>
        <v>10476</v>
      </c>
      <c r="N266" s="315" t="s">
        <v>393</v>
      </c>
      <c r="O266" s="321" t="s">
        <v>251</v>
      </c>
    </row>
    <row r="267" spans="1:15" s="321" customFormat="1" ht="12.1" customHeight="1" outlineLevel="1">
      <c r="A267" s="313"/>
      <c r="B267" s="317" t="str">
        <f t="shared" si="16"/>
        <v/>
      </c>
      <c r="F267" s="40"/>
      <c r="G267" s="314"/>
      <c r="H267" s="320"/>
      <c r="I267" s="313"/>
      <c r="J267" s="40"/>
      <c r="K267" s="314"/>
      <c r="L267" s="314">
        <f t="shared" si="14"/>
        <v>0</v>
      </c>
      <c r="M267" s="314">
        <f t="shared" si="15"/>
        <v>0</v>
      </c>
      <c r="N267" s="315"/>
      <c r="O267" s="321" t="s">
        <v>251</v>
      </c>
    </row>
    <row r="268" spans="1:15" s="321" customFormat="1" ht="106.5" customHeight="1" outlineLevel="1">
      <c r="A268" s="317">
        <v>277</v>
      </c>
      <c r="B268" s="317" t="str">
        <f t="shared" si="16"/>
        <v>IVF277</v>
      </c>
      <c r="C268" s="318" t="s">
        <v>28</v>
      </c>
      <c r="D268" s="317">
        <v>6</v>
      </c>
      <c r="E268" s="319" t="s">
        <v>9</v>
      </c>
      <c r="F268" s="5">
        <v>220</v>
      </c>
      <c r="G268" s="314">
        <f>ROUND(D268*F268,0)</f>
        <v>1320</v>
      </c>
      <c r="H268" s="320">
        <v>1</v>
      </c>
      <c r="I268" s="313" t="s">
        <v>9</v>
      </c>
      <c r="J268" s="40">
        <f>F268</f>
        <v>220</v>
      </c>
      <c r="K268" s="314">
        <f>ROUND(H268*J268,0)</f>
        <v>220</v>
      </c>
      <c r="L268" s="314">
        <f t="shared" si="14"/>
        <v>0</v>
      </c>
      <c r="M268" s="314">
        <f t="shared" si="15"/>
        <v>1100</v>
      </c>
      <c r="N268" s="315" t="s">
        <v>305</v>
      </c>
      <c r="O268" s="321" t="s">
        <v>251</v>
      </c>
    </row>
    <row r="269" spans="1:15" s="321" customFormat="1" outlineLevel="1">
      <c r="A269" s="317"/>
      <c r="B269" s="317" t="str">
        <f t="shared" si="16"/>
        <v/>
      </c>
      <c r="C269" s="322" t="s">
        <v>355</v>
      </c>
      <c r="D269" s="317"/>
      <c r="E269" s="319"/>
      <c r="F269" s="5"/>
      <c r="G269" s="314"/>
      <c r="H269" s="320"/>
      <c r="I269" s="313"/>
      <c r="J269" s="40"/>
      <c r="K269" s="314"/>
      <c r="L269" s="314"/>
      <c r="M269" s="314"/>
      <c r="N269" s="315"/>
      <c r="O269" s="321" t="s">
        <v>251</v>
      </c>
    </row>
    <row r="270" spans="1:15" s="321" customFormat="1" ht="12.1" customHeight="1" outlineLevel="1">
      <c r="A270" s="313"/>
      <c r="B270" s="317" t="str">
        <f t="shared" si="16"/>
        <v/>
      </c>
      <c r="F270" s="40"/>
      <c r="G270" s="314"/>
      <c r="H270" s="320"/>
      <c r="I270" s="313"/>
      <c r="J270" s="40"/>
      <c r="K270" s="314"/>
      <c r="L270" s="314">
        <f t="shared" si="14"/>
        <v>0</v>
      </c>
      <c r="M270" s="314">
        <f t="shared" si="15"/>
        <v>0</v>
      </c>
      <c r="N270" s="315"/>
      <c r="O270" s="321" t="s">
        <v>251</v>
      </c>
    </row>
    <row r="271" spans="1:15" s="321" customFormat="1" ht="260.35000000000002" customHeight="1" outlineLevel="1">
      <c r="A271" s="317">
        <v>278</v>
      </c>
      <c r="B271" s="317" t="str">
        <f t="shared" si="16"/>
        <v>IVF278</v>
      </c>
      <c r="C271" s="318" t="s">
        <v>429</v>
      </c>
      <c r="D271" s="317">
        <v>6</v>
      </c>
      <c r="E271" s="319" t="s">
        <v>9</v>
      </c>
      <c r="F271" s="5">
        <v>3800</v>
      </c>
      <c r="G271" s="314">
        <f>ROUND(D271*F271,0)</f>
        <v>22800</v>
      </c>
      <c r="H271" s="320">
        <v>6</v>
      </c>
      <c r="I271" s="313" t="s">
        <v>9</v>
      </c>
      <c r="J271" s="40">
        <f>F271</f>
        <v>3800</v>
      </c>
      <c r="K271" s="314">
        <f>ROUND(H271*J271,0)</f>
        <v>22800</v>
      </c>
      <c r="L271" s="314">
        <f t="shared" si="14"/>
        <v>0</v>
      </c>
      <c r="M271" s="314">
        <f t="shared" si="15"/>
        <v>0</v>
      </c>
      <c r="N271" s="315" t="s">
        <v>302</v>
      </c>
      <c r="O271" s="321" t="s">
        <v>251</v>
      </c>
    </row>
    <row r="272" spans="1:15" s="321" customFormat="1" outlineLevel="1">
      <c r="A272" s="317"/>
      <c r="B272" s="317" t="str">
        <f t="shared" si="16"/>
        <v/>
      </c>
      <c r="C272" s="342" t="s">
        <v>355</v>
      </c>
      <c r="D272" s="317"/>
      <c r="E272" s="319"/>
      <c r="F272" s="5"/>
      <c r="G272" s="314"/>
      <c r="H272" s="320"/>
      <c r="I272" s="313"/>
      <c r="J272" s="40"/>
      <c r="K272" s="314"/>
      <c r="L272" s="314"/>
      <c r="M272" s="314"/>
      <c r="N272" s="315"/>
      <c r="O272" s="321" t="s">
        <v>251</v>
      </c>
    </row>
    <row r="273" spans="1:15" s="321" customFormat="1" ht="12.1" customHeight="1" outlineLevel="1">
      <c r="A273" s="313"/>
      <c r="B273" s="317" t="str">
        <f t="shared" si="16"/>
        <v/>
      </c>
      <c r="F273" s="40"/>
      <c r="G273" s="314"/>
      <c r="H273" s="320"/>
      <c r="I273" s="313"/>
      <c r="J273" s="40"/>
      <c r="K273" s="314"/>
      <c r="L273" s="314">
        <f t="shared" si="14"/>
        <v>0</v>
      </c>
      <c r="M273" s="314">
        <f t="shared" si="15"/>
        <v>0</v>
      </c>
      <c r="N273" s="315"/>
      <c r="O273" s="321" t="s">
        <v>251</v>
      </c>
    </row>
    <row r="274" spans="1:15" s="321" customFormat="1" ht="180.7" customHeight="1" outlineLevel="1">
      <c r="A274" s="317">
        <v>279</v>
      </c>
      <c r="B274" s="317" t="str">
        <f t="shared" si="16"/>
        <v>IVF279</v>
      </c>
      <c r="C274" s="318" t="s">
        <v>430</v>
      </c>
      <c r="D274" s="317">
        <v>6</v>
      </c>
      <c r="E274" s="319" t="s">
        <v>9</v>
      </c>
      <c r="F274" s="5">
        <v>7590</v>
      </c>
      <c r="G274" s="314">
        <f>ROUND(D274*F274,0)</f>
        <v>45540</v>
      </c>
      <c r="H274" s="320">
        <v>6</v>
      </c>
      <c r="I274" s="313" t="s">
        <v>9</v>
      </c>
      <c r="J274" s="40">
        <f>F274</f>
        <v>7590</v>
      </c>
      <c r="K274" s="314">
        <f>ROUND(H274*J274,0)</f>
        <v>45540</v>
      </c>
      <c r="L274" s="314">
        <f t="shared" si="14"/>
        <v>0</v>
      </c>
      <c r="M274" s="314">
        <f t="shared" si="15"/>
        <v>0</v>
      </c>
      <c r="N274" s="315" t="s">
        <v>302</v>
      </c>
      <c r="O274" s="321" t="s">
        <v>251</v>
      </c>
    </row>
    <row r="275" spans="1:15" s="321" customFormat="1" outlineLevel="1">
      <c r="A275" s="317"/>
      <c r="B275" s="317" t="str">
        <f t="shared" si="16"/>
        <v/>
      </c>
      <c r="C275" s="322" t="s">
        <v>356</v>
      </c>
      <c r="D275" s="317"/>
      <c r="E275" s="319"/>
      <c r="F275" s="5"/>
      <c r="G275" s="314"/>
      <c r="H275" s="320"/>
      <c r="I275" s="313"/>
      <c r="J275" s="40"/>
      <c r="K275" s="314"/>
      <c r="L275" s="314"/>
      <c r="M275" s="314"/>
      <c r="N275" s="315"/>
      <c r="O275" s="321" t="s">
        <v>251</v>
      </c>
    </row>
    <row r="276" spans="1:15" s="321" customFormat="1" ht="12.1" customHeight="1" outlineLevel="1">
      <c r="A276" s="313"/>
      <c r="B276" s="317" t="str">
        <f t="shared" si="16"/>
        <v/>
      </c>
      <c r="F276" s="40"/>
      <c r="G276" s="314"/>
      <c r="H276" s="320"/>
      <c r="I276" s="313"/>
      <c r="J276" s="40"/>
      <c r="K276" s="314"/>
      <c r="L276" s="314">
        <f t="shared" si="14"/>
        <v>0</v>
      </c>
      <c r="M276" s="314">
        <f t="shared" si="15"/>
        <v>0</v>
      </c>
      <c r="N276" s="315"/>
      <c r="O276" s="321" t="s">
        <v>251</v>
      </c>
    </row>
    <row r="277" spans="1:15" s="321" customFormat="1" ht="107.35" customHeight="1" outlineLevel="1">
      <c r="A277" s="317">
        <v>280</v>
      </c>
      <c r="B277" s="317" t="str">
        <f t="shared" si="16"/>
        <v>IVF280</v>
      </c>
      <c r="C277" s="318" t="s">
        <v>111</v>
      </c>
      <c r="D277" s="317">
        <v>6</v>
      </c>
      <c r="E277" s="319" t="s">
        <v>9</v>
      </c>
      <c r="F277" s="5">
        <v>4579</v>
      </c>
      <c r="G277" s="314">
        <f>ROUND(D277*F277,0)</f>
        <v>27474</v>
      </c>
      <c r="H277" s="320">
        <v>6</v>
      </c>
      <c r="I277" s="313" t="s">
        <v>9</v>
      </c>
      <c r="J277" s="40">
        <f>F277</f>
        <v>4579</v>
      </c>
      <c r="K277" s="314">
        <f>ROUND(H277*J277,0)</f>
        <v>27474</v>
      </c>
      <c r="L277" s="314">
        <f t="shared" si="14"/>
        <v>0</v>
      </c>
      <c r="M277" s="314">
        <f t="shared" si="15"/>
        <v>0</v>
      </c>
      <c r="N277" s="315" t="s">
        <v>302</v>
      </c>
      <c r="O277" s="321" t="s">
        <v>251</v>
      </c>
    </row>
    <row r="278" spans="1:15" s="321" customFormat="1" outlineLevel="1">
      <c r="A278" s="317"/>
      <c r="B278" s="317" t="str">
        <f t="shared" si="16"/>
        <v/>
      </c>
      <c r="C278" s="322" t="s">
        <v>356</v>
      </c>
      <c r="D278" s="317"/>
      <c r="E278" s="319"/>
      <c r="F278" s="5"/>
      <c r="G278" s="314"/>
      <c r="H278" s="320"/>
      <c r="I278" s="313"/>
      <c r="J278" s="40"/>
      <c r="K278" s="314"/>
      <c r="L278" s="314"/>
      <c r="M278" s="314"/>
      <c r="N278" s="315"/>
      <c r="O278" s="321" t="s">
        <v>251</v>
      </c>
    </row>
    <row r="279" spans="1:15" s="321" customFormat="1" ht="12.1" customHeight="1" outlineLevel="1">
      <c r="A279" s="313"/>
      <c r="B279" s="317" t="str">
        <f t="shared" si="16"/>
        <v/>
      </c>
      <c r="F279" s="40"/>
      <c r="G279" s="314"/>
      <c r="H279" s="320"/>
      <c r="I279" s="313"/>
      <c r="J279" s="40"/>
      <c r="K279" s="314"/>
      <c r="L279" s="314">
        <f t="shared" si="14"/>
        <v>0</v>
      </c>
      <c r="M279" s="314">
        <f t="shared" si="15"/>
        <v>0</v>
      </c>
      <c r="N279" s="315"/>
      <c r="O279" s="321" t="s">
        <v>251</v>
      </c>
    </row>
    <row r="280" spans="1:15" s="321" customFormat="1" ht="77.3" customHeight="1" outlineLevel="1">
      <c r="A280" s="317">
        <v>281</v>
      </c>
      <c r="B280" s="317" t="str">
        <f t="shared" si="16"/>
        <v>IVF281</v>
      </c>
      <c r="C280" s="318" t="s">
        <v>112</v>
      </c>
      <c r="D280" s="317">
        <v>6</v>
      </c>
      <c r="E280" s="319" t="s">
        <v>9</v>
      </c>
      <c r="F280" s="5">
        <v>872</v>
      </c>
      <c r="G280" s="314">
        <f>ROUND(D280*F280,0)</f>
        <v>5232</v>
      </c>
      <c r="H280" s="320">
        <v>6</v>
      </c>
      <c r="I280" s="313" t="s">
        <v>9</v>
      </c>
      <c r="J280" s="40">
        <f>F280</f>
        <v>872</v>
      </c>
      <c r="K280" s="314">
        <f>ROUND(H280*J280,0)</f>
        <v>5232</v>
      </c>
      <c r="L280" s="314">
        <f t="shared" si="14"/>
        <v>0</v>
      </c>
      <c r="M280" s="314">
        <f t="shared" si="15"/>
        <v>0</v>
      </c>
      <c r="N280" s="315" t="s">
        <v>302</v>
      </c>
      <c r="O280" s="321" t="s">
        <v>251</v>
      </c>
    </row>
    <row r="281" spans="1:15" s="321" customFormat="1" outlineLevel="1">
      <c r="A281" s="317"/>
      <c r="B281" s="317" t="str">
        <f t="shared" si="16"/>
        <v/>
      </c>
      <c r="C281" s="322" t="s">
        <v>357</v>
      </c>
      <c r="D281" s="317"/>
      <c r="E281" s="319"/>
      <c r="F281" s="5"/>
      <c r="G281" s="314"/>
      <c r="H281" s="320"/>
      <c r="I281" s="313"/>
      <c r="J281" s="40"/>
      <c r="K281" s="314"/>
      <c r="L281" s="314"/>
      <c r="M281" s="314"/>
      <c r="N281" s="315"/>
      <c r="O281" s="321" t="s">
        <v>251</v>
      </c>
    </row>
    <row r="282" spans="1:15" s="321" customFormat="1" ht="12.1" customHeight="1" outlineLevel="1">
      <c r="A282" s="313"/>
      <c r="B282" s="317" t="str">
        <f t="shared" si="16"/>
        <v/>
      </c>
      <c r="F282" s="40"/>
      <c r="G282" s="314"/>
      <c r="H282" s="320"/>
      <c r="I282" s="313"/>
      <c r="J282" s="40"/>
      <c r="K282" s="314"/>
      <c r="L282" s="314">
        <f t="shared" si="14"/>
        <v>0</v>
      </c>
      <c r="M282" s="314">
        <f t="shared" si="15"/>
        <v>0</v>
      </c>
      <c r="N282" s="315"/>
      <c r="O282" s="321" t="s">
        <v>251</v>
      </c>
    </row>
    <row r="283" spans="1:15" s="321" customFormat="1" ht="93.75" customHeight="1" outlineLevel="1">
      <c r="A283" s="317">
        <v>282</v>
      </c>
      <c r="B283" s="317" t="str">
        <f t="shared" si="16"/>
        <v>IVF282</v>
      </c>
      <c r="C283" s="318" t="s">
        <v>113</v>
      </c>
      <c r="D283" s="317">
        <v>6</v>
      </c>
      <c r="E283" s="319" t="s">
        <v>9</v>
      </c>
      <c r="F283" s="5">
        <v>727</v>
      </c>
      <c r="G283" s="314">
        <f>ROUND(D283*F283,0)</f>
        <v>4362</v>
      </c>
      <c r="H283" s="320">
        <v>6</v>
      </c>
      <c r="I283" s="313" t="s">
        <v>9</v>
      </c>
      <c r="J283" s="40">
        <f>F283</f>
        <v>727</v>
      </c>
      <c r="K283" s="314">
        <f>ROUND(H283*J283,0)</f>
        <v>4362</v>
      </c>
      <c r="L283" s="314">
        <f t="shared" si="14"/>
        <v>0</v>
      </c>
      <c r="M283" s="314">
        <f t="shared" si="15"/>
        <v>0</v>
      </c>
      <c r="N283" s="315" t="s">
        <v>302</v>
      </c>
      <c r="O283" s="321" t="s">
        <v>251</v>
      </c>
    </row>
    <row r="284" spans="1:15" s="321" customFormat="1" outlineLevel="1">
      <c r="A284" s="317"/>
      <c r="B284" s="317" t="str">
        <f t="shared" si="16"/>
        <v/>
      </c>
      <c r="C284" s="322" t="s">
        <v>357</v>
      </c>
      <c r="D284" s="317"/>
      <c r="E284" s="319"/>
      <c r="F284" s="5"/>
      <c r="G284" s="314"/>
      <c r="H284" s="320"/>
      <c r="I284" s="313"/>
      <c r="J284" s="40"/>
      <c r="K284" s="314"/>
      <c r="L284" s="314"/>
      <c r="M284" s="314"/>
      <c r="N284" s="315"/>
      <c r="O284" s="321" t="s">
        <v>251</v>
      </c>
    </row>
    <row r="285" spans="1:15" s="321" customFormat="1" ht="12.1" customHeight="1" outlineLevel="1">
      <c r="A285" s="313"/>
      <c r="B285" s="317" t="str">
        <f t="shared" si="16"/>
        <v/>
      </c>
      <c r="F285" s="40"/>
      <c r="G285" s="314"/>
      <c r="H285" s="320"/>
      <c r="I285" s="313"/>
      <c r="J285" s="40"/>
      <c r="K285" s="314"/>
      <c r="L285" s="314">
        <f t="shared" si="14"/>
        <v>0</v>
      </c>
      <c r="M285" s="314">
        <f t="shared" si="15"/>
        <v>0</v>
      </c>
      <c r="N285" s="315"/>
      <c r="O285" s="321" t="s">
        <v>251</v>
      </c>
    </row>
    <row r="286" spans="1:15" s="321" customFormat="1" ht="60.8" customHeight="1" outlineLevel="1">
      <c r="A286" s="317">
        <v>283</v>
      </c>
      <c r="B286" s="317" t="str">
        <f t="shared" si="16"/>
        <v>IVF283</v>
      </c>
      <c r="C286" s="318" t="s">
        <v>114</v>
      </c>
      <c r="D286" s="317">
        <v>6</v>
      </c>
      <c r="E286" s="319" t="s">
        <v>9</v>
      </c>
      <c r="F286" s="5">
        <v>873</v>
      </c>
      <c r="G286" s="314">
        <f>ROUND(D286*F286,0)</f>
        <v>5238</v>
      </c>
      <c r="H286" s="320">
        <v>6</v>
      </c>
      <c r="I286" s="313" t="s">
        <v>9</v>
      </c>
      <c r="J286" s="40">
        <f>F286</f>
        <v>873</v>
      </c>
      <c r="K286" s="314">
        <f>ROUND(H286*J286,0)</f>
        <v>5238</v>
      </c>
      <c r="L286" s="314">
        <f t="shared" si="14"/>
        <v>0</v>
      </c>
      <c r="M286" s="314">
        <f t="shared" si="15"/>
        <v>0</v>
      </c>
      <c r="N286" s="315" t="s">
        <v>302</v>
      </c>
      <c r="O286" s="321" t="s">
        <v>251</v>
      </c>
    </row>
    <row r="287" spans="1:15" s="321" customFormat="1" outlineLevel="1">
      <c r="A287" s="317"/>
      <c r="B287" s="317" t="str">
        <f t="shared" si="16"/>
        <v/>
      </c>
      <c r="C287" s="322" t="s">
        <v>357</v>
      </c>
      <c r="D287" s="317"/>
      <c r="E287" s="319"/>
      <c r="F287" s="5"/>
      <c r="G287" s="314"/>
      <c r="H287" s="320"/>
      <c r="I287" s="313"/>
      <c r="J287" s="40"/>
      <c r="K287" s="314"/>
      <c r="L287" s="314"/>
      <c r="M287" s="314"/>
      <c r="N287" s="315"/>
      <c r="O287" s="321" t="s">
        <v>251</v>
      </c>
    </row>
    <row r="288" spans="1:15" s="321" customFormat="1" ht="12.1" customHeight="1" outlineLevel="1">
      <c r="A288" s="313"/>
      <c r="B288" s="317" t="str">
        <f t="shared" si="16"/>
        <v/>
      </c>
      <c r="F288" s="40"/>
      <c r="G288" s="314"/>
      <c r="H288" s="320"/>
      <c r="I288" s="313"/>
      <c r="J288" s="40"/>
      <c r="K288" s="314"/>
      <c r="L288" s="314">
        <f t="shared" si="14"/>
        <v>0</v>
      </c>
      <c r="M288" s="314">
        <f t="shared" si="15"/>
        <v>0</v>
      </c>
      <c r="N288" s="315"/>
      <c r="O288" s="321" t="s">
        <v>251</v>
      </c>
    </row>
    <row r="289" spans="1:15" s="321" customFormat="1" ht="107.35" customHeight="1" outlineLevel="1">
      <c r="A289" s="317">
        <v>284</v>
      </c>
      <c r="B289" s="317" t="str">
        <f t="shared" si="16"/>
        <v>IVF284</v>
      </c>
      <c r="C289" s="318" t="s">
        <v>115</v>
      </c>
      <c r="D289" s="317">
        <v>6</v>
      </c>
      <c r="E289" s="319" t="s">
        <v>9</v>
      </c>
      <c r="F289" s="5">
        <v>418</v>
      </c>
      <c r="G289" s="314">
        <f>ROUND(D289*F289,0)</f>
        <v>2508</v>
      </c>
      <c r="H289" s="320">
        <v>6</v>
      </c>
      <c r="I289" s="313" t="s">
        <v>9</v>
      </c>
      <c r="J289" s="40">
        <f>F289</f>
        <v>418</v>
      </c>
      <c r="K289" s="314">
        <f>ROUND(H289*J289,0)</f>
        <v>2508</v>
      </c>
      <c r="L289" s="314">
        <f t="shared" si="14"/>
        <v>0</v>
      </c>
      <c r="M289" s="314">
        <f t="shared" si="15"/>
        <v>0</v>
      </c>
      <c r="N289" s="315" t="s">
        <v>302</v>
      </c>
      <c r="O289" s="321" t="s">
        <v>251</v>
      </c>
    </row>
    <row r="290" spans="1:15" s="321" customFormat="1" outlineLevel="1">
      <c r="A290" s="317"/>
      <c r="B290" s="317" t="str">
        <f t="shared" si="16"/>
        <v/>
      </c>
      <c r="C290" s="322" t="s">
        <v>358</v>
      </c>
      <c r="D290" s="317"/>
      <c r="E290" s="319"/>
      <c r="F290" s="5"/>
      <c r="G290" s="314"/>
      <c r="H290" s="320"/>
      <c r="I290" s="313"/>
      <c r="J290" s="40"/>
      <c r="K290" s="314"/>
      <c r="L290" s="314"/>
      <c r="M290" s="314"/>
      <c r="N290" s="315"/>
      <c r="O290" s="321" t="s">
        <v>251</v>
      </c>
    </row>
    <row r="291" spans="1:15" s="321" customFormat="1" ht="12.1" customHeight="1" outlineLevel="1">
      <c r="A291" s="313"/>
      <c r="B291" s="317" t="str">
        <f t="shared" si="16"/>
        <v/>
      </c>
      <c r="F291" s="40"/>
      <c r="G291" s="314"/>
      <c r="H291" s="320"/>
      <c r="I291" s="313"/>
      <c r="J291" s="40"/>
      <c r="K291" s="314"/>
      <c r="L291" s="314">
        <f t="shared" si="14"/>
        <v>0</v>
      </c>
      <c r="M291" s="314">
        <f t="shared" si="15"/>
        <v>0</v>
      </c>
      <c r="N291" s="315"/>
      <c r="O291" s="321" t="s">
        <v>251</v>
      </c>
    </row>
    <row r="292" spans="1:15" s="321" customFormat="1" ht="19.899999999999999" customHeight="1">
      <c r="A292" s="313"/>
      <c r="B292" s="317" t="str">
        <f t="shared" si="16"/>
        <v/>
      </c>
      <c r="F292" s="40"/>
      <c r="G292" s="329">
        <f>ROUND(SUM(G253:G291),0)</f>
        <v>215122</v>
      </c>
      <c r="H292" s="320"/>
      <c r="I292" s="313"/>
      <c r="J292" s="42" t="s">
        <v>32</v>
      </c>
      <c r="K292" s="329">
        <f>ROUND(SUM(K253:K291),0)</f>
        <v>136973</v>
      </c>
      <c r="L292" s="329">
        <f>SUM(L253:L291)</f>
        <v>7086</v>
      </c>
      <c r="M292" s="329">
        <f>SUM(M253:M291)</f>
        <v>85235</v>
      </c>
      <c r="N292" s="341"/>
    </row>
    <row r="293" spans="1:15" s="321" customFormat="1" ht="19.899999999999999" customHeight="1">
      <c r="A293" s="313"/>
      <c r="B293" s="317" t="str">
        <f t="shared" si="16"/>
        <v/>
      </c>
      <c r="C293" s="331" t="s">
        <v>34</v>
      </c>
      <c r="F293" s="40"/>
      <c r="G293" s="312"/>
      <c r="H293" s="320"/>
      <c r="I293" s="313"/>
      <c r="J293" s="40"/>
      <c r="K293" s="312"/>
      <c r="L293" s="314"/>
      <c r="M293" s="314"/>
      <c r="N293" s="315"/>
    </row>
    <row r="294" spans="1:15" s="321" customFormat="1" ht="153.69999999999999" customHeight="1" outlineLevel="1">
      <c r="A294" s="317">
        <v>293</v>
      </c>
      <c r="B294" s="317" t="str">
        <f t="shared" si="16"/>
        <v>IVF293</v>
      </c>
      <c r="C294" s="318" t="s">
        <v>27</v>
      </c>
      <c r="D294" s="317">
        <v>200</v>
      </c>
      <c r="E294" s="319" t="s">
        <v>14</v>
      </c>
      <c r="F294" s="5">
        <v>116</v>
      </c>
      <c r="G294" s="314">
        <f>ROUND(D294*F294,0)</f>
        <v>23200</v>
      </c>
      <c r="H294" s="320">
        <f>D294</f>
        <v>200</v>
      </c>
      <c r="I294" s="313" t="s">
        <v>14</v>
      </c>
      <c r="J294" s="40">
        <f>F294</f>
        <v>116</v>
      </c>
      <c r="K294" s="314">
        <f>ROUND(H294*J294,0)</f>
        <v>23200</v>
      </c>
      <c r="L294" s="314">
        <f>ROUND(IF(K294&gt;G294,K294-G294,0),0)</f>
        <v>0</v>
      </c>
      <c r="M294" s="314">
        <f>ROUND(IF(K294&lt;G294,G294-K294,0),0)</f>
        <v>0</v>
      </c>
      <c r="N294" s="332" t="s">
        <v>589</v>
      </c>
      <c r="O294" s="321" t="s">
        <v>249</v>
      </c>
    </row>
    <row r="295" spans="1:15" s="321" customFormat="1" outlineLevel="1">
      <c r="A295" s="313"/>
      <c r="B295" s="317" t="str">
        <f t="shared" si="16"/>
        <v/>
      </c>
      <c r="C295" s="327" t="s">
        <v>30</v>
      </c>
      <c r="F295" s="40"/>
      <c r="G295" s="314"/>
      <c r="H295" s="320">
        <v>263.5</v>
      </c>
      <c r="I295" s="319" t="s">
        <v>14</v>
      </c>
      <c r="J295" s="40">
        <f>J294</f>
        <v>116</v>
      </c>
      <c r="K295" s="314">
        <f>ROUND(H295*J295,0)</f>
        <v>30566</v>
      </c>
      <c r="L295" s="314">
        <f t="shared" ref="L295:L401" si="17">ROUND(IF(K295&gt;G295,K295-G295,0),0)</f>
        <v>30566</v>
      </c>
      <c r="M295" s="314">
        <f t="shared" ref="M295:M401" si="18">ROUND(IF(K295&lt;G295,G295-K295,0),0)</f>
        <v>0</v>
      </c>
      <c r="N295" s="332"/>
      <c r="O295" s="321" t="s">
        <v>249</v>
      </c>
    </row>
    <row r="296" spans="1:15" s="321" customFormat="1" outlineLevel="1">
      <c r="A296" s="313"/>
      <c r="B296" s="317" t="str">
        <f t="shared" si="16"/>
        <v/>
      </c>
      <c r="C296" s="323" t="s">
        <v>339</v>
      </c>
      <c r="F296" s="40"/>
      <c r="G296" s="314"/>
      <c r="H296" s="320"/>
      <c r="I296" s="319"/>
      <c r="J296" s="40"/>
      <c r="K296" s="314"/>
      <c r="L296" s="314"/>
      <c r="M296" s="314"/>
      <c r="N296" s="315"/>
      <c r="O296" s="321" t="s">
        <v>249</v>
      </c>
    </row>
    <row r="297" spans="1:15" s="321" customFormat="1" ht="12.1" customHeight="1" outlineLevel="1">
      <c r="A297" s="313"/>
      <c r="B297" s="317" t="str">
        <f t="shared" si="16"/>
        <v/>
      </c>
      <c r="C297" s="323"/>
      <c r="F297" s="40"/>
      <c r="G297" s="314"/>
      <c r="H297" s="320"/>
      <c r="I297" s="319"/>
      <c r="J297" s="40"/>
      <c r="K297" s="314"/>
      <c r="L297" s="314"/>
      <c r="M297" s="314"/>
      <c r="N297" s="315"/>
      <c r="O297" s="321" t="s">
        <v>249</v>
      </c>
    </row>
    <row r="298" spans="1:15" s="321" customFormat="1" ht="138.1" customHeight="1" outlineLevel="1">
      <c r="A298" s="317">
        <v>294</v>
      </c>
      <c r="B298" s="317" t="str">
        <f t="shared" si="16"/>
        <v>IVF294</v>
      </c>
      <c r="C298" s="318" t="s">
        <v>26</v>
      </c>
      <c r="D298" s="317">
        <v>450</v>
      </c>
      <c r="E298" s="319" t="s">
        <v>14</v>
      </c>
      <c r="F298" s="5">
        <v>107</v>
      </c>
      <c r="G298" s="314">
        <f>ROUND(D298*F298,0)</f>
        <v>48150</v>
      </c>
      <c r="H298" s="320">
        <f>D298</f>
        <v>450</v>
      </c>
      <c r="I298" s="313" t="s">
        <v>14</v>
      </c>
      <c r="J298" s="40">
        <f>F298</f>
        <v>107</v>
      </c>
      <c r="K298" s="314">
        <f>ROUND(H298*J298,0)</f>
        <v>48150</v>
      </c>
      <c r="L298" s="314">
        <f t="shared" si="17"/>
        <v>0</v>
      </c>
      <c r="M298" s="314">
        <f t="shared" si="18"/>
        <v>0</v>
      </c>
      <c r="N298" s="332" t="s">
        <v>589</v>
      </c>
      <c r="O298" s="321" t="s">
        <v>249</v>
      </c>
    </row>
    <row r="299" spans="1:15" s="321" customFormat="1" outlineLevel="1">
      <c r="A299" s="313"/>
      <c r="B299" s="317" t="str">
        <f t="shared" si="16"/>
        <v/>
      </c>
      <c r="C299" s="327" t="s">
        <v>30</v>
      </c>
      <c r="F299" s="40"/>
      <c r="G299" s="314"/>
      <c r="H299" s="320">
        <v>902.8</v>
      </c>
      <c r="I299" s="313" t="s">
        <v>14</v>
      </c>
      <c r="J299" s="40">
        <f>J298</f>
        <v>107</v>
      </c>
      <c r="K299" s="314">
        <f>ROUND(H299*J299,0)</f>
        <v>96600</v>
      </c>
      <c r="L299" s="314">
        <f t="shared" si="17"/>
        <v>96600</v>
      </c>
      <c r="M299" s="314">
        <f t="shared" si="18"/>
        <v>0</v>
      </c>
      <c r="N299" s="332"/>
      <c r="O299" s="321" t="s">
        <v>249</v>
      </c>
    </row>
    <row r="300" spans="1:15" s="321" customFormat="1" outlineLevel="1">
      <c r="A300" s="313"/>
      <c r="B300" s="317" t="str">
        <f t="shared" si="16"/>
        <v/>
      </c>
      <c r="C300" s="323" t="s">
        <v>339</v>
      </c>
      <c r="F300" s="40"/>
      <c r="G300" s="314"/>
      <c r="H300" s="320"/>
      <c r="I300" s="313"/>
      <c r="J300" s="40"/>
      <c r="K300" s="314"/>
      <c r="L300" s="314"/>
      <c r="M300" s="314"/>
      <c r="N300" s="332"/>
      <c r="O300" s="321" t="s">
        <v>249</v>
      </c>
    </row>
    <row r="301" spans="1:15" s="321" customFormat="1" ht="12.1" customHeight="1" outlineLevel="1">
      <c r="A301" s="313"/>
      <c r="B301" s="317" t="str">
        <f t="shared" si="16"/>
        <v/>
      </c>
      <c r="C301" s="323"/>
      <c r="F301" s="40"/>
      <c r="G301" s="314"/>
      <c r="H301" s="320"/>
      <c r="I301" s="313"/>
      <c r="J301" s="40"/>
      <c r="K301" s="314"/>
      <c r="L301" s="314"/>
      <c r="M301" s="314"/>
      <c r="N301" s="315"/>
      <c r="O301" s="321" t="s">
        <v>249</v>
      </c>
    </row>
    <row r="302" spans="1:15" s="321" customFormat="1" ht="168.8" customHeight="1" outlineLevel="1">
      <c r="A302" s="317">
        <v>295</v>
      </c>
      <c r="B302" s="317" t="str">
        <f t="shared" si="16"/>
        <v>IVF295</v>
      </c>
      <c r="C302" s="318" t="s">
        <v>431</v>
      </c>
      <c r="D302" s="317">
        <v>100</v>
      </c>
      <c r="E302" s="319" t="s">
        <v>16</v>
      </c>
      <c r="F302" s="5">
        <v>945</v>
      </c>
      <c r="G302" s="314">
        <f>ROUND(D302*F302,0)</f>
        <v>94500</v>
      </c>
      <c r="H302" s="320">
        <f>D302</f>
        <v>100</v>
      </c>
      <c r="I302" s="313" t="s">
        <v>16</v>
      </c>
      <c r="J302" s="40">
        <f>F302</f>
        <v>945</v>
      </c>
      <c r="K302" s="314">
        <f>ROUND(H302*J302,0)</f>
        <v>94500</v>
      </c>
      <c r="L302" s="314">
        <f t="shared" si="17"/>
        <v>0</v>
      </c>
      <c r="M302" s="314">
        <f t="shared" si="18"/>
        <v>0</v>
      </c>
      <c r="N302" s="332" t="s">
        <v>590</v>
      </c>
      <c r="O302" s="321" t="s">
        <v>249</v>
      </c>
    </row>
    <row r="303" spans="1:15" s="321" customFormat="1" outlineLevel="1">
      <c r="A303" s="313"/>
      <c r="B303" s="317" t="str">
        <f t="shared" si="16"/>
        <v/>
      </c>
      <c r="C303" s="327" t="s">
        <v>30</v>
      </c>
      <c r="F303" s="40"/>
      <c r="G303" s="314"/>
      <c r="H303" s="320">
        <f>258-100</f>
        <v>158</v>
      </c>
      <c r="I303" s="313" t="s">
        <v>16</v>
      </c>
      <c r="J303" s="40">
        <f>J302</f>
        <v>945</v>
      </c>
      <c r="K303" s="314">
        <f>ROUND(H303*J303,0)</f>
        <v>149310</v>
      </c>
      <c r="L303" s="314">
        <f t="shared" si="17"/>
        <v>149310</v>
      </c>
      <c r="M303" s="314">
        <f t="shared" si="18"/>
        <v>0</v>
      </c>
      <c r="N303" s="332"/>
      <c r="O303" s="321" t="s">
        <v>249</v>
      </c>
    </row>
    <row r="304" spans="1:15" s="321" customFormat="1" outlineLevel="1">
      <c r="A304" s="313"/>
      <c r="B304" s="317" t="str">
        <f t="shared" si="16"/>
        <v/>
      </c>
      <c r="C304" s="323" t="s">
        <v>341</v>
      </c>
      <c r="F304" s="40"/>
      <c r="G304" s="314"/>
      <c r="H304" s="320"/>
      <c r="I304" s="313"/>
      <c r="J304" s="40"/>
      <c r="K304" s="314"/>
      <c r="L304" s="314"/>
      <c r="M304" s="314"/>
      <c r="N304" s="315"/>
      <c r="O304" s="321" t="s">
        <v>249</v>
      </c>
    </row>
    <row r="305" spans="1:15" s="321" customFormat="1" ht="12.1" customHeight="1" outlineLevel="1">
      <c r="A305" s="313"/>
      <c r="B305" s="317" t="str">
        <f t="shared" si="16"/>
        <v/>
      </c>
      <c r="C305" s="323"/>
      <c r="F305" s="40"/>
      <c r="G305" s="314"/>
      <c r="H305" s="320"/>
      <c r="I305" s="313"/>
      <c r="J305" s="40"/>
      <c r="K305" s="314"/>
      <c r="L305" s="314"/>
      <c r="M305" s="314"/>
      <c r="N305" s="315"/>
      <c r="O305" s="321" t="s">
        <v>249</v>
      </c>
    </row>
    <row r="306" spans="1:15" s="321" customFormat="1" ht="138.75" customHeight="1" outlineLevel="1">
      <c r="A306" s="317">
        <v>296</v>
      </c>
      <c r="B306" s="317" t="str">
        <f t="shared" si="16"/>
        <v>IVF296</v>
      </c>
      <c r="C306" s="318" t="s">
        <v>432</v>
      </c>
      <c r="D306" s="317">
        <v>12</v>
      </c>
      <c r="E306" s="319" t="s">
        <v>9</v>
      </c>
      <c r="F306" s="5">
        <v>675</v>
      </c>
      <c r="G306" s="314">
        <f>ROUND(D306*F306,0)</f>
        <v>8100</v>
      </c>
      <c r="H306" s="320">
        <v>12</v>
      </c>
      <c r="I306" s="313" t="s">
        <v>9</v>
      </c>
      <c r="J306" s="40">
        <f>F306</f>
        <v>675</v>
      </c>
      <c r="K306" s="314">
        <f>ROUND(H306*J306,0)</f>
        <v>8100</v>
      </c>
      <c r="L306" s="314">
        <f t="shared" si="17"/>
        <v>0</v>
      </c>
      <c r="M306" s="314">
        <f t="shared" si="18"/>
        <v>0</v>
      </c>
      <c r="N306" s="332" t="s">
        <v>591</v>
      </c>
      <c r="O306" s="321" t="s">
        <v>249</v>
      </c>
    </row>
    <row r="307" spans="1:15" s="321" customFormat="1" outlineLevel="1">
      <c r="A307" s="313"/>
      <c r="B307" s="317" t="str">
        <f t="shared" si="16"/>
        <v/>
      </c>
      <c r="C307" s="327" t="s">
        <v>30</v>
      </c>
      <c r="F307" s="40"/>
      <c r="G307" s="314"/>
      <c r="H307" s="320">
        <f>33-H306</f>
        <v>21</v>
      </c>
      <c r="I307" s="313" t="s">
        <v>9</v>
      </c>
      <c r="J307" s="40">
        <f>J306</f>
        <v>675</v>
      </c>
      <c r="K307" s="314">
        <f>ROUND(H307*J307,0)</f>
        <v>14175</v>
      </c>
      <c r="L307" s="314">
        <f t="shared" si="17"/>
        <v>14175</v>
      </c>
      <c r="M307" s="314">
        <f t="shared" si="18"/>
        <v>0</v>
      </c>
      <c r="N307" s="332"/>
      <c r="O307" s="321" t="s">
        <v>249</v>
      </c>
    </row>
    <row r="308" spans="1:15" s="321" customFormat="1" outlineLevel="1">
      <c r="A308" s="313"/>
      <c r="B308" s="317" t="str">
        <f t="shared" si="16"/>
        <v/>
      </c>
      <c r="C308" s="323" t="s">
        <v>372</v>
      </c>
      <c r="F308" s="40"/>
      <c r="G308" s="314"/>
      <c r="H308" s="320"/>
      <c r="I308" s="313"/>
      <c r="J308" s="40"/>
      <c r="K308" s="314"/>
      <c r="L308" s="314"/>
      <c r="M308" s="314"/>
      <c r="N308" s="315"/>
      <c r="O308" s="321" t="s">
        <v>249</v>
      </c>
    </row>
    <row r="309" spans="1:15" s="321" customFormat="1" ht="12.1" customHeight="1" outlineLevel="1">
      <c r="A309" s="313"/>
      <c r="B309" s="317" t="str">
        <f t="shared" si="16"/>
        <v/>
      </c>
      <c r="C309" s="323"/>
      <c r="F309" s="40"/>
      <c r="G309" s="314"/>
      <c r="H309" s="320"/>
      <c r="I309" s="313"/>
      <c r="J309" s="40"/>
      <c r="K309" s="314"/>
      <c r="L309" s="314"/>
      <c r="M309" s="314"/>
      <c r="N309" s="315"/>
      <c r="O309" s="321" t="s">
        <v>249</v>
      </c>
    </row>
    <row r="310" spans="1:15" s="321" customFormat="1" ht="123.8" customHeight="1" outlineLevel="1">
      <c r="A310" s="317">
        <v>297</v>
      </c>
      <c r="B310" s="317" t="str">
        <f t="shared" si="16"/>
        <v>IVF297</v>
      </c>
      <c r="C310" s="318" t="s">
        <v>433</v>
      </c>
      <c r="D310" s="317">
        <v>40</v>
      </c>
      <c r="E310" s="319" t="s">
        <v>9</v>
      </c>
      <c r="F310" s="5">
        <v>1040</v>
      </c>
      <c r="G310" s="314">
        <f>ROUND(D310*F310,0)</f>
        <v>41600</v>
      </c>
      <c r="H310" s="320">
        <v>28</v>
      </c>
      <c r="I310" s="313" t="s">
        <v>9</v>
      </c>
      <c r="J310" s="40">
        <f>F310</f>
        <v>1040</v>
      </c>
      <c r="K310" s="314">
        <f>ROUND(H310*J310,0)</f>
        <v>29120</v>
      </c>
      <c r="L310" s="314">
        <f t="shared" si="17"/>
        <v>0</v>
      </c>
      <c r="M310" s="314">
        <f t="shared" si="18"/>
        <v>12480</v>
      </c>
      <c r="N310" s="315" t="s">
        <v>302</v>
      </c>
      <c r="O310" s="321" t="s">
        <v>249</v>
      </c>
    </row>
    <row r="311" spans="1:15" s="321" customFormat="1" outlineLevel="1">
      <c r="A311" s="317"/>
      <c r="B311" s="317" t="str">
        <f t="shared" si="16"/>
        <v/>
      </c>
      <c r="C311" s="322" t="s">
        <v>373</v>
      </c>
      <c r="D311" s="317"/>
      <c r="E311" s="319"/>
      <c r="F311" s="5"/>
      <c r="G311" s="314"/>
      <c r="H311" s="320"/>
      <c r="I311" s="313"/>
      <c r="J311" s="40"/>
      <c r="K311" s="314"/>
      <c r="L311" s="314"/>
      <c r="M311" s="314"/>
      <c r="N311" s="315"/>
      <c r="O311" s="321" t="s">
        <v>249</v>
      </c>
    </row>
    <row r="312" spans="1:15" s="321" customFormat="1" ht="12.1" customHeight="1" outlineLevel="1">
      <c r="A312" s="313"/>
      <c r="B312" s="317" t="str">
        <f t="shared" si="16"/>
        <v/>
      </c>
      <c r="F312" s="40"/>
      <c r="G312" s="314"/>
      <c r="H312" s="320"/>
      <c r="I312" s="313"/>
      <c r="J312" s="40"/>
      <c r="K312" s="314"/>
      <c r="L312" s="314">
        <f t="shared" si="17"/>
        <v>0</v>
      </c>
      <c r="M312" s="314">
        <f t="shared" si="18"/>
        <v>0</v>
      </c>
      <c r="N312" s="315"/>
      <c r="O312" s="321" t="s">
        <v>249</v>
      </c>
    </row>
    <row r="313" spans="1:15" s="321" customFormat="1" ht="125.35" customHeight="1" outlineLevel="1">
      <c r="A313" s="317">
        <v>298</v>
      </c>
      <c r="B313" s="317" t="str">
        <f t="shared" si="16"/>
        <v>IVF298</v>
      </c>
      <c r="C313" s="318" t="s">
        <v>434</v>
      </c>
      <c r="D313" s="317">
        <v>60</v>
      </c>
      <c r="E313" s="319" t="s">
        <v>9</v>
      </c>
      <c r="F313" s="5">
        <v>1755</v>
      </c>
      <c r="G313" s="314">
        <f>ROUND(D313*F313,0)</f>
        <v>105300</v>
      </c>
      <c r="H313" s="320">
        <v>60</v>
      </c>
      <c r="I313" s="313" t="s">
        <v>9</v>
      </c>
      <c r="J313" s="40">
        <f>F313</f>
        <v>1755</v>
      </c>
      <c r="K313" s="314">
        <f>ROUND(H313*J313,0)</f>
        <v>105300</v>
      </c>
      <c r="L313" s="314">
        <f t="shared" si="17"/>
        <v>0</v>
      </c>
      <c r="M313" s="314">
        <f t="shared" si="18"/>
        <v>0</v>
      </c>
      <c r="N313" s="315" t="s">
        <v>588</v>
      </c>
      <c r="O313" s="321" t="s">
        <v>249</v>
      </c>
    </row>
    <row r="314" spans="1:15" s="321" customFormat="1" outlineLevel="1">
      <c r="A314" s="313"/>
      <c r="B314" s="317" t="str">
        <f t="shared" si="16"/>
        <v/>
      </c>
      <c r="C314" s="327" t="s">
        <v>30</v>
      </c>
      <c r="F314" s="40"/>
      <c r="G314" s="314"/>
      <c r="H314" s="320">
        <f>77-H313</f>
        <v>17</v>
      </c>
      <c r="I314" s="313" t="s">
        <v>9</v>
      </c>
      <c r="J314" s="40">
        <f>J313</f>
        <v>1755</v>
      </c>
      <c r="K314" s="314">
        <f>ROUND(H314*J314,0)</f>
        <v>29835</v>
      </c>
      <c r="L314" s="314">
        <f t="shared" si="17"/>
        <v>29835</v>
      </c>
      <c r="M314" s="314">
        <f t="shared" si="18"/>
        <v>0</v>
      </c>
      <c r="N314" s="315"/>
      <c r="O314" s="321" t="s">
        <v>249</v>
      </c>
    </row>
    <row r="315" spans="1:15" s="321" customFormat="1" outlineLevel="1">
      <c r="A315" s="313"/>
      <c r="B315" s="317" t="str">
        <f t="shared" si="16"/>
        <v/>
      </c>
      <c r="C315" s="323" t="s">
        <v>374</v>
      </c>
      <c r="F315" s="40"/>
      <c r="G315" s="314"/>
      <c r="H315" s="320"/>
      <c r="I315" s="313"/>
      <c r="J315" s="40"/>
      <c r="K315" s="314"/>
      <c r="L315" s="314"/>
      <c r="M315" s="314"/>
      <c r="N315" s="315"/>
      <c r="O315" s="321" t="s">
        <v>249</v>
      </c>
    </row>
    <row r="316" spans="1:15" s="321" customFormat="1" ht="12.1" customHeight="1" outlineLevel="1">
      <c r="A316" s="313"/>
      <c r="B316" s="317" t="str">
        <f t="shared" si="16"/>
        <v/>
      </c>
      <c r="C316" s="323"/>
      <c r="F316" s="40"/>
      <c r="G316" s="314"/>
      <c r="H316" s="320"/>
      <c r="I316" s="313"/>
      <c r="J316" s="40"/>
      <c r="K316" s="314"/>
      <c r="L316" s="314"/>
      <c r="M316" s="314"/>
      <c r="N316" s="315"/>
      <c r="O316" s="321" t="s">
        <v>249</v>
      </c>
    </row>
    <row r="317" spans="1:15" s="321" customFormat="1" ht="122.3" customHeight="1" outlineLevel="1">
      <c r="A317" s="317">
        <v>299</v>
      </c>
      <c r="B317" s="317" t="str">
        <f t="shared" si="16"/>
        <v>IVF299</v>
      </c>
      <c r="C317" s="318" t="s">
        <v>435</v>
      </c>
      <c r="D317" s="317">
        <v>10</v>
      </c>
      <c r="E317" s="319" t="s">
        <v>9</v>
      </c>
      <c r="F317" s="5">
        <v>3092</v>
      </c>
      <c r="G317" s="314">
        <f>ROUND(D317*F317,0)</f>
        <v>30920</v>
      </c>
      <c r="H317" s="320">
        <v>0</v>
      </c>
      <c r="I317" s="313" t="s">
        <v>9</v>
      </c>
      <c r="J317" s="40">
        <f>F317</f>
        <v>3092</v>
      </c>
      <c r="K317" s="314"/>
      <c r="L317" s="314">
        <f t="shared" si="17"/>
        <v>0</v>
      </c>
      <c r="M317" s="314">
        <f t="shared" si="18"/>
        <v>30920</v>
      </c>
      <c r="N317" s="315" t="s">
        <v>393</v>
      </c>
      <c r="O317" s="321" t="s">
        <v>249</v>
      </c>
    </row>
    <row r="318" spans="1:15" s="321" customFormat="1" ht="12.1" customHeight="1" outlineLevel="1">
      <c r="A318" s="313"/>
      <c r="B318" s="317" t="str">
        <f t="shared" si="16"/>
        <v/>
      </c>
      <c r="F318" s="40"/>
      <c r="G318" s="314"/>
      <c r="H318" s="320"/>
      <c r="I318" s="313"/>
      <c r="J318" s="40"/>
      <c r="K318" s="314"/>
      <c r="L318" s="314">
        <f t="shared" si="17"/>
        <v>0</v>
      </c>
      <c r="M318" s="314">
        <f t="shared" si="18"/>
        <v>0</v>
      </c>
      <c r="N318" s="315"/>
      <c r="O318" s="321" t="s">
        <v>249</v>
      </c>
    </row>
    <row r="319" spans="1:15" s="321" customFormat="1" ht="94.6" customHeight="1" outlineLevel="1">
      <c r="A319" s="317">
        <v>300</v>
      </c>
      <c r="B319" s="317" t="str">
        <f t="shared" si="16"/>
        <v>IVF300</v>
      </c>
      <c r="C319" s="318" t="s">
        <v>436</v>
      </c>
      <c r="D319" s="317">
        <v>350</v>
      </c>
      <c r="E319" s="319" t="s">
        <v>14</v>
      </c>
      <c r="F319" s="5">
        <v>40</v>
      </c>
      <c r="G319" s="314">
        <f>ROUND(D319*F319,0)</f>
        <v>14000</v>
      </c>
      <c r="H319" s="320">
        <f>D319</f>
        <v>350</v>
      </c>
      <c r="I319" s="313" t="s">
        <v>14</v>
      </c>
      <c r="J319" s="40">
        <f>F319</f>
        <v>40</v>
      </c>
      <c r="K319" s="314">
        <f>ROUND(H319*J319,0)</f>
        <v>14000</v>
      </c>
      <c r="L319" s="314">
        <f t="shared" si="17"/>
        <v>0</v>
      </c>
      <c r="M319" s="314">
        <f t="shared" si="18"/>
        <v>0</v>
      </c>
      <c r="N319" s="315" t="s">
        <v>592</v>
      </c>
      <c r="O319" s="321" t="s">
        <v>249</v>
      </c>
    </row>
    <row r="320" spans="1:15" s="321" customFormat="1" outlineLevel="1">
      <c r="A320" s="313"/>
      <c r="B320" s="317" t="str">
        <f t="shared" si="16"/>
        <v/>
      </c>
      <c r="C320" s="327" t="s">
        <v>30</v>
      </c>
      <c r="F320" s="40"/>
      <c r="G320" s="314"/>
      <c r="H320" s="320">
        <v>29.6</v>
      </c>
      <c r="I320" s="313" t="s">
        <v>14</v>
      </c>
      <c r="J320" s="40">
        <f>J319</f>
        <v>40</v>
      </c>
      <c r="K320" s="314">
        <f>ROUND(H320*J320,0)</f>
        <v>1184</v>
      </c>
      <c r="L320" s="314">
        <f t="shared" si="17"/>
        <v>1184</v>
      </c>
      <c r="M320" s="314">
        <f t="shared" si="18"/>
        <v>0</v>
      </c>
      <c r="N320" s="315"/>
      <c r="O320" s="321" t="s">
        <v>249</v>
      </c>
    </row>
    <row r="321" spans="1:15" s="321" customFormat="1" outlineLevel="1">
      <c r="A321" s="313"/>
      <c r="B321" s="317" t="str">
        <f t="shared" si="16"/>
        <v/>
      </c>
      <c r="C321" s="323" t="s">
        <v>340</v>
      </c>
      <c r="F321" s="40"/>
      <c r="G321" s="314"/>
      <c r="H321" s="320"/>
      <c r="I321" s="313"/>
      <c r="J321" s="40"/>
      <c r="K321" s="314"/>
      <c r="L321" s="314"/>
      <c r="M321" s="314"/>
      <c r="N321" s="315"/>
      <c r="O321" s="321" t="s">
        <v>249</v>
      </c>
    </row>
    <row r="322" spans="1:15" s="321" customFormat="1" ht="12.1" customHeight="1" outlineLevel="1">
      <c r="A322" s="313"/>
      <c r="B322" s="317" t="str">
        <f t="shared" si="16"/>
        <v/>
      </c>
      <c r="C322" s="323"/>
      <c r="F322" s="40"/>
      <c r="G322" s="314"/>
      <c r="H322" s="320"/>
      <c r="I322" s="313"/>
      <c r="J322" s="40"/>
      <c r="K322" s="314"/>
      <c r="L322" s="314"/>
      <c r="M322" s="314"/>
      <c r="N322" s="315"/>
      <c r="O322" s="321" t="s">
        <v>249</v>
      </c>
    </row>
    <row r="323" spans="1:15" s="321" customFormat="1" ht="166.6" customHeight="1" outlineLevel="1">
      <c r="A323" s="317">
        <v>301</v>
      </c>
      <c r="B323" s="317" t="str">
        <f t="shared" si="16"/>
        <v>IVF301</v>
      </c>
      <c r="C323" s="318" t="s">
        <v>437</v>
      </c>
      <c r="D323" s="317">
        <v>600</v>
      </c>
      <c r="E323" s="319" t="s">
        <v>14</v>
      </c>
      <c r="F323" s="5">
        <v>177</v>
      </c>
      <c r="G323" s="314">
        <f>ROUND(D323*F323,0)</f>
        <v>106200</v>
      </c>
      <c r="H323" s="320">
        <f>D323</f>
        <v>600</v>
      </c>
      <c r="I323" s="313" t="s">
        <v>14</v>
      </c>
      <c r="J323" s="40">
        <f>F323</f>
        <v>177</v>
      </c>
      <c r="K323" s="314">
        <f>ROUND(H323*J323,0)</f>
        <v>106200</v>
      </c>
      <c r="L323" s="314">
        <f t="shared" si="17"/>
        <v>0</v>
      </c>
      <c r="M323" s="314">
        <f t="shared" si="18"/>
        <v>0</v>
      </c>
      <c r="N323" s="315" t="s">
        <v>593</v>
      </c>
      <c r="O323" s="321" t="s">
        <v>249</v>
      </c>
    </row>
    <row r="324" spans="1:15" s="321" customFormat="1" outlineLevel="1">
      <c r="A324" s="313"/>
      <c r="B324" s="317" t="str">
        <f t="shared" si="16"/>
        <v/>
      </c>
      <c r="C324" s="327" t="s">
        <v>30</v>
      </c>
      <c r="F324" s="40"/>
      <c r="G324" s="314"/>
      <c r="H324" s="320">
        <v>1113.0999999999999</v>
      </c>
      <c r="I324" s="313" t="s">
        <v>14</v>
      </c>
      <c r="J324" s="40">
        <f>J323</f>
        <v>177</v>
      </c>
      <c r="K324" s="314">
        <f>ROUND(H324*J324,0)</f>
        <v>197019</v>
      </c>
      <c r="L324" s="314">
        <f t="shared" si="17"/>
        <v>197019</v>
      </c>
      <c r="M324" s="314">
        <f t="shared" si="18"/>
        <v>0</v>
      </c>
      <c r="N324" s="315"/>
      <c r="O324" s="321" t="s">
        <v>249</v>
      </c>
    </row>
    <row r="325" spans="1:15" s="321" customFormat="1" outlineLevel="1">
      <c r="A325" s="313"/>
      <c r="B325" s="317" t="str">
        <f t="shared" si="16"/>
        <v/>
      </c>
      <c r="C325" s="323" t="s">
        <v>340</v>
      </c>
      <c r="F325" s="40"/>
      <c r="G325" s="314"/>
      <c r="H325" s="320"/>
      <c r="I325" s="313"/>
      <c r="J325" s="40"/>
      <c r="K325" s="314"/>
      <c r="L325" s="314"/>
      <c r="M325" s="314"/>
      <c r="N325" s="315"/>
      <c r="O325" s="321" t="s">
        <v>249</v>
      </c>
    </row>
    <row r="326" spans="1:15" s="321" customFormat="1" ht="12.1" customHeight="1" outlineLevel="1">
      <c r="A326" s="313"/>
      <c r="B326" s="317" t="str">
        <f t="shared" si="16"/>
        <v/>
      </c>
      <c r="C326" s="323"/>
      <c r="F326" s="40"/>
      <c r="G326" s="314"/>
      <c r="H326" s="320"/>
      <c r="I326" s="313"/>
      <c r="J326" s="40"/>
      <c r="K326" s="314"/>
      <c r="L326" s="314"/>
      <c r="M326" s="314"/>
      <c r="N326" s="315"/>
      <c r="O326" s="321" t="s">
        <v>249</v>
      </c>
    </row>
    <row r="327" spans="1:15" s="321" customFormat="1" ht="165.1" customHeight="1" outlineLevel="1">
      <c r="A327" s="317">
        <v>302</v>
      </c>
      <c r="B327" s="317" t="str">
        <f t="shared" si="16"/>
        <v>IVF302</v>
      </c>
      <c r="C327" s="318" t="s">
        <v>438</v>
      </c>
      <c r="D327" s="317">
        <v>1200</v>
      </c>
      <c r="E327" s="319" t="s">
        <v>14</v>
      </c>
      <c r="F327" s="5">
        <v>255</v>
      </c>
      <c r="G327" s="314">
        <f>ROUND(D327*F327,0)</f>
        <v>306000</v>
      </c>
      <c r="H327" s="320">
        <f>D327</f>
        <v>1200</v>
      </c>
      <c r="I327" s="313" t="s">
        <v>14</v>
      </c>
      <c r="J327" s="40">
        <f>F327</f>
        <v>255</v>
      </c>
      <c r="K327" s="314">
        <f>ROUND(H327*J327,0)</f>
        <v>306000</v>
      </c>
      <c r="L327" s="314">
        <f t="shared" si="17"/>
        <v>0</v>
      </c>
      <c r="M327" s="314">
        <f t="shared" si="18"/>
        <v>0</v>
      </c>
      <c r="N327" s="315" t="s">
        <v>593</v>
      </c>
      <c r="O327" s="321" t="s">
        <v>249</v>
      </c>
    </row>
    <row r="328" spans="1:15" s="321" customFormat="1" outlineLevel="1">
      <c r="A328" s="313"/>
      <c r="B328" s="317" t="str">
        <f t="shared" si="16"/>
        <v/>
      </c>
      <c r="C328" s="327" t="s">
        <v>30</v>
      </c>
      <c r="F328" s="40"/>
      <c r="G328" s="314"/>
      <c r="H328" s="320">
        <v>1221</v>
      </c>
      <c r="I328" s="313" t="s">
        <v>14</v>
      </c>
      <c r="J328" s="40">
        <f>J327</f>
        <v>255</v>
      </c>
      <c r="K328" s="314">
        <f>ROUND(H328*J328,0)</f>
        <v>311355</v>
      </c>
      <c r="L328" s="314">
        <f t="shared" si="17"/>
        <v>311355</v>
      </c>
      <c r="M328" s="314">
        <f t="shared" si="18"/>
        <v>0</v>
      </c>
      <c r="N328" s="315"/>
      <c r="O328" s="321" t="s">
        <v>249</v>
      </c>
    </row>
    <row r="329" spans="1:15" s="321" customFormat="1" outlineLevel="1">
      <c r="A329" s="313"/>
      <c r="B329" s="317" t="str">
        <f t="shared" si="16"/>
        <v/>
      </c>
      <c r="C329" s="323" t="s">
        <v>340</v>
      </c>
      <c r="F329" s="40"/>
      <c r="G329" s="314"/>
      <c r="H329" s="320"/>
      <c r="I329" s="313"/>
      <c r="J329" s="40"/>
      <c r="K329" s="314"/>
      <c r="L329" s="314"/>
      <c r="M329" s="314"/>
      <c r="N329" s="315"/>
      <c r="O329" s="321" t="s">
        <v>249</v>
      </c>
    </row>
    <row r="330" spans="1:15" s="321" customFormat="1" ht="12.1" customHeight="1" outlineLevel="1">
      <c r="A330" s="313"/>
      <c r="B330" s="317" t="str">
        <f t="shared" ref="B330:B394" si="19">IF(ISBLANK(A330), "","IVF"&amp;A330)</f>
        <v/>
      </c>
      <c r="C330" s="323"/>
      <c r="F330" s="40"/>
      <c r="G330" s="314"/>
      <c r="H330" s="320"/>
      <c r="I330" s="313"/>
      <c r="J330" s="40"/>
      <c r="K330" s="314"/>
      <c r="L330" s="314"/>
      <c r="M330" s="314"/>
      <c r="N330" s="315"/>
      <c r="O330" s="321" t="s">
        <v>249</v>
      </c>
    </row>
    <row r="331" spans="1:15" s="321" customFormat="1" ht="153" customHeight="1" outlineLevel="1">
      <c r="A331" s="317">
        <v>303</v>
      </c>
      <c r="B331" s="317" t="str">
        <f t="shared" si="19"/>
        <v>IVF303</v>
      </c>
      <c r="C331" s="318" t="s">
        <v>439</v>
      </c>
      <c r="D331" s="317">
        <v>60</v>
      </c>
      <c r="E331" s="319" t="s">
        <v>14</v>
      </c>
      <c r="F331" s="5">
        <v>606</v>
      </c>
      <c r="G331" s="314">
        <f>ROUND(D331*F331,0)</f>
        <v>36360</v>
      </c>
      <c r="H331" s="320">
        <f>D331</f>
        <v>60</v>
      </c>
      <c r="I331" s="313" t="s">
        <v>14</v>
      </c>
      <c r="J331" s="40">
        <f>F331</f>
        <v>606</v>
      </c>
      <c r="K331" s="314">
        <f>ROUND(H331*J331,0)</f>
        <v>36360</v>
      </c>
      <c r="L331" s="314">
        <f t="shared" si="17"/>
        <v>0</v>
      </c>
      <c r="M331" s="314">
        <f t="shared" si="18"/>
        <v>0</v>
      </c>
      <c r="N331" s="315" t="s">
        <v>594</v>
      </c>
      <c r="O331" s="321" t="s">
        <v>249</v>
      </c>
    </row>
    <row r="332" spans="1:15" s="321" customFormat="1" outlineLevel="1">
      <c r="A332" s="313"/>
      <c r="B332" s="317" t="str">
        <f t="shared" si="19"/>
        <v/>
      </c>
      <c r="C332" s="327" t="s">
        <v>30</v>
      </c>
      <c r="F332" s="40"/>
      <c r="G332" s="314"/>
      <c r="H332" s="320">
        <v>180.1</v>
      </c>
      <c r="I332" s="313" t="s">
        <v>14</v>
      </c>
      <c r="J332" s="40">
        <f>J331</f>
        <v>606</v>
      </c>
      <c r="K332" s="314">
        <f>ROUND(H332*J332,0)</f>
        <v>109141</v>
      </c>
      <c r="L332" s="314">
        <f t="shared" si="17"/>
        <v>109141</v>
      </c>
      <c r="M332" s="314">
        <f t="shared" si="18"/>
        <v>0</v>
      </c>
      <c r="N332" s="315"/>
      <c r="O332" s="321" t="s">
        <v>249</v>
      </c>
    </row>
    <row r="333" spans="1:15" s="321" customFormat="1" outlineLevel="1">
      <c r="A333" s="313"/>
      <c r="B333" s="317" t="str">
        <f t="shared" si="19"/>
        <v/>
      </c>
      <c r="C333" s="323" t="s">
        <v>340</v>
      </c>
      <c r="F333" s="40"/>
      <c r="G333" s="314"/>
      <c r="H333" s="320"/>
      <c r="I333" s="313"/>
      <c r="J333" s="40"/>
      <c r="K333" s="314"/>
      <c r="L333" s="314"/>
      <c r="M333" s="314"/>
      <c r="N333" s="315"/>
      <c r="O333" s="321" t="s">
        <v>249</v>
      </c>
    </row>
    <row r="334" spans="1:15" s="321" customFormat="1" ht="12.1" customHeight="1" outlineLevel="1">
      <c r="A334" s="313"/>
      <c r="B334" s="317" t="str">
        <f t="shared" si="19"/>
        <v/>
      </c>
      <c r="C334" s="323"/>
      <c r="F334" s="40"/>
      <c r="G334" s="314"/>
      <c r="H334" s="320"/>
      <c r="I334" s="313"/>
      <c r="J334" s="40"/>
      <c r="K334" s="314"/>
      <c r="L334" s="314"/>
      <c r="M334" s="314"/>
      <c r="N334" s="315"/>
      <c r="O334" s="321" t="s">
        <v>249</v>
      </c>
    </row>
    <row r="335" spans="1:15" s="321" customFormat="1" ht="151.5" customHeight="1" outlineLevel="1">
      <c r="A335" s="317">
        <v>304</v>
      </c>
      <c r="B335" s="317" t="str">
        <f t="shared" si="19"/>
        <v>IVF304</v>
      </c>
      <c r="C335" s="318" t="s">
        <v>440</v>
      </c>
      <c r="D335" s="317">
        <v>40</v>
      </c>
      <c r="E335" s="319" t="s">
        <v>14</v>
      </c>
      <c r="F335" s="5">
        <v>967</v>
      </c>
      <c r="G335" s="314">
        <f>ROUND(D335*F335,0)</f>
        <v>38680</v>
      </c>
      <c r="H335" s="320">
        <f>D335</f>
        <v>40</v>
      </c>
      <c r="I335" s="313" t="s">
        <v>14</v>
      </c>
      <c r="J335" s="40">
        <f>F335</f>
        <v>967</v>
      </c>
      <c r="K335" s="314">
        <f>ROUND(H335*J335,0)</f>
        <v>38680</v>
      </c>
      <c r="L335" s="314">
        <f t="shared" si="17"/>
        <v>0</v>
      </c>
      <c r="M335" s="314">
        <f t="shared" si="18"/>
        <v>0</v>
      </c>
      <c r="N335" s="315" t="s">
        <v>595</v>
      </c>
      <c r="O335" s="321" t="s">
        <v>249</v>
      </c>
    </row>
    <row r="336" spans="1:15" s="321" customFormat="1" outlineLevel="1">
      <c r="A336" s="313"/>
      <c r="B336" s="317" t="str">
        <f t="shared" si="19"/>
        <v/>
      </c>
      <c r="C336" s="327" t="s">
        <v>30</v>
      </c>
      <c r="F336" s="40"/>
      <c r="G336" s="314"/>
      <c r="H336" s="320">
        <v>244</v>
      </c>
      <c r="I336" s="313" t="s">
        <v>14</v>
      </c>
      <c r="J336" s="40">
        <f>J335</f>
        <v>967</v>
      </c>
      <c r="K336" s="314">
        <f>ROUND(H336*J336,0)</f>
        <v>235948</v>
      </c>
      <c r="L336" s="314">
        <f t="shared" si="17"/>
        <v>235948</v>
      </c>
      <c r="M336" s="314">
        <f t="shared" si="18"/>
        <v>0</v>
      </c>
      <c r="N336" s="315"/>
      <c r="O336" s="321" t="s">
        <v>249</v>
      </c>
    </row>
    <row r="337" spans="1:15" s="321" customFormat="1" outlineLevel="1">
      <c r="A337" s="313"/>
      <c r="B337" s="317" t="str">
        <f t="shared" si="19"/>
        <v/>
      </c>
      <c r="C337" s="323" t="s">
        <v>340</v>
      </c>
      <c r="F337" s="40"/>
      <c r="G337" s="314"/>
      <c r="H337" s="320"/>
      <c r="I337" s="313"/>
      <c r="J337" s="40"/>
      <c r="K337" s="314"/>
      <c r="L337" s="314"/>
      <c r="M337" s="314"/>
      <c r="N337" s="315"/>
      <c r="O337" s="321" t="s">
        <v>249</v>
      </c>
    </row>
    <row r="338" spans="1:15" s="321" customFormat="1" ht="12.1" customHeight="1" outlineLevel="1">
      <c r="A338" s="313"/>
      <c r="B338" s="317" t="str">
        <f t="shared" si="19"/>
        <v/>
      </c>
      <c r="C338" s="323"/>
      <c r="F338" s="40"/>
      <c r="G338" s="314"/>
      <c r="H338" s="320"/>
      <c r="I338" s="313"/>
      <c r="J338" s="40"/>
      <c r="K338" s="314"/>
      <c r="L338" s="314"/>
      <c r="M338" s="314"/>
      <c r="N338" s="315"/>
      <c r="O338" s="321" t="s">
        <v>249</v>
      </c>
    </row>
    <row r="339" spans="1:15" s="321" customFormat="1" ht="95.3" customHeight="1" outlineLevel="1">
      <c r="A339" s="317">
        <v>305</v>
      </c>
      <c r="B339" s="317" t="str">
        <f t="shared" si="19"/>
        <v>IVF305</v>
      </c>
      <c r="C339" s="318" t="s">
        <v>116</v>
      </c>
      <c r="D339" s="317">
        <v>5</v>
      </c>
      <c r="E339" s="319" t="s">
        <v>9</v>
      </c>
      <c r="F339" s="5">
        <v>2562</v>
      </c>
      <c r="G339" s="314">
        <f>ROUND(D339*F339,0)</f>
        <v>12810</v>
      </c>
      <c r="H339" s="320">
        <v>0</v>
      </c>
      <c r="I339" s="313" t="s">
        <v>9</v>
      </c>
      <c r="J339" s="40">
        <f>F339</f>
        <v>2562</v>
      </c>
      <c r="K339" s="314"/>
      <c r="L339" s="314">
        <f t="shared" si="17"/>
        <v>0</v>
      </c>
      <c r="M339" s="314">
        <f t="shared" si="18"/>
        <v>12810</v>
      </c>
      <c r="N339" s="315" t="s">
        <v>393</v>
      </c>
      <c r="O339" s="321" t="s">
        <v>249</v>
      </c>
    </row>
    <row r="340" spans="1:15" s="321" customFormat="1" ht="12.1" customHeight="1" outlineLevel="1">
      <c r="A340" s="313"/>
      <c r="B340" s="317" t="str">
        <f t="shared" si="19"/>
        <v/>
      </c>
      <c r="F340" s="40"/>
      <c r="G340" s="314"/>
      <c r="H340" s="320"/>
      <c r="I340" s="313"/>
      <c r="J340" s="40"/>
      <c r="K340" s="314"/>
      <c r="L340" s="314">
        <f t="shared" si="17"/>
        <v>0</v>
      </c>
      <c r="M340" s="314">
        <f t="shared" si="18"/>
        <v>0</v>
      </c>
      <c r="N340" s="315"/>
      <c r="O340" s="321" t="s">
        <v>249</v>
      </c>
    </row>
    <row r="341" spans="1:15" s="321" customFormat="1" ht="183.1" customHeight="1" outlineLevel="1">
      <c r="A341" s="317">
        <v>306</v>
      </c>
      <c r="B341" s="317" t="str">
        <f t="shared" si="19"/>
        <v>IVF306</v>
      </c>
      <c r="C341" s="318" t="s">
        <v>117</v>
      </c>
      <c r="D341" s="317">
        <v>3</v>
      </c>
      <c r="E341" s="319" t="s">
        <v>9</v>
      </c>
      <c r="F341" s="5">
        <v>18325</v>
      </c>
      <c r="G341" s="314">
        <f>ROUND(D341*F341,0)</f>
        <v>54975</v>
      </c>
      <c r="H341" s="320">
        <v>3</v>
      </c>
      <c r="I341" s="313" t="s">
        <v>9</v>
      </c>
      <c r="J341" s="40">
        <f>F341</f>
        <v>18325</v>
      </c>
      <c r="K341" s="314">
        <f>ROUND(H341*J341,0)</f>
        <v>54975</v>
      </c>
      <c r="L341" s="314">
        <f t="shared" si="17"/>
        <v>0</v>
      </c>
      <c r="M341" s="314">
        <f t="shared" si="18"/>
        <v>0</v>
      </c>
      <c r="N341" s="315" t="s">
        <v>596</v>
      </c>
      <c r="O341" s="321" t="s">
        <v>249</v>
      </c>
    </row>
    <row r="342" spans="1:15" s="321" customFormat="1" outlineLevel="1">
      <c r="A342" s="313"/>
      <c r="B342" s="317" t="str">
        <f t="shared" si="19"/>
        <v/>
      </c>
      <c r="C342" s="327" t="s">
        <v>30</v>
      </c>
      <c r="F342" s="40"/>
      <c r="G342" s="314"/>
      <c r="H342" s="320">
        <v>7</v>
      </c>
      <c r="I342" s="313" t="s">
        <v>9</v>
      </c>
      <c r="J342" s="40">
        <f>J341</f>
        <v>18325</v>
      </c>
      <c r="K342" s="314">
        <f>ROUND(H342*J342,0)</f>
        <v>128275</v>
      </c>
      <c r="L342" s="314">
        <f t="shared" si="17"/>
        <v>128275</v>
      </c>
      <c r="M342" s="314">
        <f t="shared" si="18"/>
        <v>0</v>
      </c>
      <c r="N342" s="315"/>
      <c r="O342" s="321" t="s">
        <v>249</v>
      </c>
    </row>
    <row r="343" spans="1:15" s="321" customFormat="1" outlineLevel="1">
      <c r="A343" s="313"/>
      <c r="B343" s="317" t="str">
        <f t="shared" si="19"/>
        <v/>
      </c>
      <c r="C343" s="323" t="s">
        <v>342</v>
      </c>
      <c r="F343" s="40"/>
      <c r="G343" s="314"/>
      <c r="H343" s="320"/>
      <c r="I343" s="313"/>
      <c r="J343" s="40"/>
      <c r="K343" s="314"/>
      <c r="L343" s="314"/>
      <c r="M343" s="314"/>
      <c r="N343" s="315"/>
      <c r="O343" s="321" t="s">
        <v>249</v>
      </c>
    </row>
    <row r="344" spans="1:15" s="321" customFormat="1" ht="12.1" customHeight="1" outlineLevel="1">
      <c r="A344" s="313"/>
      <c r="B344" s="317" t="str">
        <f t="shared" si="19"/>
        <v/>
      </c>
      <c r="C344" s="323"/>
      <c r="F344" s="40"/>
      <c r="G344" s="314"/>
      <c r="H344" s="320"/>
      <c r="I344" s="313"/>
      <c r="J344" s="40"/>
      <c r="K344" s="314"/>
      <c r="L344" s="314"/>
      <c r="M344" s="314"/>
      <c r="N344" s="315"/>
      <c r="O344" s="321" t="s">
        <v>249</v>
      </c>
    </row>
    <row r="345" spans="1:15" s="321" customFormat="1" ht="136.19999999999999" customHeight="1" outlineLevel="1">
      <c r="A345" s="317">
        <v>307</v>
      </c>
      <c r="B345" s="317" t="str">
        <f t="shared" si="19"/>
        <v>IVF307</v>
      </c>
      <c r="C345" s="318" t="s">
        <v>442</v>
      </c>
      <c r="D345" s="317">
        <v>2</v>
      </c>
      <c r="E345" s="319" t="s">
        <v>9</v>
      </c>
      <c r="F345" s="5">
        <v>28460</v>
      </c>
      <c r="G345" s="314">
        <f>ROUND(D345*F345,0)</f>
        <v>56920</v>
      </c>
      <c r="H345" s="320">
        <v>0</v>
      </c>
      <c r="I345" s="313" t="s">
        <v>9</v>
      </c>
      <c r="J345" s="40">
        <f>F345</f>
        <v>28460</v>
      </c>
      <c r="K345" s="314"/>
      <c r="L345" s="314">
        <f t="shared" si="17"/>
        <v>0</v>
      </c>
      <c r="M345" s="314">
        <f t="shared" si="18"/>
        <v>56920</v>
      </c>
      <c r="N345" s="315" t="s">
        <v>393</v>
      </c>
      <c r="O345" s="321" t="s">
        <v>249</v>
      </c>
    </row>
    <row r="346" spans="1:15" s="321" customFormat="1" ht="12.1" customHeight="1" outlineLevel="1">
      <c r="A346" s="313"/>
      <c r="B346" s="317" t="str">
        <f t="shared" si="19"/>
        <v/>
      </c>
      <c r="F346" s="40"/>
      <c r="G346" s="314"/>
      <c r="H346" s="320"/>
      <c r="I346" s="313"/>
      <c r="J346" s="40"/>
      <c r="K346" s="314"/>
      <c r="L346" s="314">
        <f t="shared" si="17"/>
        <v>0</v>
      </c>
      <c r="M346" s="314">
        <f t="shared" si="18"/>
        <v>0</v>
      </c>
      <c r="N346" s="315"/>
      <c r="O346" s="321" t="s">
        <v>249</v>
      </c>
    </row>
    <row r="347" spans="1:15" s="321" customFormat="1" ht="149.94999999999999" customHeight="1" outlineLevel="1">
      <c r="A347" s="317">
        <v>308</v>
      </c>
      <c r="B347" s="317" t="str">
        <f t="shared" si="19"/>
        <v>IVF308</v>
      </c>
      <c r="C347" s="318" t="s">
        <v>441</v>
      </c>
      <c r="D347" s="317">
        <v>1</v>
      </c>
      <c r="E347" s="319" t="s">
        <v>9</v>
      </c>
      <c r="F347" s="5">
        <v>64067</v>
      </c>
      <c r="G347" s="314">
        <f>ROUND(D347*F347,0)</f>
        <v>64067</v>
      </c>
      <c r="H347" s="320">
        <v>1</v>
      </c>
      <c r="I347" s="313" t="s">
        <v>9</v>
      </c>
      <c r="J347" s="40">
        <f>F347</f>
        <v>64067</v>
      </c>
      <c r="K347" s="314">
        <f>ROUND(H347*J347,0)</f>
        <v>64067</v>
      </c>
      <c r="L347" s="314">
        <f t="shared" si="17"/>
        <v>0</v>
      </c>
      <c r="M347" s="314">
        <f t="shared" si="18"/>
        <v>0</v>
      </c>
      <c r="N347" s="315" t="s">
        <v>302</v>
      </c>
      <c r="O347" s="321" t="s">
        <v>249</v>
      </c>
    </row>
    <row r="348" spans="1:15" s="321" customFormat="1" outlineLevel="1">
      <c r="A348" s="313"/>
      <c r="B348" s="317" t="str">
        <f t="shared" si="19"/>
        <v/>
      </c>
      <c r="C348" s="323" t="s">
        <v>342</v>
      </c>
      <c r="F348" s="40"/>
      <c r="G348" s="314"/>
      <c r="H348" s="320"/>
      <c r="I348" s="313"/>
      <c r="J348" s="40"/>
      <c r="K348" s="314"/>
      <c r="L348" s="314">
        <f t="shared" si="17"/>
        <v>0</v>
      </c>
      <c r="M348" s="314">
        <f t="shared" si="18"/>
        <v>0</v>
      </c>
      <c r="N348" s="315"/>
      <c r="O348" s="321" t="s">
        <v>249</v>
      </c>
    </row>
    <row r="349" spans="1:15" s="321" customFormat="1" ht="12.1" customHeight="1" outlineLevel="1">
      <c r="A349" s="313"/>
      <c r="B349" s="317" t="str">
        <f t="shared" si="19"/>
        <v/>
      </c>
      <c r="F349" s="40"/>
      <c r="G349" s="314"/>
      <c r="H349" s="320"/>
      <c r="I349" s="313"/>
      <c r="J349" s="40"/>
      <c r="K349" s="314"/>
      <c r="L349" s="314"/>
      <c r="M349" s="314"/>
      <c r="N349" s="315"/>
      <c r="O349" s="321" t="s">
        <v>249</v>
      </c>
    </row>
    <row r="350" spans="1:15" s="321" customFormat="1" ht="154.55000000000001" customHeight="1" outlineLevel="1">
      <c r="A350" s="317">
        <v>309</v>
      </c>
      <c r="B350" s="317" t="str">
        <f t="shared" si="19"/>
        <v>IVF309</v>
      </c>
      <c r="C350" s="318" t="s">
        <v>443</v>
      </c>
      <c r="D350" s="317">
        <v>1</v>
      </c>
      <c r="E350" s="319" t="s">
        <v>9</v>
      </c>
      <c r="F350" s="5">
        <v>28883</v>
      </c>
      <c r="G350" s="314">
        <f>ROUND(D350*F350,0)</f>
        <v>28883</v>
      </c>
      <c r="H350" s="320">
        <v>1</v>
      </c>
      <c r="I350" s="313" t="s">
        <v>9</v>
      </c>
      <c r="J350" s="40">
        <f>F350</f>
        <v>28883</v>
      </c>
      <c r="K350" s="314">
        <f>ROUND(H350*J350,0)</f>
        <v>28883</v>
      </c>
      <c r="L350" s="314">
        <f t="shared" si="17"/>
        <v>0</v>
      </c>
      <c r="M350" s="314">
        <f t="shared" si="18"/>
        <v>0</v>
      </c>
      <c r="N350" s="315" t="s">
        <v>302</v>
      </c>
      <c r="O350" s="321" t="s">
        <v>249</v>
      </c>
    </row>
    <row r="351" spans="1:15" s="321" customFormat="1" outlineLevel="1">
      <c r="A351" s="317"/>
      <c r="B351" s="317" t="str">
        <f t="shared" si="19"/>
        <v/>
      </c>
      <c r="C351" s="322" t="s">
        <v>342</v>
      </c>
      <c r="D351" s="317"/>
      <c r="E351" s="319"/>
      <c r="F351" s="5"/>
      <c r="G351" s="314"/>
      <c r="H351" s="320"/>
      <c r="I351" s="313"/>
      <c r="J351" s="40"/>
      <c r="K351" s="314"/>
      <c r="L351" s="314"/>
      <c r="M351" s="314"/>
      <c r="N351" s="315"/>
      <c r="O351" s="321" t="s">
        <v>249</v>
      </c>
    </row>
    <row r="352" spans="1:15" s="321" customFormat="1" ht="12.1" customHeight="1" outlineLevel="1">
      <c r="A352" s="313"/>
      <c r="B352" s="317" t="str">
        <f t="shared" si="19"/>
        <v/>
      </c>
      <c r="F352" s="40"/>
      <c r="G352" s="314"/>
      <c r="H352" s="320"/>
      <c r="I352" s="313"/>
      <c r="J352" s="40"/>
      <c r="K352" s="314"/>
      <c r="L352" s="314">
        <f t="shared" si="17"/>
        <v>0</v>
      </c>
      <c r="M352" s="314">
        <f t="shared" si="18"/>
        <v>0</v>
      </c>
      <c r="N352" s="315"/>
      <c r="O352" s="321" t="s">
        <v>249</v>
      </c>
    </row>
    <row r="353" spans="1:15" s="321" customFormat="1" ht="76.599999999999994" customHeight="1" outlineLevel="1">
      <c r="A353" s="317">
        <v>310</v>
      </c>
      <c r="B353" s="317" t="str">
        <f t="shared" si="19"/>
        <v>IVF310</v>
      </c>
      <c r="C353" s="318" t="s">
        <v>118</v>
      </c>
      <c r="D353" s="317">
        <v>2</v>
      </c>
      <c r="E353" s="319" t="s">
        <v>9</v>
      </c>
      <c r="F353" s="5">
        <v>3260</v>
      </c>
      <c r="G353" s="314">
        <f>ROUND(D353*F353,0)</f>
        <v>6520</v>
      </c>
      <c r="H353" s="320">
        <v>0</v>
      </c>
      <c r="I353" s="313" t="s">
        <v>9</v>
      </c>
      <c r="J353" s="40">
        <f>F353</f>
        <v>3260</v>
      </c>
      <c r="K353" s="314"/>
      <c r="L353" s="314">
        <f t="shared" si="17"/>
        <v>0</v>
      </c>
      <c r="M353" s="314">
        <f t="shared" si="18"/>
        <v>6520</v>
      </c>
      <c r="N353" s="315" t="s">
        <v>393</v>
      </c>
      <c r="O353" s="321" t="s">
        <v>249</v>
      </c>
    </row>
    <row r="354" spans="1:15" s="321" customFormat="1" ht="12.1" customHeight="1" outlineLevel="1">
      <c r="A354" s="313"/>
      <c r="B354" s="317" t="str">
        <f t="shared" si="19"/>
        <v/>
      </c>
      <c r="F354" s="40"/>
      <c r="G354" s="314"/>
      <c r="H354" s="320"/>
      <c r="I354" s="313"/>
      <c r="J354" s="40"/>
      <c r="K354" s="314"/>
      <c r="L354" s="314">
        <f t="shared" si="17"/>
        <v>0</v>
      </c>
      <c r="M354" s="314">
        <f t="shared" si="18"/>
        <v>0</v>
      </c>
      <c r="N354" s="315"/>
      <c r="O354" s="321" t="s">
        <v>249</v>
      </c>
    </row>
    <row r="355" spans="1:15" s="321" customFormat="1" ht="211.6" customHeight="1" outlineLevel="1">
      <c r="A355" s="317">
        <v>311</v>
      </c>
      <c r="B355" s="317" t="str">
        <f t="shared" si="19"/>
        <v>IVF311</v>
      </c>
      <c r="C355" s="318" t="s">
        <v>444</v>
      </c>
      <c r="D355" s="317">
        <v>50</v>
      </c>
      <c r="E355" s="319" t="s">
        <v>9</v>
      </c>
      <c r="F355" s="5">
        <v>2652</v>
      </c>
      <c r="G355" s="314">
        <f>ROUND(D355*F355,0)</f>
        <v>132600</v>
      </c>
      <c r="H355" s="320">
        <v>50</v>
      </c>
      <c r="I355" s="313" t="s">
        <v>9</v>
      </c>
      <c r="J355" s="40">
        <f>F355</f>
        <v>2652</v>
      </c>
      <c r="K355" s="314">
        <f>ROUND(H355*J355,0)</f>
        <v>132600</v>
      </c>
      <c r="L355" s="314">
        <f t="shared" si="17"/>
        <v>0</v>
      </c>
      <c r="M355" s="314">
        <f t="shared" si="18"/>
        <v>0</v>
      </c>
      <c r="N355" s="315" t="s">
        <v>597</v>
      </c>
      <c r="O355" s="321" t="s">
        <v>249</v>
      </c>
    </row>
    <row r="356" spans="1:15" s="321" customFormat="1" outlineLevel="1">
      <c r="A356" s="313"/>
      <c r="B356" s="317" t="str">
        <f t="shared" si="19"/>
        <v/>
      </c>
      <c r="C356" s="327" t="s">
        <v>30</v>
      </c>
      <c r="F356" s="40"/>
      <c r="G356" s="314"/>
      <c r="H356" s="320">
        <f>91-H355</f>
        <v>41</v>
      </c>
      <c r="I356" s="313" t="s">
        <v>9</v>
      </c>
      <c r="J356" s="40">
        <f>J355</f>
        <v>2652</v>
      </c>
      <c r="K356" s="314">
        <f>ROUND(H356*J356,0)</f>
        <v>108732</v>
      </c>
      <c r="L356" s="314">
        <f t="shared" si="17"/>
        <v>108732</v>
      </c>
      <c r="M356" s="314">
        <f t="shared" si="18"/>
        <v>0</v>
      </c>
      <c r="N356" s="315"/>
      <c r="O356" s="321" t="s">
        <v>249</v>
      </c>
    </row>
    <row r="357" spans="1:15" s="321" customFormat="1" outlineLevel="1">
      <c r="A357" s="313"/>
      <c r="B357" s="317" t="str">
        <f t="shared" si="19"/>
        <v/>
      </c>
      <c r="C357" s="323" t="s">
        <v>375</v>
      </c>
      <c r="F357" s="40"/>
      <c r="G357" s="314"/>
      <c r="H357" s="320"/>
      <c r="I357" s="313"/>
      <c r="J357" s="40"/>
      <c r="K357" s="314"/>
      <c r="L357" s="314"/>
      <c r="M357" s="314"/>
      <c r="N357" s="315"/>
      <c r="O357" s="321" t="s">
        <v>249</v>
      </c>
    </row>
    <row r="358" spans="1:15" s="321" customFormat="1" ht="12.1" customHeight="1" outlineLevel="1">
      <c r="A358" s="313"/>
      <c r="B358" s="317" t="str">
        <f t="shared" si="19"/>
        <v/>
      </c>
      <c r="C358" s="323"/>
      <c r="F358" s="40"/>
      <c r="G358" s="314"/>
      <c r="H358" s="320"/>
      <c r="I358" s="313"/>
      <c r="J358" s="40"/>
      <c r="K358" s="314"/>
      <c r="L358" s="314"/>
      <c r="M358" s="314"/>
      <c r="N358" s="315"/>
      <c r="O358" s="321" t="s">
        <v>249</v>
      </c>
    </row>
    <row r="359" spans="1:15" s="321" customFormat="1" ht="181.2" customHeight="1" outlineLevel="1">
      <c r="A359" s="317">
        <v>312</v>
      </c>
      <c r="B359" s="317" t="str">
        <f t="shared" si="19"/>
        <v>IVF312</v>
      </c>
      <c r="C359" s="318" t="s">
        <v>445</v>
      </c>
      <c r="D359" s="317">
        <v>30</v>
      </c>
      <c r="E359" s="319" t="s">
        <v>9</v>
      </c>
      <c r="F359" s="5">
        <v>4350</v>
      </c>
      <c r="G359" s="314">
        <f>ROUND(D359*F359,0)</f>
        <v>130500</v>
      </c>
      <c r="H359" s="320">
        <f>D359</f>
        <v>30</v>
      </c>
      <c r="I359" s="313" t="s">
        <v>9</v>
      </c>
      <c r="J359" s="40">
        <f>F359</f>
        <v>4350</v>
      </c>
      <c r="K359" s="314">
        <f>ROUND(H359*J359,0)</f>
        <v>130500</v>
      </c>
      <c r="L359" s="314">
        <f t="shared" si="17"/>
        <v>0</v>
      </c>
      <c r="M359" s="314">
        <f t="shared" si="18"/>
        <v>0</v>
      </c>
      <c r="N359" s="315" t="s">
        <v>597</v>
      </c>
      <c r="O359" s="321" t="s">
        <v>249</v>
      </c>
    </row>
    <row r="360" spans="1:15" s="321" customFormat="1" outlineLevel="1">
      <c r="A360" s="313"/>
      <c r="B360" s="317" t="str">
        <f t="shared" si="19"/>
        <v/>
      </c>
      <c r="C360" s="327" t="s">
        <v>30</v>
      </c>
      <c r="F360" s="40"/>
      <c r="G360" s="314"/>
      <c r="H360" s="320">
        <f>60-H359</f>
        <v>30</v>
      </c>
      <c r="I360" s="313" t="s">
        <v>9</v>
      </c>
      <c r="J360" s="40">
        <f>J359</f>
        <v>4350</v>
      </c>
      <c r="K360" s="314">
        <f>ROUND(H360*J360,0)</f>
        <v>130500</v>
      </c>
      <c r="L360" s="314">
        <f t="shared" si="17"/>
        <v>130500</v>
      </c>
      <c r="M360" s="314">
        <f t="shared" si="18"/>
        <v>0</v>
      </c>
      <c r="N360" s="315"/>
      <c r="O360" s="321" t="s">
        <v>249</v>
      </c>
    </row>
    <row r="361" spans="1:15" s="321" customFormat="1" outlineLevel="1">
      <c r="A361" s="313"/>
      <c r="B361" s="317" t="str">
        <f t="shared" si="19"/>
        <v/>
      </c>
      <c r="C361" s="323" t="s">
        <v>376</v>
      </c>
      <c r="F361" s="40"/>
      <c r="G361" s="314"/>
      <c r="H361" s="320"/>
      <c r="I361" s="313"/>
      <c r="J361" s="40"/>
      <c r="K361" s="314"/>
      <c r="L361" s="314"/>
      <c r="M361" s="314"/>
      <c r="N361" s="315"/>
      <c r="O361" s="321" t="s">
        <v>249</v>
      </c>
    </row>
    <row r="362" spans="1:15" s="321" customFormat="1" ht="12.1" customHeight="1" outlineLevel="1">
      <c r="A362" s="313"/>
      <c r="B362" s="317" t="str">
        <f t="shared" si="19"/>
        <v/>
      </c>
      <c r="C362" s="323"/>
      <c r="F362" s="40"/>
      <c r="G362" s="314"/>
      <c r="H362" s="320"/>
      <c r="I362" s="313"/>
      <c r="J362" s="40"/>
      <c r="K362" s="314"/>
      <c r="L362" s="314"/>
      <c r="M362" s="314"/>
      <c r="N362" s="315"/>
      <c r="O362" s="321" t="s">
        <v>249</v>
      </c>
    </row>
    <row r="363" spans="1:15" s="321" customFormat="1" ht="218.75" outlineLevel="1">
      <c r="A363" s="317">
        <v>313</v>
      </c>
      <c r="B363" s="317" t="str">
        <f t="shared" si="19"/>
        <v>IVF313</v>
      </c>
      <c r="C363" s="318" t="s">
        <v>446</v>
      </c>
      <c r="D363" s="317">
        <v>12</v>
      </c>
      <c r="E363" s="319" t="s">
        <v>9</v>
      </c>
      <c r="F363" s="5">
        <v>4762</v>
      </c>
      <c r="G363" s="314">
        <f>ROUND(D363*F363,0)</f>
        <v>57144</v>
      </c>
      <c r="H363" s="320">
        <v>0</v>
      </c>
      <c r="I363" s="313" t="s">
        <v>9</v>
      </c>
      <c r="J363" s="40">
        <f>F363</f>
        <v>4762</v>
      </c>
      <c r="K363" s="314"/>
      <c r="L363" s="314">
        <f t="shared" si="17"/>
        <v>0</v>
      </c>
      <c r="M363" s="314">
        <f t="shared" si="18"/>
        <v>57144</v>
      </c>
      <c r="N363" s="315" t="s">
        <v>615</v>
      </c>
      <c r="O363" s="321" t="s">
        <v>249</v>
      </c>
    </row>
    <row r="364" spans="1:15" s="321" customFormat="1" ht="12.1" customHeight="1" outlineLevel="1">
      <c r="A364" s="313"/>
      <c r="B364" s="317" t="str">
        <f t="shared" si="19"/>
        <v/>
      </c>
      <c r="F364" s="40"/>
      <c r="G364" s="314"/>
      <c r="H364" s="320"/>
      <c r="I364" s="313"/>
      <c r="J364" s="40"/>
      <c r="K364" s="314"/>
      <c r="L364" s="314">
        <f t="shared" si="17"/>
        <v>0</v>
      </c>
      <c r="M364" s="314">
        <f t="shared" si="18"/>
        <v>0</v>
      </c>
      <c r="N364" s="315"/>
      <c r="O364" s="321" t="s">
        <v>249</v>
      </c>
    </row>
    <row r="365" spans="1:15" s="321" customFormat="1" ht="109.4" outlineLevel="1">
      <c r="A365" s="317">
        <v>314</v>
      </c>
      <c r="B365" s="317" t="str">
        <f t="shared" si="19"/>
        <v>IVF314</v>
      </c>
      <c r="C365" s="318" t="s">
        <v>31</v>
      </c>
      <c r="D365" s="317">
        <v>5</v>
      </c>
      <c r="E365" s="319" t="s">
        <v>9</v>
      </c>
      <c r="F365" s="5">
        <v>184</v>
      </c>
      <c r="G365" s="314">
        <f>ROUND(D365*F365,0)</f>
        <v>920</v>
      </c>
      <c r="H365" s="320">
        <v>0</v>
      </c>
      <c r="I365" s="313" t="s">
        <v>9</v>
      </c>
      <c r="J365" s="40">
        <f>F365</f>
        <v>184</v>
      </c>
      <c r="K365" s="314"/>
      <c r="L365" s="314">
        <f t="shared" si="17"/>
        <v>0</v>
      </c>
      <c r="M365" s="314">
        <f t="shared" si="18"/>
        <v>920</v>
      </c>
      <c r="N365" s="315" t="s">
        <v>393</v>
      </c>
      <c r="O365" s="321" t="s">
        <v>249</v>
      </c>
    </row>
    <row r="366" spans="1:15" s="321" customFormat="1" ht="12.1" customHeight="1" outlineLevel="1">
      <c r="A366" s="313"/>
      <c r="B366" s="317" t="str">
        <f t="shared" si="19"/>
        <v/>
      </c>
      <c r="F366" s="40"/>
      <c r="G366" s="314"/>
      <c r="H366" s="320"/>
      <c r="I366" s="313"/>
      <c r="J366" s="40"/>
      <c r="K366" s="314"/>
      <c r="L366" s="314">
        <f t="shared" si="17"/>
        <v>0</v>
      </c>
      <c r="M366" s="314">
        <f t="shared" si="18"/>
        <v>0</v>
      </c>
      <c r="N366" s="315"/>
      <c r="O366" s="321" t="s">
        <v>249</v>
      </c>
    </row>
    <row r="367" spans="1:15" s="321" customFormat="1" ht="312.45" outlineLevel="1">
      <c r="A367" s="317">
        <v>315</v>
      </c>
      <c r="B367" s="317" t="str">
        <f t="shared" si="19"/>
        <v>IVF315</v>
      </c>
      <c r="C367" s="318" t="s">
        <v>119</v>
      </c>
      <c r="D367" s="317">
        <v>12</v>
      </c>
      <c r="E367" s="319" t="s">
        <v>9</v>
      </c>
      <c r="F367" s="5">
        <v>4090</v>
      </c>
      <c r="G367" s="314">
        <f>ROUND(D367*F367,0)</f>
        <v>49080</v>
      </c>
      <c r="H367" s="320">
        <v>0</v>
      </c>
      <c r="I367" s="313" t="s">
        <v>9</v>
      </c>
      <c r="J367" s="40">
        <f>F367</f>
        <v>4090</v>
      </c>
      <c r="K367" s="314"/>
      <c r="L367" s="314">
        <f t="shared" si="17"/>
        <v>0</v>
      </c>
      <c r="M367" s="314">
        <f t="shared" si="18"/>
        <v>49080</v>
      </c>
      <c r="N367" s="315" t="s">
        <v>614</v>
      </c>
      <c r="O367" s="321" t="s">
        <v>249</v>
      </c>
    </row>
    <row r="368" spans="1:15" s="321" customFormat="1" ht="12.1" customHeight="1" outlineLevel="1">
      <c r="A368" s="313"/>
      <c r="B368" s="317" t="str">
        <f t="shared" si="19"/>
        <v/>
      </c>
      <c r="F368" s="40"/>
      <c r="G368" s="314"/>
      <c r="H368" s="320"/>
      <c r="I368" s="313"/>
      <c r="J368" s="40"/>
      <c r="K368" s="314"/>
      <c r="L368" s="314">
        <f t="shared" si="17"/>
        <v>0</v>
      </c>
      <c r="M368" s="314">
        <f t="shared" si="18"/>
        <v>0</v>
      </c>
      <c r="N368" s="315"/>
      <c r="O368" s="321" t="s">
        <v>249</v>
      </c>
    </row>
    <row r="369" spans="1:15" s="321" customFormat="1" ht="150.80000000000001" customHeight="1" outlineLevel="1">
      <c r="A369" s="317">
        <v>316</v>
      </c>
      <c r="B369" s="317" t="str">
        <f t="shared" si="19"/>
        <v>IVF316</v>
      </c>
      <c r="C369" s="318" t="s">
        <v>120</v>
      </c>
      <c r="D369" s="317">
        <v>12</v>
      </c>
      <c r="E369" s="319" t="s">
        <v>9</v>
      </c>
      <c r="F369" s="5">
        <v>827</v>
      </c>
      <c r="G369" s="314">
        <f>ROUND(D369*F369,0)</f>
        <v>9924</v>
      </c>
      <c r="H369" s="320">
        <f>D369</f>
        <v>12</v>
      </c>
      <c r="I369" s="313" t="s">
        <v>9</v>
      </c>
      <c r="J369" s="40">
        <f>F369</f>
        <v>827</v>
      </c>
      <c r="K369" s="314">
        <f>ROUND(H369*J369,0)</f>
        <v>9924</v>
      </c>
      <c r="L369" s="314">
        <f t="shared" si="17"/>
        <v>0</v>
      </c>
      <c r="M369" s="314">
        <f t="shared" si="18"/>
        <v>0</v>
      </c>
      <c r="N369" s="315" t="s">
        <v>587</v>
      </c>
      <c r="O369" s="321" t="s">
        <v>249</v>
      </c>
    </row>
    <row r="370" spans="1:15" s="321" customFormat="1" outlineLevel="1">
      <c r="A370" s="313"/>
      <c r="B370" s="317" t="str">
        <f t="shared" si="19"/>
        <v/>
      </c>
      <c r="C370" s="327" t="s">
        <v>30</v>
      </c>
      <c r="F370" s="40"/>
      <c r="G370" s="314"/>
      <c r="H370" s="320">
        <f>28-H369</f>
        <v>16</v>
      </c>
      <c r="I370" s="313" t="s">
        <v>9</v>
      </c>
      <c r="J370" s="40">
        <f>J369</f>
        <v>827</v>
      </c>
      <c r="K370" s="314">
        <f>ROUND(H370*J370,0)</f>
        <v>13232</v>
      </c>
      <c r="L370" s="314">
        <f t="shared" si="17"/>
        <v>13232</v>
      </c>
      <c r="M370" s="314">
        <f t="shared" si="18"/>
        <v>0</v>
      </c>
      <c r="N370" s="315"/>
      <c r="O370" s="321" t="s">
        <v>249</v>
      </c>
    </row>
    <row r="371" spans="1:15" s="321" customFormat="1" outlineLevel="1">
      <c r="A371" s="313"/>
      <c r="B371" s="317" t="str">
        <f t="shared" si="19"/>
        <v/>
      </c>
      <c r="C371" s="323" t="s">
        <v>377</v>
      </c>
      <c r="F371" s="40"/>
      <c r="G371" s="314"/>
      <c r="H371" s="320"/>
      <c r="I371" s="313"/>
      <c r="J371" s="40"/>
      <c r="K371" s="314"/>
      <c r="L371" s="314"/>
      <c r="M371" s="314"/>
      <c r="N371" s="315"/>
      <c r="O371" s="321" t="s">
        <v>249</v>
      </c>
    </row>
    <row r="372" spans="1:15" s="321" customFormat="1" ht="12.1" customHeight="1" outlineLevel="1">
      <c r="A372" s="313"/>
      <c r="B372" s="317" t="str">
        <f t="shared" si="19"/>
        <v/>
      </c>
      <c r="C372" s="323"/>
      <c r="F372" s="40"/>
      <c r="G372" s="314"/>
      <c r="H372" s="320"/>
      <c r="I372" s="313"/>
      <c r="J372" s="40"/>
      <c r="K372" s="314"/>
      <c r="L372" s="314"/>
      <c r="M372" s="314"/>
      <c r="N372" s="315"/>
      <c r="O372" s="321" t="s">
        <v>249</v>
      </c>
    </row>
    <row r="373" spans="1:15" s="321" customFormat="1" ht="76.599999999999994" customHeight="1" outlineLevel="1">
      <c r="A373" s="317">
        <v>317</v>
      </c>
      <c r="B373" s="317" t="str">
        <f t="shared" si="19"/>
        <v>IVF317</v>
      </c>
      <c r="C373" s="318" t="s">
        <v>121</v>
      </c>
      <c r="D373" s="317">
        <v>6</v>
      </c>
      <c r="E373" s="319" t="s">
        <v>9</v>
      </c>
      <c r="F373" s="5">
        <v>2203</v>
      </c>
      <c r="G373" s="314">
        <f>ROUND(D373*F373,0)</f>
        <v>13218</v>
      </c>
      <c r="H373" s="320">
        <f>D373</f>
        <v>6</v>
      </c>
      <c r="I373" s="313" t="s">
        <v>9</v>
      </c>
      <c r="J373" s="40">
        <f>F373</f>
        <v>2203</v>
      </c>
      <c r="K373" s="314">
        <f>ROUND(H373*J373,0)</f>
        <v>13218</v>
      </c>
      <c r="L373" s="314">
        <f t="shared" si="17"/>
        <v>0</v>
      </c>
      <c r="M373" s="314">
        <f t="shared" si="18"/>
        <v>0</v>
      </c>
      <c r="N373" s="315" t="s">
        <v>586</v>
      </c>
      <c r="O373" s="321" t="s">
        <v>249</v>
      </c>
    </row>
    <row r="374" spans="1:15" s="321" customFormat="1" outlineLevel="1">
      <c r="A374" s="313"/>
      <c r="B374" s="317" t="str">
        <f t="shared" si="19"/>
        <v/>
      </c>
      <c r="C374" s="327" t="s">
        <v>30</v>
      </c>
      <c r="F374" s="40"/>
      <c r="G374" s="314"/>
      <c r="H374" s="320">
        <f>8-H373</f>
        <v>2</v>
      </c>
      <c r="I374" s="313" t="s">
        <v>9</v>
      </c>
      <c r="J374" s="40">
        <f>J373</f>
        <v>2203</v>
      </c>
      <c r="K374" s="314">
        <f>ROUND(H374*J374,0)</f>
        <v>4406</v>
      </c>
      <c r="L374" s="314">
        <f t="shared" si="17"/>
        <v>4406</v>
      </c>
      <c r="M374" s="314">
        <f t="shared" si="18"/>
        <v>0</v>
      </c>
      <c r="N374" s="315"/>
      <c r="O374" s="321" t="s">
        <v>249</v>
      </c>
    </row>
    <row r="375" spans="1:15" s="321" customFormat="1" outlineLevel="1">
      <c r="A375" s="313"/>
      <c r="B375" s="317" t="str">
        <f t="shared" si="19"/>
        <v/>
      </c>
      <c r="C375" s="323" t="s">
        <v>378</v>
      </c>
      <c r="F375" s="40"/>
      <c r="G375" s="314"/>
      <c r="H375" s="320"/>
      <c r="I375" s="313"/>
      <c r="J375" s="40"/>
      <c r="K375" s="314"/>
      <c r="L375" s="314"/>
      <c r="M375" s="314"/>
      <c r="N375" s="315"/>
      <c r="O375" s="321" t="s">
        <v>249</v>
      </c>
    </row>
    <row r="376" spans="1:15" s="321" customFormat="1" ht="12.1" customHeight="1" outlineLevel="1">
      <c r="A376" s="313"/>
      <c r="B376" s="317" t="str">
        <f t="shared" si="19"/>
        <v/>
      </c>
      <c r="C376" s="323"/>
      <c r="F376" s="40"/>
      <c r="G376" s="314"/>
      <c r="H376" s="320"/>
      <c r="I376" s="313"/>
      <c r="J376" s="40"/>
      <c r="K376" s="314"/>
      <c r="L376" s="314"/>
      <c r="M376" s="314"/>
      <c r="N376" s="315"/>
      <c r="O376" s="321" t="s">
        <v>249</v>
      </c>
    </row>
    <row r="377" spans="1:15" s="321" customFormat="1" ht="105.65" customHeight="1" outlineLevel="1">
      <c r="A377" s="317">
        <v>318</v>
      </c>
      <c r="B377" s="317" t="str">
        <f t="shared" si="19"/>
        <v>IVF318</v>
      </c>
      <c r="C377" s="318" t="s">
        <v>122</v>
      </c>
      <c r="D377" s="317">
        <v>70</v>
      </c>
      <c r="E377" s="319" t="s">
        <v>14</v>
      </c>
      <c r="F377" s="5">
        <v>429</v>
      </c>
      <c r="G377" s="314">
        <f>ROUND(D377*F377,0)</f>
        <v>30030</v>
      </c>
      <c r="H377" s="320">
        <v>70</v>
      </c>
      <c r="I377" s="313" t="s">
        <v>14</v>
      </c>
      <c r="J377" s="40">
        <f>F377</f>
        <v>429</v>
      </c>
      <c r="K377" s="314">
        <f>ROUND(H377*J377,0)</f>
        <v>30030</v>
      </c>
      <c r="L377" s="314">
        <f t="shared" si="17"/>
        <v>0</v>
      </c>
      <c r="M377" s="314">
        <f t="shared" si="18"/>
        <v>0</v>
      </c>
      <c r="N377" s="315" t="s">
        <v>585</v>
      </c>
      <c r="O377" s="321" t="s">
        <v>249</v>
      </c>
    </row>
    <row r="378" spans="1:15" s="321" customFormat="1" outlineLevel="1">
      <c r="A378" s="313"/>
      <c r="B378" s="317" t="str">
        <f t="shared" si="19"/>
        <v/>
      </c>
      <c r="C378" s="327" t="s">
        <v>30</v>
      </c>
      <c r="F378" s="40"/>
      <c r="G378" s="314"/>
      <c r="H378" s="320">
        <v>9</v>
      </c>
      <c r="I378" s="313" t="s">
        <v>14</v>
      </c>
      <c r="J378" s="40">
        <v>429</v>
      </c>
      <c r="K378" s="314">
        <f>ROUND(H378*J378,0)</f>
        <v>3861</v>
      </c>
      <c r="L378" s="314">
        <f t="shared" si="17"/>
        <v>3861</v>
      </c>
      <c r="M378" s="314">
        <f t="shared" si="18"/>
        <v>0</v>
      </c>
      <c r="N378" s="315"/>
      <c r="O378" s="321" t="s">
        <v>249</v>
      </c>
    </row>
    <row r="379" spans="1:15" s="321" customFormat="1" outlineLevel="1">
      <c r="A379" s="313"/>
      <c r="B379" s="317" t="str">
        <f t="shared" si="19"/>
        <v/>
      </c>
      <c r="C379" s="323" t="s">
        <v>342</v>
      </c>
      <c r="F379" s="40"/>
      <c r="G379" s="314"/>
      <c r="H379" s="320"/>
      <c r="I379" s="313"/>
      <c r="J379" s="40"/>
      <c r="K379" s="314"/>
      <c r="L379" s="314"/>
      <c r="M379" s="314"/>
      <c r="N379" s="315"/>
      <c r="O379" s="321" t="s">
        <v>249</v>
      </c>
    </row>
    <row r="380" spans="1:15" s="321" customFormat="1" ht="12.1" customHeight="1" outlineLevel="1">
      <c r="A380" s="313"/>
      <c r="B380" s="317" t="str">
        <f t="shared" si="19"/>
        <v/>
      </c>
      <c r="C380" s="323"/>
      <c r="F380" s="40"/>
      <c r="G380" s="314"/>
      <c r="H380" s="320"/>
      <c r="I380" s="313"/>
      <c r="J380" s="40"/>
      <c r="K380" s="314"/>
      <c r="L380" s="314"/>
      <c r="M380" s="314"/>
      <c r="N380" s="315"/>
      <c r="O380" s="321" t="s">
        <v>249</v>
      </c>
    </row>
    <row r="381" spans="1:15" s="321" customFormat="1" ht="120.75" customHeight="1" outlineLevel="1">
      <c r="A381" s="317">
        <v>319</v>
      </c>
      <c r="B381" s="317" t="str">
        <f t="shared" si="19"/>
        <v>IVF319</v>
      </c>
      <c r="C381" s="318" t="s">
        <v>447</v>
      </c>
      <c r="D381" s="317">
        <v>80</v>
      </c>
      <c r="E381" s="319" t="s">
        <v>14</v>
      </c>
      <c r="F381" s="5">
        <v>1310</v>
      </c>
      <c r="G381" s="314">
        <f>ROUND(D381*F381,0)</f>
        <v>104800</v>
      </c>
      <c r="H381" s="320">
        <v>80</v>
      </c>
      <c r="I381" s="313" t="s">
        <v>14</v>
      </c>
      <c r="J381" s="40">
        <f>F381</f>
        <v>1310</v>
      </c>
      <c r="K381" s="314">
        <f>ROUND(H381*J381,0)</f>
        <v>104800</v>
      </c>
      <c r="L381" s="314">
        <f t="shared" si="17"/>
        <v>0</v>
      </c>
      <c r="M381" s="314">
        <f t="shared" si="18"/>
        <v>0</v>
      </c>
      <c r="N381" s="315" t="s">
        <v>584</v>
      </c>
      <c r="O381" s="321" t="s">
        <v>249</v>
      </c>
    </row>
    <row r="382" spans="1:15" s="321" customFormat="1" outlineLevel="1">
      <c r="A382" s="313"/>
      <c r="B382" s="317" t="str">
        <f t="shared" si="19"/>
        <v/>
      </c>
      <c r="C382" s="327" t="s">
        <v>30</v>
      </c>
      <c r="F382" s="40"/>
      <c r="G382" s="314"/>
      <c r="H382" s="320">
        <v>22.5</v>
      </c>
      <c r="I382" s="313" t="s">
        <v>14</v>
      </c>
      <c r="J382" s="40">
        <f>J381</f>
        <v>1310</v>
      </c>
      <c r="K382" s="314">
        <f>ROUND(H382*J382,0)</f>
        <v>29475</v>
      </c>
      <c r="L382" s="314">
        <f t="shared" si="17"/>
        <v>29475</v>
      </c>
      <c r="M382" s="314">
        <f t="shared" si="18"/>
        <v>0</v>
      </c>
      <c r="N382" s="315"/>
      <c r="O382" s="321" t="s">
        <v>249</v>
      </c>
    </row>
    <row r="383" spans="1:15" s="321" customFormat="1" outlineLevel="1">
      <c r="A383" s="313"/>
      <c r="B383" s="317" t="str">
        <f t="shared" si="19"/>
        <v/>
      </c>
      <c r="C383" s="323" t="s">
        <v>342</v>
      </c>
      <c r="F383" s="40"/>
      <c r="G383" s="314"/>
      <c r="H383" s="320"/>
      <c r="I383" s="313"/>
      <c r="J383" s="40"/>
      <c r="K383" s="314"/>
      <c r="L383" s="314"/>
      <c r="M383" s="314"/>
      <c r="N383" s="315"/>
      <c r="O383" s="321" t="s">
        <v>249</v>
      </c>
    </row>
    <row r="384" spans="1:15" s="321" customFormat="1" ht="12.1" customHeight="1" outlineLevel="1">
      <c r="A384" s="313"/>
      <c r="B384" s="317" t="str">
        <f t="shared" si="19"/>
        <v/>
      </c>
      <c r="C384" s="323"/>
      <c r="F384" s="40"/>
      <c r="G384" s="314"/>
      <c r="H384" s="320"/>
      <c r="I384" s="313"/>
      <c r="J384" s="40"/>
      <c r="K384" s="314"/>
      <c r="L384" s="314"/>
      <c r="M384" s="314"/>
      <c r="N384" s="315"/>
      <c r="O384" s="321" t="s">
        <v>249</v>
      </c>
    </row>
    <row r="385" spans="1:15" s="321" customFormat="1" ht="171" customHeight="1" outlineLevel="1">
      <c r="A385" s="317">
        <v>320</v>
      </c>
      <c r="B385" s="317" t="str">
        <f t="shared" si="19"/>
        <v>IVF320</v>
      </c>
      <c r="C385" s="318" t="s">
        <v>448</v>
      </c>
      <c r="D385" s="317">
        <v>1</v>
      </c>
      <c r="E385" s="319" t="s">
        <v>9</v>
      </c>
      <c r="F385" s="5">
        <v>305000</v>
      </c>
      <c r="G385" s="314">
        <f>ROUND(D385*F385,0)</f>
        <v>305000</v>
      </c>
      <c r="H385" s="320">
        <v>1</v>
      </c>
      <c r="I385" s="313" t="s">
        <v>9</v>
      </c>
      <c r="J385" s="40">
        <f>F385</f>
        <v>305000</v>
      </c>
      <c r="K385" s="314">
        <f>ROUND(H385*J385,0)</f>
        <v>305000</v>
      </c>
      <c r="L385" s="314">
        <f t="shared" si="17"/>
        <v>0</v>
      </c>
      <c r="M385" s="314">
        <f t="shared" si="18"/>
        <v>0</v>
      </c>
      <c r="N385" s="315" t="s">
        <v>302</v>
      </c>
      <c r="O385" s="321" t="s">
        <v>249</v>
      </c>
    </row>
    <row r="386" spans="1:15" s="321" customFormat="1" outlineLevel="1">
      <c r="A386" s="317"/>
      <c r="B386" s="317" t="str">
        <f t="shared" si="19"/>
        <v/>
      </c>
      <c r="C386" s="322" t="s">
        <v>337</v>
      </c>
      <c r="D386" s="317"/>
      <c r="E386" s="319"/>
      <c r="F386" s="5"/>
      <c r="G386" s="314"/>
      <c r="H386" s="320"/>
      <c r="I386" s="313"/>
      <c r="J386" s="40"/>
      <c r="K386" s="314"/>
      <c r="L386" s="314"/>
      <c r="M386" s="314"/>
      <c r="N386" s="315"/>
      <c r="O386" s="321" t="s">
        <v>249</v>
      </c>
    </row>
    <row r="387" spans="1:15" s="321" customFormat="1" ht="12.1" customHeight="1" outlineLevel="1">
      <c r="A387" s="313"/>
      <c r="B387" s="317" t="str">
        <f t="shared" si="19"/>
        <v/>
      </c>
      <c r="F387" s="40"/>
      <c r="G387" s="314"/>
      <c r="H387" s="320"/>
      <c r="I387" s="313"/>
      <c r="J387" s="40"/>
      <c r="K387" s="314"/>
      <c r="L387" s="314">
        <f t="shared" si="17"/>
        <v>0</v>
      </c>
      <c r="M387" s="314">
        <f t="shared" si="18"/>
        <v>0</v>
      </c>
      <c r="N387" s="315"/>
      <c r="O387" s="321" t="s">
        <v>249</v>
      </c>
    </row>
    <row r="388" spans="1:15" s="321" customFormat="1" ht="194.95" customHeight="1" outlineLevel="1">
      <c r="A388" s="317">
        <v>321</v>
      </c>
      <c r="B388" s="317" t="str">
        <f t="shared" si="19"/>
        <v>IVF321</v>
      </c>
      <c r="C388" s="318" t="s">
        <v>123</v>
      </c>
      <c r="D388" s="317">
        <v>20</v>
      </c>
      <c r="E388" s="319" t="s">
        <v>9</v>
      </c>
      <c r="F388" s="5">
        <v>20584</v>
      </c>
      <c r="G388" s="314">
        <f>ROUND(D388*F388,0)</f>
        <v>411680</v>
      </c>
      <c r="H388" s="320">
        <f>D388</f>
        <v>20</v>
      </c>
      <c r="I388" s="313" t="s">
        <v>9</v>
      </c>
      <c r="J388" s="40">
        <f>F388</f>
        <v>20584</v>
      </c>
      <c r="K388" s="314">
        <f>ROUND(H388*J388,0)</f>
        <v>411680</v>
      </c>
      <c r="L388" s="314">
        <f t="shared" si="17"/>
        <v>0</v>
      </c>
      <c r="M388" s="314">
        <f t="shared" si="18"/>
        <v>0</v>
      </c>
      <c r="N388" s="335" t="s">
        <v>402</v>
      </c>
      <c r="O388" s="321" t="s">
        <v>249</v>
      </c>
    </row>
    <row r="389" spans="1:15" s="321" customFormat="1" outlineLevel="1">
      <c r="A389" s="313"/>
      <c r="B389" s="317" t="str">
        <f t="shared" si="19"/>
        <v/>
      </c>
      <c r="C389" s="327" t="s">
        <v>30</v>
      </c>
      <c r="F389" s="40"/>
      <c r="G389" s="314"/>
      <c r="H389" s="320">
        <v>12</v>
      </c>
      <c r="I389" s="313" t="s">
        <v>9</v>
      </c>
      <c r="J389" s="40">
        <f>F388</f>
        <v>20584</v>
      </c>
      <c r="K389" s="314">
        <f>ROUND(H389*J389,0)</f>
        <v>247008</v>
      </c>
      <c r="L389" s="314">
        <f t="shared" si="17"/>
        <v>247008</v>
      </c>
      <c r="M389" s="314">
        <f t="shared" si="18"/>
        <v>0</v>
      </c>
      <c r="N389" s="335"/>
      <c r="O389" s="321" t="s">
        <v>249</v>
      </c>
    </row>
    <row r="390" spans="1:15" s="321" customFormat="1" ht="12.1" customHeight="1" outlineLevel="1">
      <c r="A390" s="313"/>
      <c r="B390" s="317"/>
      <c r="C390" s="327"/>
      <c r="F390" s="40"/>
      <c r="G390" s="314"/>
      <c r="H390" s="320"/>
      <c r="I390" s="313"/>
      <c r="J390" s="40"/>
      <c r="K390" s="314"/>
      <c r="L390" s="314"/>
      <c r="M390" s="314"/>
      <c r="N390" s="315"/>
      <c r="O390" s="321" t="s">
        <v>249</v>
      </c>
    </row>
    <row r="391" spans="1:15" s="321" customFormat="1" ht="63" customHeight="1" outlineLevel="1">
      <c r="A391" s="317">
        <v>322</v>
      </c>
      <c r="B391" s="317" t="str">
        <f t="shared" si="19"/>
        <v>IVF322</v>
      </c>
      <c r="C391" s="318" t="s">
        <v>124</v>
      </c>
      <c r="D391" s="317">
        <v>1</v>
      </c>
      <c r="E391" s="319" t="s">
        <v>9</v>
      </c>
      <c r="F391" s="5">
        <v>6764</v>
      </c>
      <c r="G391" s="314">
        <f>ROUND(D391*F391,0)</f>
        <v>6764</v>
      </c>
      <c r="H391" s="320">
        <f>D391</f>
        <v>1</v>
      </c>
      <c r="I391" s="313" t="s">
        <v>9</v>
      </c>
      <c r="J391" s="40">
        <f>F391</f>
        <v>6764</v>
      </c>
      <c r="K391" s="314">
        <f>ROUND(H391*J391,0)</f>
        <v>6764</v>
      </c>
      <c r="L391" s="314">
        <f t="shared" si="17"/>
        <v>0</v>
      </c>
      <c r="M391" s="314">
        <f t="shared" si="18"/>
        <v>0</v>
      </c>
      <c r="N391" s="315" t="s">
        <v>302</v>
      </c>
      <c r="O391" s="321" t="s">
        <v>249</v>
      </c>
    </row>
    <row r="392" spans="1:15" s="321" customFormat="1" outlineLevel="1">
      <c r="A392" s="317"/>
      <c r="B392" s="317" t="str">
        <f t="shared" si="19"/>
        <v/>
      </c>
      <c r="C392" s="322" t="s">
        <v>337</v>
      </c>
      <c r="D392" s="317"/>
      <c r="E392" s="319"/>
      <c r="F392" s="5"/>
      <c r="G392" s="314"/>
      <c r="H392" s="320"/>
      <c r="I392" s="313"/>
      <c r="J392" s="40"/>
      <c r="K392" s="314"/>
      <c r="L392" s="314"/>
      <c r="M392" s="314"/>
      <c r="N392" s="315"/>
      <c r="O392" s="321" t="s">
        <v>249</v>
      </c>
    </row>
    <row r="393" spans="1:15" s="321" customFormat="1" ht="12.1" customHeight="1" outlineLevel="1">
      <c r="A393" s="313"/>
      <c r="B393" s="317" t="str">
        <f t="shared" si="19"/>
        <v/>
      </c>
      <c r="F393" s="40"/>
      <c r="G393" s="314"/>
      <c r="H393" s="320"/>
      <c r="I393" s="313"/>
      <c r="J393" s="40"/>
      <c r="K393" s="314"/>
      <c r="L393" s="314">
        <f t="shared" si="17"/>
        <v>0</v>
      </c>
      <c r="M393" s="314">
        <f t="shared" si="18"/>
        <v>0</v>
      </c>
      <c r="N393" s="315"/>
      <c r="O393" s="321" t="s">
        <v>249</v>
      </c>
    </row>
    <row r="394" spans="1:15" s="321" customFormat="1" ht="158.94999999999999" customHeight="1" outlineLevel="1">
      <c r="A394" s="317">
        <v>323</v>
      </c>
      <c r="B394" s="317" t="str">
        <f t="shared" si="19"/>
        <v>IVF323</v>
      </c>
      <c r="C394" s="318" t="s">
        <v>449</v>
      </c>
      <c r="D394" s="317">
        <v>2</v>
      </c>
      <c r="E394" s="319" t="s">
        <v>9</v>
      </c>
      <c r="F394" s="5">
        <v>8500</v>
      </c>
      <c r="G394" s="314">
        <f>ROUND(D394*F394,0)</f>
        <v>17000</v>
      </c>
      <c r="H394" s="320">
        <v>2</v>
      </c>
      <c r="I394" s="313" t="s">
        <v>9</v>
      </c>
      <c r="J394" s="40">
        <f>F394</f>
        <v>8500</v>
      </c>
      <c r="K394" s="314">
        <f>ROUND(H394*J394,0)</f>
        <v>17000</v>
      </c>
      <c r="L394" s="314">
        <f t="shared" si="17"/>
        <v>0</v>
      </c>
      <c r="M394" s="314">
        <f t="shared" si="18"/>
        <v>0</v>
      </c>
      <c r="N394" s="315" t="s">
        <v>302</v>
      </c>
      <c r="O394" s="321" t="s">
        <v>249</v>
      </c>
    </row>
    <row r="395" spans="1:15" s="321" customFormat="1" outlineLevel="1">
      <c r="A395" s="317"/>
      <c r="B395" s="317" t="str">
        <f t="shared" ref="B395:B458" si="20">IF(ISBLANK(A395), "","IVF"&amp;A395)</f>
        <v/>
      </c>
      <c r="C395" s="322" t="s">
        <v>343</v>
      </c>
      <c r="D395" s="317"/>
      <c r="E395" s="319"/>
      <c r="F395" s="5"/>
      <c r="G395" s="314"/>
      <c r="H395" s="320"/>
      <c r="I395" s="313"/>
      <c r="J395" s="40"/>
      <c r="K395" s="314"/>
      <c r="L395" s="314"/>
      <c r="M395" s="314"/>
      <c r="N395" s="315"/>
      <c r="O395" s="321" t="s">
        <v>249</v>
      </c>
    </row>
    <row r="396" spans="1:15" s="321" customFormat="1" ht="12.1" customHeight="1" outlineLevel="1">
      <c r="A396" s="313"/>
      <c r="B396" s="317" t="str">
        <f t="shared" si="20"/>
        <v/>
      </c>
      <c r="F396" s="40"/>
      <c r="G396" s="314"/>
      <c r="H396" s="320"/>
      <c r="I396" s="313"/>
      <c r="J396" s="40"/>
      <c r="K396" s="314"/>
      <c r="L396" s="314">
        <f t="shared" si="17"/>
        <v>0</v>
      </c>
      <c r="M396" s="314">
        <f t="shared" si="18"/>
        <v>0</v>
      </c>
      <c r="N396" s="315"/>
      <c r="O396" s="321" t="s">
        <v>249</v>
      </c>
    </row>
    <row r="397" spans="1:15" s="321" customFormat="1" ht="164.4" customHeight="1" outlineLevel="1">
      <c r="A397" s="317">
        <v>324</v>
      </c>
      <c r="B397" s="317" t="str">
        <f t="shared" si="20"/>
        <v>IVF324</v>
      </c>
      <c r="C397" s="318" t="s">
        <v>450</v>
      </c>
      <c r="D397" s="317">
        <v>2</v>
      </c>
      <c r="E397" s="319" t="s">
        <v>9</v>
      </c>
      <c r="F397" s="5">
        <v>22283</v>
      </c>
      <c r="G397" s="314">
        <f>ROUND(D397*F397,0)</f>
        <v>44566</v>
      </c>
      <c r="H397" s="320">
        <v>2</v>
      </c>
      <c r="I397" s="313" t="s">
        <v>9</v>
      </c>
      <c r="J397" s="40">
        <f>F397</f>
        <v>22283</v>
      </c>
      <c r="K397" s="314">
        <f>ROUND(H397*J397,0)</f>
        <v>44566</v>
      </c>
      <c r="L397" s="314">
        <f t="shared" si="17"/>
        <v>0</v>
      </c>
      <c r="M397" s="314">
        <f t="shared" si="18"/>
        <v>0</v>
      </c>
      <c r="N397" s="315" t="s">
        <v>583</v>
      </c>
      <c r="O397" s="321" t="s">
        <v>249</v>
      </c>
    </row>
    <row r="398" spans="1:15" s="321" customFormat="1" outlineLevel="1">
      <c r="A398" s="313"/>
      <c r="B398" s="317" t="str">
        <f t="shared" si="20"/>
        <v/>
      </c>
      <c r="C398" s="327" t="s">
        <v>30</v>
      </c>
      <c r="F398" s="40"/>
      <c r="G398" s="314"/>
      <c r="H398" s="320">
        <v>2</v>
      </c>
      <c r="I398" s="313" t="s">
        <v>9</v>
      </c>
      <c r="J398" s="40">
        <f>J397</f>
        <v>22283</v>
      </c>
      <c r="K398" s="314">
        <f>ROUND(H398*J398,0)</f>
        <v>44566</v>
      </c>
      <c r="L398" s="314">
        <f t="shared" si="17"/>
        <v>44566</v>
      </c>
      <c r="M398" s="314">
        <f t="shared" si="18"/>
        <v>0</v>
      </c>
      <c r="N398" s="315"/>
      <c r="O398" s="321" t="s">
        <v>249</v>
      </c>
    </row>
    <row r="399" spans="1:15" s="321" customFormat="1" outlineLevel="1">
      <c r="A399" s="313"/>
      <c r="B399" s="317" t="str">
        <f t="shared" si="20"/>
        <v/>
      </c>
      <c r="C399" s="323" t="s">
        <v>343</v>
      </c>
      <c r="F399" s="40"/>
      <c r="G399" s="314"/>
      <c r="H399" s="320"/>
      <c r="I399" s="313"/>
      <c r="J399" s="40"/>
      <c r="K399" s="314"/>
      <c r="L399" s="314"/>
      <c r="M399" s="314"/>
      <c r="N399" s="315"/>
      <c r="O399" s="321" t="s">
        <v>249</v>
      </c>
    </row>
    <row r="400" spans="1:15" s="321" customFormat="1" ht="12.1" customHeight="1" outlineLevel="1">
      <c r="A400" s="313"/>
      <c r="B400" s="317" t="str">
        <f t="shared" si="20"/>
        <v/>
      </c>
      <c r="C400" s="323"/>
      <c r="F400" s="40"/>
      <c r="G400" s="314"/>
      <c r="H400" s="320"/>
      <c r="I400" s="313"/>
      <c r="J400" s="40"/>
      <c r="K400" s="314"/>
      <c r="L400" s="314"/>
      <c r="M400" s="314"/>
      <c r="N400" s="315"/>
      <c r="O400" s="321" t="s">
        <v>249</v>
      </c>
    </row>
    <row r="401" spans="1:15" s="321" customFormat="1" ht="91.55" customHeight="1" outlineLevel="1">
      <c r="A401" s="317">
        <v>325</v>
      </c>
      <c r="B401" s="317" t="str">
        <f t="shared" si="20"/>
        <v>IVF325</v>
      </c>
      <c r="C401" s="318" t="s">
        <v>125</v>
      </c>
      <c r="D401" s="317">
        <v>200</v>
      </c>
      <c r="E401" s="319" t="s">
        <v>14</v>
      </c>
      <c r="F401" s="5">
        <v>329</v>
      </c>
      <c r="G401" s="314">
        <f>ROUND(D401*F401,0)</f>
        <v>65800</v>
      </c>
      <c r="H401" s="320">
        <v>200</v>
      </c>
      <c r="I401" s="313" t="s">
        <v>14</v>
      </c>
      <c r="J401" s="40">
        <f>F401</f>
        <v>329</v>
      </c>
      <c r="K401" s="314">
        <f>ROUND(H401*J401,0)</f>
        <v>65800</v>
      </c>
      <c r="L401" s="314">
        <f t="shared" si="17"/>
        <v>0</v>
      </c>
      <c r="M401" s="314">
        <f t="shared" si="18"/>
        <v>0</v>
      </c>
      <c r="N401" s="315" t="s">
        <v>582</v>
      </c>
      <c r="O401" s="321" t="s">
        <v>249</v>
      </c>
    </row>
    <row r="402" spans="1:15" s="321" customFormat="1" outlineLevel="1">
      <c r="A402" s="313"/>
      <c r="B402" s="317" t="str">
        <f t="shared" si="20"/>
        <v/>
      </c>
      <c r="C402" s="327" t="s">
        <v>30</v>
      </c>
      <c r="F402" s="40"/>
      <c r="G402" s="314"/>
      <c r="H402" s="320">
        <v>17.3</v>
      </c>
      <c r="I402" s="313" t="s">
        <v>14</v>
      </c>
      <c r="J402" s="40">
        <f>J401</f>
        <v>329</v>
      </c>
      <c r="K402" s="314">
        <f>ROUND(H402*J402,0)</f>
        <v>5692</v>
      </c>
      <c r="L402" s="314">
        <f t="shared" ref="L402:L440" si="21">ROUND(IF(K402&gt;G402,K402-G402,0),0)</f>
        <v>5692</v>
      </c>
      <c r="M402" s="314">
        <f t="shared" ref="M402:M440" si="22">ROUND(IF(K402&lt;G402,G402-K402,0),0)</f>
        <v>0</v>
      </c>
      <c r="N402" s="315"/>
      <c r="O402" s="321" t="s">
        <v>249</v>
      </c>
    </row>
    <row r="403" spans="1:15" s="321" customFormat="1" outlineLevel="1">
      <c r="A403" s="313"/>
      <c r="B403" s="317" t="str">
        <f t="shared" si="20"/>
        <v/>
      </c>
      <c r="C403" s="323" t="s">
        <v>342</v>
      </c>
      <c r="F403" s="40"/>
      <c r="G403" s="314"/>
      <c r="H403" s="320"/>
      <c r="I403" s="313"/>
      <c r="J403" s="40"/>
      <c r="K403" s="314"/>
      <c r="L403" s="314"/>
      <c r="M403" s="314"/>
      <c r="N403" s="315"/>
      <c r="O403" s="321" t="s">
        <v>249</v>
      </c>
    </row>
    <row r="404" spans="1:15" s="321" customFormat="1" ht="12.1" customHeight="1" outlineLevel="1">
      <c r="A404" s="313"/>
      <c r="B404" s="317" t="str">
        <f t="shared" si="20"/>
        <v/>
      </c>
      <c r="C404" s="323"/>
      <c r="F404" s="40"/>
      <c r="G404" s="314"/>
      <c r="H404" s="320"/>
      <c r="I404" s="313"/>
      <c r="J404" s="40"/>
      <c r="K404" s="314"/>
      <c r="L404" s="314"/>
      <c r="M404" s="314"/>
      <c r="N404" s="315"/>
      <c r="O404" s="321" t="s">
        <v>249</v>
      </c>
    </row>
    <row r="405" spans="1:15" s="321" customFormat="1" ht="60.8" customHeight="1" outlineLevel="1">
      <c r="A405" s="317">
        <v>326</v>
      </c>
      <c r="B405" s="317" t="str">
        <f t="shared" si="20"/>
        <v>IVF326</v>
      </c>
      <c r="C405" s="318" t="s">
        <v>126</v>
      </c>
      <c r="D405" s="317">
        <v>100</v>
      </c>
      <c r="E405" s="319" t="s">
        <v>14</v>
      </c>
      <c r="F405" s="5">
        <v>163</v>
      </c>
      <c r="G405" s="314">
        <f>ROUND(D405*F405,0)</f>
        <v>16300</v>
      </c>
      <c r="H405" s="320">
        <v>0</v>
      </c>
      <c r="I405" s="313" t="s">
        <v>14</v>
      </c>
      <c r="J405" s="40">
        <f>F405</f>
        <v>163</v>
      </c>
      <c r="K405" s="314"/>
      <c r="L405" s="314">
        <f t="shared" si="21"/>
        <v>0</v>
      </c>
      <c r="M405" s="314">
        <f t="shared" si="22"/>
        <v>16300</v>
      </c>
      <c r="N405" s="315" t="s">
        <v>393</v>
      </c>
      <c r="O405" s="321" t="s">
        <v>249</v>
      </c>
    </row>
    <row r="406" spans="1:15" s="321" customFormat="1" ht="12.1" customHeight="1" outlineLevel="1">
      <c r="A406" s="313"/>
      <c r="B406" s="317" t="str">
        <f t="shared" si="20"/>
        <v/>
      </c>
      <c r="F406" s="40"/>
      <c r="G406" s="314"/>
      <c r="H406" s="320"/>
      <c r="I406" s="313"/>
      <c r="J406" s="40"/>
      <c r="K406" s="314"/>
      <c r="L406" s="314">
        <f t="shared" si="21"/>
        <v>0</v>
      </c>
      <c r="M406" s="314">
        <f t="shared" si="22"/>
        <v>0</v>
      </c>
      <c r="N406" s="315"/>
      <c r="O406" s="321" t="s">
        <v>249</v>
      </c>
    </row>
    <row r="407" spans="1:15" s="321" customFormat="1" ht="123.8" customHeight="1" outlineLevel="1">
      <c r="A407" s="317">
        <v>327</v>
      </c>
      <c r="B407" s="317" t="str">
        <f t="shared" si="20"/>
        <v>IVF327</v>
      </c>
      <c r="C407" s="318" t="s">
        <v>127</v>
      </c>
      <c r="D407" s="317">
        <v>200</v>
      </c>
      <c r="E407" s="319" t="s">
        <v>14</v>
      </c>
      <c r="F407" s="5">
        <v>902</v>
      </c>
      <c r="G407" s="314">
        <f>ROUND(D407*F407,0)</f>
        <v>180400</v>
      </c>
      <c r="H407" s="320">
        <v>200</v>
      </c>
      <c r="I407" s="313" t="s">
        <v>14</v>
      </c>
      <c r="J407" s="40">
        <f>F407</f>
        <v>902</v>
      </c>
      <c r="K407" s="314">
        <f>ROUND(H407*J407,0)</f>
        <v>180400</v>
      </c>
      <c r="L407" s="314">
        <f t="shared" si="21"/>
        <v>0</v>
      </c>
      <c r="M407" s="314">
        <f t="shared" si="22"/>
        <v>0</v>
      </c>
      <c r="N407" s="318" t="s">
        <v>581</v>
      </c>
      <c r="O407" s="321" t="s">
        <v>249</v>
      </c>
    </row>
    <row r="408" spans="1:15" s="321" customFormat="1" outlineLevel="1">
      <c r="A408" s="313"/>
      <c r="B408" s="317" t="str">
        <f t="shared" si="20"/>
        <v/>
      </c>
      <c r="C408" s="327" t="s">
        <v>30</v>
      </c>
      <c r="F408" s="40"/>
      <c r="G408" s="314"/>
      <c r="H408" s="320">
        <f>207.3-200</f>
        <v>7.3000000000000114</v>
      </c>
      <c r="I408" s="313" t="s">
        <v>14</v>
      </c>
      <c r="J408" s="40">
        <f>J407</f>
        <v>902</v>
      </c>
      <c r="K408" s="314">
        <f>ROUND(H408*J408,0)</f>
        <v>6585</v>
      </c>
      <c r="L408" s="314">
        <f t="shared" si="21"/>
        <v>6585</v>
      </c>
      <c r="M408" s="314">
        <f t="shared" si="22"/>
        <v>0</v>
      </c>
      <c r="N408" s="318"/>
      <c r="O408" s="321" t="s">
        <v>249</v>
      </c>
    </row>
    <row r="409" spans="1:15" s="321" customFormat="1" outlineLevel="1">
      <c r="A409" s="313"/>
      <c r="B409" s="317" t="str">
        <f t="shared" si="20"/>
        <v/>
      </c>
      <c r="C409" s="323" t="s">
        <v>343</v>
      </c>
      <c r="F409" s="40"/>
      <c r="G409" s="314"/>
      <c r="H409" s="320"/>
      <c r="I409" s="313"/>
      <c r="J409" s="40"/>
      <c r="K409" s="314"/>
      <c r="L409" s="314"/>
      <c r="M409" s="314"/>
      <c r="N409" s="318"/>
      <c r="O409" s="321" t="s">
        <v>249</v>
      </c>
    </row>
    <row r="410" spans="1:15" s="321" customFormat="1" ht="12.1" customHeight="1" outlineLevel="1">
      <c r="A410" s="313"/>
      <c r="B410" s="317" t="str">
        <f t="shared" si="20"/>
        <v/>
      </c>
      <c r="C410" s="323"/>
      <c r="F410" s="40"/>
      <c r="G410" s="314"/>
      <c r="H410" s="320"/>
      <c r="I410" s="313"/>
      <c r="J410" s="40"/>
      <c r="K410" s="314"/>
      <c r="L410" s="314"/>
      <c r="M410" s="314"/>
      <c r="N410" s="318"/>
      <c r="O410" s="321" t="s">
        <v>249</v>
      </c>
    </row>
    <row r="411" spans="1:15" s="321" customFormat="1" ht="137.25" customHeight="1" outlineLevel="1">
      <c r="A411" s="317">
        <v>328</v>
      </c>
      <c r="B411" s="317" t="str">
        <f t="shared" si="20"/>
        <v>IVF328</v>
      </c>
      <c r="C411" s="318" t="s">
        <v>128</v>
      </c>
      <c r="D411" s="317">
        <v>80</v>
      </c>
      <c r="E411" s="319" t="s">
        <v>14</v>
      </c>
      <c r="F411" s="5">
        <v>83</v>
      </c>
      <c r="G411" s="314">
        <f>ROUND(D411*F411,0)</f>
        <v>6640</v>
      </c>
      <c r="H411" s="320">
        <v>80</v>
      </c>
      <c r="I411" s="313" t="s">
        <v>14</v>
      </c>
      <c r="J411" s="40">
        <f>F411</f>
        <v>83</v>
      </c>
      <c r="K411" s="314">
        <f>ROUND(H411*J411,0)</f>
        <v>6640</v>
      </c>
      <c r="L411" s="314">
        <f t="shared" si="21"/>
        <v>0</v>
      </c>
      <c r="M411" s="314">
        <f t="shared" si="22"/>
        <v>0</v>
      </c>
      <c r="N411" s="318" t="s">
        <v>580</v>
      </c>
      <c r="O411" s="321" t="s">
        <v>249</v>
      </c>
    </row>
    <row r="412" spans="1:15" s="321" customFormat="1" outlineLevel="1">
      <c r="A412" s="313"/>
      <c r="B412" s="317" t="str">
        <f t="shared" si="20"/>
        <v/>
      </c>
      <c r="C412" s="327" t="s">
        <v>30</v>
      </c>
      <c r="F412" s="40"/>
      <c r="G412" s="314"/>
      <c r="H412" s="320">
        <f>450.6-80</f>
        <v>370.6</v>
      </c>
      <c r="I412" s="313" t="s">
        <v>14</v>
      </c>
      <c r="J412" s="40">
        <f>J411</f>
        <v>83</v>
      </c>
      <c r="K412" s="314">
        <f>ROUND(H412*J412,0)</f>
        <v>30760</v>
      </c>
      <c r="L412" s="314">
        <f t="shared" si="21"/>
        <v>30760</v>
      </c>
      <c r="M412" s="314">
        <f t="shared" si="22"/>
        <v>0</v>
      </c>
      <c r="N412" s="315"/>
      <c r="O412" s="321" t="s">
        <v>249</v>
      </c>
    </row>
    <row r="413" spans="1:15" s="321" customFormat="1" outlineLevel="1">
      <c r="A413" s="313"/>
      <c r="B413" s="317" t="str">
        <f t="shared" si="20"/>
        <v/>
      </c>
      <c r="C413" s="323" t="s">
        <v>343</v>
      </c>
      <c r="F413" s="40"/>
      <c r="G413" s="314"/>
      <c r="H413" s="320"/>
      <c r="I413" s="313"/>
      <c r="J413" s="40"/>
      <c r="K413" s="314"/>
      <c r="L413" s="314"/>
      <c r="M413" s="314"/>
      <c r="N413" s="315"/>
      <c r="O413" s="321" t="s">
        <v>249</v>
      </c>
    </row>
    <row r="414" spans="1:15" s="321" customFormat="1" ht="12.1" customHeight="1" outlineLevel="1">
      <c r="A414" s="313"/>
      <c r="B414" s="317" t="str">
        <f t="shared" si="20"/>
        <v/>
      </c>
      <c r="C414" s="323"/>
      <c r="F414" s="40"/>
      <c r="G414" s="314"/>
      <c r="H414" s="320"/>
      <c r="I414" s="313"/>
      <c r="J414" s="40"/>
      <c r="K414" s="314"/>
      <c r="L414" s="314"/>
      <c r="M414" s="314"/>
      <c r="N414" s="315"/>
      <c r="O414" s="321" t="s">
        <v>249</v>
      </c>
    </row>
    <row r="415" spans="1:15" s="321" customFormat="1" ht="196.5" customHeight="1" outlineLevel="1">
      <c r="A415" s="317">
        <v>329</v>
      </c>
      <c r="B415" s="317" t="str">
        <f t="shared" si="20"/>
        <v>IVF329</v>
      </c>
      <c r="C415" s="318" t="s">
        <v>451</v>
      </c>
      <c r="D415" s="317">
        <v>120</v>
      </c>
      <c r="E415" s="319" t="s">
        <v>14</v>
      </c>
      <c r="F415" s="5">
        <v>1207</v>
      </c>
      <c r="G415" s="314">
        <f>ROUND(D415*F415,0)</f>
        <v>144840</v>
      </c>
      <c r="H415" s="320">
        <v>120</v>
      </c>
      <c r="I415" s="313" t="s">
        <v>14</v>
      </c>
      <c r="J415" s="40">
        <f>F415</f>
        <v>1207</v>
      </c>
      <c r="K415" s="314">
        <f>ROUND(H415*J415,0)</f>
        <v>144840</v>
      </c>
      <c r="L415" s="314">
        <f t="shared" si="21"/>
        <v>0</v>
      </c>
      <c r="M415" s="314">
        <f t="shared" si="22"/>
        <v>0</v>
      </c>
      <c r="N415" s="315" t="s">
        <v>598</v>
      </c>
      <c r="O415" s="321" t="s">
        <v>249</v>
      </c>
    </row>
    <row r="416" spans="1:15" s="321" customFormat="1" outlineLevel="1">
      <c r="A416" s="313"/>
      <c r="B416" s="317" t="str">
        <f t="shared" si="20"/>
        <v/>
      </c>
      <c r="C416" s="327" t="s">
        <v>30</v>
      </c>
      <c r="F416" s="40"/>
      <c r="G416" s="314"/>
      <c r="H416" s="320">
        <f>180-H415</f>
        <v>60</v>
      </c>
      <c r="I416" s="313" t="s">
        <v>14</v>
      </c>
      <c r="J416" s="40">
        <f>J415</f>
        <v>1207</v>
      </c>
      <c r="K416" s="314">
        <f>ROUND(H416*J416,0)</f>
        <v>72420</v>
      </c>
      <c r="L416" s="314">
        <f t="shared" si="21"/>
        <v>72420</v>
      </c>
      <c r="M416" s="314">
        <f t="shared" si="22"/>
        <v>0</v>
      </c>
      <c r="N416" s="315"/>
      <c r="O416" s="321" t="s">
        <v>249</v>
      </c>
    </row>
    <row r="417" spans="1:15" s="321" customFormat="1" outlineLevel="1">
      <c r="A417" s="313"/>
      <c r="B417" s="317" t="str">
        <f t="shared" si="20"/>
        <v/>
      </c>
      <c r="C417" s="323" t="s">
        <v>343</v>
      </c>
      <c r="F417" s="40"/>
      <c r="G417" s="314"/>
      <c r="H417" s="320"/>
      <c r="I417" s="313"/>
      <c r="J417" s="40"/>
      <c r="K417" s="314"/>
      <c r="L417" s="314"/>
      <c r="M417" s="314"/>
      <c r="N417" s="315"/>
      <c r="O417" s="321" t="s">
        <v>249</v>
      </c>
    </row>
    <row r="418" spans="1:15" s="321" customFormat="1" ht="12.1" customHeight="1" outlineLevel="1">
      <c r="A418" s="313"/>
      <c r="B418" s="317" t="str">
        <f t="shared" si="20"/>
        <v/>
      </c>
      <c r="C418" s="323"/>
      <c r="F418" s="40"/>
      <c r="G418" s="314"/>
      <c r="H418" s="320"/>
      <c r="I418" s="313"/>
      <c r="J418" s="40"/>
      <c r="K418" s="314"/>
      <c r="L418" s="314"/>
      <c r="M418" s="314"/>
      <c r="N418" s="315"/>
      <c r="O418" s="321" t="s">
        <v>249</v>
      </c>
    </row>
    <row r="419" spans="1:15" s="321" customFormat="1" ht="212.95" customHeight="1" outlineLevel="1">
      <c r="A419" s="317">
        <v>330</v>
      </c>
      <c r="B419" s="317" t="str">
        <f t="shared" si="20"/>
        <v>IVF330</v>
      </c>
      <c r="C419" s="318" t="s">
        <v>452</v>
      </c>
      <c r="D419" s="317">
        <v>70</v>
      </c>
      <c r="E419" s="319" t="s">
        <v>14</v>
      </c>
      <c r="F419" s="5">
        <v>722</v>
      </c>
      <c r="G419" s="314">
        <f>ROUND(D419*F419,0)</f>
        <v>50540</v>
      </c>
      <c r="H419" s="320">
        <v>70</v>
      </c>
      <c r="I419" s="313" t="s">
        <v>14</v>
      </c>
      <c r="J419" s="40">
        <f>F419</f>
        <v>722</v>
      </c>
      <c r="K419" s="314">
        <f>ROUND(H419*J419,0)</f>
        <v>50540</v>
      </c>
      <c r="L419" s="314">
        <f t="shared" si="21"/>
        <v>0</v>
      </c>
      <c r="M419" s="314">
        <f t="shared" si="22"/>
        <v>0</v>
      </c>
      <c r="N419" s="315" t="s">
        <v>598</v>
      </c>
      <c r="O419" s="321" t="s">
        <v>249</v>
      </c>
    </row>
    <row r="420" spans="1:15" s="321" customFormat="1" outlineLevel="1">
      <c r="A420" s="313"/>
      <c r="B420" s="317" t="str">
        <f t="shared" si="20"/>
        <v/>
      </c>
      <c r="C420" s="327" t="s">
        <v>30</v>
      </c>
      <c r="F420" s="40"/>
      <c r="G420" s="314"/>
      <c r="H420" s="320">
        <f>180-H419</f>
        <v>110</v>
      </c>
      <c r="I420" s="313" t="s">
        <v>14</v>
      </c>
      <c r="J420" s="40">
        <f>J419</f>
        <v>722</v>
      </c>
      <c r="K420" s="314">
        <f>ROUND(H420*J420,0)</f>
        <v>79420</v>
      </c>
      <c r="L420" s="314">
        <f t="shared" si="21"/>
        <v>79420</v>
      </c>
      <c r="M420" s="314">
        <f t="shared" si="22"/>
        <v>0</v>
      </c>
      <c r="N420" s="315"/>
      <c r="O420" s="321" t="s">
        <v>249</v>
      </c>
    </row>
    <row r="421" spans="1:15" s="321" customFormat="1" outlineLevel="1">
      <c r="A421" s="313"/>
      <c r="B421" s="317" t="str">
        <f t="shared" si="20"/>
        <v/>
      </c>
      <c r="C421" s="323" t="s">
        <v>343</v>
      </c>
      <c r="F421" s="40"/>
      <c r="G421" s="314"/>
      <c r="H421" s="320"/>
      <c r="I421" s="313"/>
      <c r="J421" s="40"/>
      <c r="K421" s="314"/>
      <c r="L421" s="314"/>
      <c r="M421" s="314"/>
      <c r="N421" s="315"/>
      <c r="O421" s="321" t="s">
        <v>249</v>
      </c>
    </row>
    <row r="422" spans="1:15" s="321" customFormat="1" ht="12.1" customHeight="1" outlineLevel="1">
      <c r="A422" s="313"/>
      <c r="B422" s="317" t="str">
        <f t="shared" si="20"/>
        <v/>
      </c>
      <c r="C422" s="323"/>
      <c r="F422" s="40"/>
      <c r="G422" s="314"/>
      <c r="H422" s="320"/>
      <c r="I422" s="313"/>
      <c r="J422" s="40"/>
      <c r="K422" s="314"/>
      <c r="L422" s="314"/>
      <c r="M422" s="314"/>
      <c r="N422" s="315"/>
      <c r="O422" s="321" t="s">
        <v>249</v>
      </c>
    </row>
    <row r="423" spans="1:15" s="321" customFormat="1" ht="210.75" customHeight="1" outlineLevel="1">
      <c r="A423" s="317">
        <v>331</v>
      </c>
      <c r="B423" s="317" t="str">
        <f t="shared" si="20"/>
        <v>IVF331</v>
      </c>
      <c r="C423" s="318" t="s">
        <v>453</v>
      </c>
      <c r="D423" s="317">
        <v>100</v>
      </c>
      <c r="E423" s="319" t="s">
        <v>14</v>
      </c>
      <c r="F423" s="5">
        <v>1483</v>
      </c>
      <c r="G423" s="314">
        <f>ROUND(D423*F423,0)</f>
        <v>148300</v>
      </c>
      <c r="H423" s="320">
        <v>100</v>
      </c>
      <c r="I423" s="313" t="s">
        <v>14</v>
      </c>
      <c r="J423" s="40">
        <f>F423</f>
        <v>1483</v>
      </c>
      <c r="K423" s="314">
        <f>ROUND(H423*J423,0)</f>
        <v>148300</v>
      </c>
      <c r="L423" s="314">
        <f t="shared" si="21"/>
        <v>0</v>
      </c>
      <c r="M423" s="314">
        <f t="shared" si="22"/>
        <v>0</v>
      </c>
      <c r="N423" s="315" t="s">
        <v>599</v>
      </c>
      <c r="O423" s="321" t="s">
        <v>249</v>
      </c>
    </row>
    <row r="424" spans="1:15" s="321" customFormat="1" outlineLevel="1">
      <c r="A424" s="313"/>
      <c r="B424" s="317" t="str">
        <f t="shared" si="20"/>
        <v/>
      </c>
      <c r="C424" s="327" t="s">
        <v>30</v>
      </c>
      <c r="F424" s="40"/>
      <c r="G424" s="314"/>
      <c r="H424" s="320">
        <f>160.4-H423</f>
        <v>60.400000000000006</v>
      </c>
      <c r="I424" s="313" t="s">
        <v>14</v>
      </c>
      <c r="J424" s="40">
        <f>J423</f>
        <v>1483</v>
      </c>
      <c r="K424" s="314">
        <f>ROUND(H424*J424,0)</f>
        <v>89573</v>
      </c>
      <c r="L424" s="314">
        <f t="shared" si="21"/>
        <v>89573</v>
      </c>
      <c r="M424" s="314">
        <f t="shared" si="22"/>
        <v>0</v>
      </c>
      <c r="N424" s="315"/>
      <c r="O424" s="321" t="s">
        <v>249</v>
      </c>
    </row>
    <row r="425" spans="1:15" s="321" customFormat="1" outlineLevel="1">
      <c r="A425" s="313"/>
      <c r="B425" s="317" t="str">
        <f t="shared" si="20"/>
        <v/>
      </c>
      <c r="C425" s="323" t="s">
        <v>344</v>
      </c>
      <c r="F425" s="40"/>
      <c r="G425" s="314"/>
      <c r="H425" s="320"/>
      <c r="I425" s="313"/>
      <c r="J425" s="40"/>
      <c r="K425" s="314"/>
      <c r="L425" s="314"/>
      <c r="M425" s="314"/>
      <c r="N425" s="315"/>
      <c r="O425" s="321" t="s">
        <v>249</v>
      </c>
    </row>
    <row r="426" spans="1:15" s="321" customFormat="1" ht="12.1" customHeight="1" outlineLevel="1">
      <c r="A426" s="313"/>
      <c r="B426" s="317" t="str">
        <f t="shared" si="20"/>
        <v/>
      </c>
      <c r="C426" s="323"/>
      <c r="F426" s="40"/>
      <c r="G426" s="314"/>
      <c r="H426" s="320"/>
      <c r="I426" s="313"/>
      <c r="J426" s="40"/>
      <c r="K426" s="314"/>
      <c r="L426" s="314"/>
      <c r="M426" s="314"/>
      <c r="N426" s="315"/>
      <c r="O426" s="321" t="s">
        <v>249</v>
      </c>
    </row>
    <row r="427" spans="1:15" s="321" customFormat="1" ht="210.1" customHeight="1" outlineLevel="1">
      <c r="A427" s="317">
        <v>332</v>
      </c>
      <c r="B427" s="317" t="str">
        <f t="shared" si="20"/>
        <v>IVF332</v>
      </c>
      <c r="C427" s="318" t="s">
        <v>454</v>
      </c>
      <c r="D427" s="317">
        <v>120</v>
      </c>
      <c r="E427" s="319" t="s">
        <v>14</v>
      </c>
      <c r="F427" s="5">
        <v>484</v>
      </c>
      <c r="G427" s="314">
        <f>ROUND(D427*F427,0)</f>
        <v>58080</v>
      </c>
      <c r="H427" s="320">
        <v>120</v>
      </c>
      <c r="I427" s="313" t="s">
        <v>14</v>
      </c>
      <c r="J427" s="40">
        <f>F427</f>
        <v>484</v>
      </c>
      <c r="K427" s="314">
        <f>ROUND(H427*J427,0)</f>
        <v>58080</v>
      </c>
      <c r="L427" s="314">
        <f t="shared" si="21"/>
        <v>0</v>
      </c>
      <c r="M427" s="314">
        <f t="shared" si="22"/>
        <v>0</v>
      </c>
      <c r="N427" s="315" t="s">
        <v>302</v>
      </c>
      <c r="O427" s="321" t="s">
        <v>249</v>
      </c>
    </row>
    <row r="428" spans="1:15" s="321" customFormat="1" outlineLevel="1">
      <c r="A428" s="317"/>
      <c r="B428" s="317" t="str">
        <f t="shared" si="20"/>
        <v/>
      </c>
      <c r="C428" s="322" t="s">
        <v>345</v>
      </c>
      <c r="D428" s="317"/>
      <c r="E428" s="319"/>
      <c r="F428" s="5"/>
      <c r="G428" s="314"/>
      <c r="H428" s="320"/>
      <c r="I428" s="313"/>
      <c r="J428" s="40"/>
      <c r="K428" s="314"/>
      <c r="L428" s="314"/>
      <c r="M428" s="314"/>
      <c r="N428" s="315"/>
      <c r="O428" s="321" t="s">
        <v>249</v>
      </c>
    </row>
    <row r="429" spans="1:15" s="321" customFormat="1" ht="12.1" customHeight="1" outlineLevel="1">
      <c r="A429" s="313"/>
      <c r="B429" s="317" t="str">
        <f t="shared" si="20"/>
        <v/>
      </c>
      <c r="F429" s="40"/>
      <c r="G429" s="314"/>
      <c r="H429" s="320"/>
      <c r="I429" s="313"/>
      <c r="J429" s="40"/>
      <c r="K429" s="314"/>
      <c r="L429" s="314">
        <f t="shared" si="21"/>
        <v>0</v>
      </c>
      <c r="M429" s="314">
        <f t="shared" si="22"/>
        <v>0</v>
      </c>
      <c r="N429" s="315"/>
      <c r="O429" s="321" t="s">
        <v>249</v>
      </c>
    </row>
    <row r="430" spans="1:15" s="321" customFormat="1" ht="211.6" customHeight="1" outlineLevel="1">
      <c r="A430" s="317">
        <v>333</v>
      </c>
      <c r="B430" s="317" t="str">
        <f t="shared" si="20"/>
        <v>IVF333</v>
      </c>
      <c r="C430" s="318" t="s">
        <v>455</v>
      </c>
      <c r="D430" s="317">
        <v>80</v>
      </c>
      <c r="E430" s="319" t="s">
        <v>14</v>
      </c>
      <c r="F430" s="5">
        <v>356</v>
      </c>
      <c r="G430" s="314">
        <f>ROUND(D430*F430,0)</f>
        <v>28480</v>
      </c>
      <c r="H430" s="320">
        <v>80</v>
      </c>
      <c r="I430" s="313" t="s">
        <v>14</v>
      </c>
      <c r="J430" s="40">
        <f>F430</f>
        <v>356</v>
      </c>
      <c r="K430" s="314">
        <f>ROUND(H430*J430,0)</f>
        <v>28480</v>
      </c>
      <c r="L430" s="314">
        <f t="shared" si="21"/>
        <v>0</v>
      </c>
      <c r="M430" s="314">
        <f t="shared" si="22"/>
        <v>0</v>
      </c>
      <c r="N430" s="315" t="s">
        <v>302</v>
      </c>
      <c r="O430" s="321" t="s">
        <v>249</v>
      </c>
    </row>
    <row r="431" spans="1:15" s="321" customFormat="1" outlineLevel="1">
      <c r="A431" s="317"/>
      <c r="B431" s="317" t="str">
        <f t="shared" si="20"/>
        <v/>
      </c>
      <c r="C431" s="322" t="s">
        <v>345</v>
      </c>
      <c r="D431" s="317"/>
      <c r="E431" s="319"/>
      <c r="F431" s="5"/>
      <c r="G431" s="314"/>
      <c r="H431" s="320"/>
      <c r="I431" s="313"/>
      <c r="J431" s="40"/>
      <c r="K431" s="314"/>
      <c r="L431" s="314"/>
      <c r="M431" s="314"/>
      <c r="N431" s="315"/>
      <c r="O431" s="321" t="s">
        <v>249</v>
      </c>
    </row>
    <row r="432" spans="1:15" s="321" customFormat="1" ht="12.1" customHeight="1" outlineLevel="1">
      <c r="A432" s="313"/>
      <c r="B432" s="317" t="str">
        <f t="shared" si="20"/>
        <v/>
      </c>
      <c r="F432" s="40"/>
      <c r="G432" s="314"/>
      <c r="H432" s="320"/>
      <c r="I432" s="313"/>
      <c r="J432" s="40"/>
      <c r="K432" s="314"/>
      <c r="L432" s="314">
        <f t="shared" si="21"/>
        <v>0</v>
      </c>
      <c r="M432" s="314">
        <f t="shared" si="22"/>
        <v>0</v>
      </c>
      <c r="N432" s="315"/>
      <c r="O432" s="321" t="s">
        <v>249</v>
      </c>
    </row>
    <row r="433" spans="1:15" s="321" customFormat="1" ht="362.25" customHeight="1" outlineLevel="1">
      <c r="A433" s="317">
        <v>334</v>
      </c>
      <c r="B433" s="317" t="str">
        <f t="shared" si="20"/>
        <v>IVF334</v>
      </c>
      <c r="C433" s="318" t="s">
        <v>456</v>
      </c>
      <c r="D433" s="317">
        <v>1</v>
      </c>
      <c r="E433" s="319" t="s">
        <v>9</v>
      </c>
      <c r="F433" s="5">
        <v>355000</v>
      </c>
      <c r="G433" s="314">
        <f>ROUND(D433*F433,0)</f>
        <v>355000</v>
      </c>
      <c r="H433" s="320">
        <v>1</v>
      </c>
      <c r="I433" s="313" t="s">
        <v>9</v>
      </c>
      <c r="J433" s="40">
        <f>F433</f>
        <v>355000</v>
      </c>
      <c r="K433" s="314">
        <f>ROUND(H433*J433,0)</f>
        <v>355000</v>
      </c>
      <c r="L433" s="314">
        <f t="shared" si="21"/>
        <v>0</v>
      </c>
      <c r="M433" s="314">
        <f t="shared" si="22"/>
        <v>0</v>
      </c>
      <c r="N433" s="315" t="s">
        <v>302</v>
      </c>
      <c r="O433" s="321" t="s">
        <v>249</v>
      </c>
    </row>
    <row r="434" spans="1:15" s="321" customFormat="1" ht="0.7" customHeight="1" outlineLevel="1">
      <c r="A434" s="317"/>
      <c r="B434" s="317" t="str">
        <f t="shared" si="20"/>
        <v/>
      </c>
      <c r="C434" s="322" t="s">
        <v>345</v>
      </c>
      <c r="D434" s="317"/>
      <c r="E434" s="319"/>
      <c r="F434" s="5"/>
      <c r="G434" s="314"/>
      <c r="H434" s="320"/>
      <c r="I434" s="313"/>
      <c r="J434" s="40"/>
      <c r="K434" s="314"/>
      <c r="L434" s="314"/>
      <c r="M434" s="314"/>
      <c r="N434" s="315"/>
      <c r="O434" s="321" t="s">
        <v>249</v>
      </c>
    </row>
    <row r="435" spans="1:15" s="321" customFormat="1" ht="12.1" customHeight="1" outlineLevel="1">
      <c r="A435" s="313"/>
      <c r="B435" s="317" t="str">
        <f t="shared" si="20"/>
        <v/>
      </c>
      <c r="F435" s="40"/>
      <c r="G435" s="314"/>
      <c r="H435" s="320"/>
      <c r="I435" s="313"/>
      <c r="J435" s="40"/>
      <c r="K435" s="314"/>
      <c r="L435" s="314">
        <f t="shared" si="21"/>
        <v>0</v>
      </c>
      <c r="M435" s="314">
        <f t="shared" si="22"/>
        <v>0</v>
      </c>
      <c r="N435" s="315"/>
      <c r="O435" s="321" t="s">
        <v>249</v>
      </c>
    </row>
    <row r="436" spans="1:15" s="321" customFormat="1" ht="338.95" customHeight="1" outlineLevel="1">
      <c r="A436" s="317">
        <v>335</v>
      </c>
      <c r="B436" s="317" t="str">
        <f t="shared" si="20"/>
        <v>IVF335</v>
      </c>
      <c r="C436" s="318" t="s">
        <v>129</v>
      </c>
      <c r="D436" s="317">
        <v>1</v>
      </c>
      <c r="E436" s="319" t="s">
        <v>9</v>
      </c>
      <c r="F436" s="5">
        <v>270000</v>
      </c>
      <c r="G436" s="314">
        <f>ROUND(D436*F436,0)</f>
        <v>270000</v>
      </c>
      <c r="H436" s="320">
        <v>1</v>
      </c>
      <c r="I436" s="313" t="s">
        <v>9</v>
      </c>
      <c r="J436" s="40">
        <f>F436</f>
        <v>270000</v>
      </c>
      <c r="K436" s="314">
        <f>ROUND(H436*J436,0)</f>
        <v>270000</v>
      </c>
      <c r="L436" s="314">
        <f t="shared" si="21"/>
        <v>0</v>
      </c>
      <c r="M436" s="314">
        <f t="shared" si="22"/>
        <v>0</v>
      </c>
      <c r="N436" s="315" t="s">
        <v>302</v>
      </c>
      <c r="O436" s="321" t="s">
        <v>249</v>
      </c>
    </row>
    <row r="437" spans="1:15" s="321" customFormat="1" outlineLevel="1">
      <c r="A437" s="317"/>
      <c r="B437" s="317" t="str">
        <f t="shared" si="20"/>
        <v/>
      </c>
      <c r="C437" s="322" t="s">
        <v>345</v>
      </c>
      <c r="D437" s="317"/>
      <c r="E437" s="319"/>
      <c r="F437" s="5"/>
      <c r="G437" s="314"/>
      <c r="H437" s="320"/>
      <c r="I437" s="313"/>
      <c r="J437" s="40"/>
      <c r="K437" s="314"/>
      <c r="L437" s="314"/>
      <c r="M437" s="314"/>
      <c r="N437" s="315"/>
      <c r="O437" s="321" t="s">
        <v>249</v>
      </c>
    </row>
    <row r="438" spans="1:15" s="321" customFormat="1" ht="12.1" customHeight="1" outlineLevel="1">
      <c r="A438" s="313"/>
      <c r="B438" s="317" t="str">
        <f t="shared" si="20"/>
        <v/>
      </c>
      <c r="F438" s="40"/>
      <c r="G438" s="314"/>
      <c r="H438" s="320"/>
      <c r="I438" s="313"/>
      <c r="J438" s="40"/>
      <c r="K438" s="314"/>
      <c r="L438" s="314">
        <f t="shared" si="21"/>
        <v>0</v>
      </c>
      <c r="M438" s="314">
        <f t="shared" si="22"/>
        <v>0</v>
      </c>
      <c r="N438" s="315"/>
      <c r="O438" s="321" t="s">
        <v>249</v>
      </c>
    </row>
    <row r="439" spans="1:15" s="321" customFormat="1" ht="85.1" customHeight="1" outlineLevel="1">
      <c r="A439" s="317">
        <v>336</v>
      </c>
      <c r="B439" s="317" t="str">
        <f t="shared" si="20"/>
        <v>IVF336</v>
      </c>
      <c r="C439" s="318" t="s">
        <v>130</v>
      </c>
      <c r="D439" s="317">
        <v>3</v>
      </c>
      <c r="E439" s="319" t="s">
        <v>9</v>
      </c>
      <c r="F439" s="5">
        <v>1540</v>
      </c>
      <c r="G439" s="314">
        <f>ROUND(D439*F439,0)</f>
        <v>4620</v>
      </c>
      <c r="H439" s="320">
        <v>2</v>
      </c>
      <c r="I439" s="313" t="s">
        <v>9</v>
      </c>
      <c r="J439" s="40">
        <f>F439</f>
        <v>1540</v>
      </c>
      <c r="K439" s="314"/>
      <c r="L439" s="314">
        <f t="shared" si="21"/>
        <v>0</v>
      </c>
      <c r="M439" s="314">
        <f t="shared" si="22"/>
        <v>4620</v>
      </c>
      <c r="N439" s="315" t="s">
        <v>403</v>
      </c>
      <c r="O439" s="321" t="s">
        <v>249</v>
      </c>
    </row>
    <row r="440" spans="1:15" s="321" customFormat="1" ht="12.1" customHeight="1" outlineLevel="1">
      <c r="A440" s="313"/>
      <c r="B440" s="317" t="str">
        <f t="shared" si="20"/>
        <v/>
      </c>
      <c r="F440" s="40"/>
      <c r="G440" s="314"/>
      <c r="H440" s="320"/>
      <c r="I440" s="313"/>
      <c r="J440" s="40"/>
      <c r="K440" s="314"/>
      <c r="L440" s="314">
        <f t="shared" si="21"/>
        <v>0</v>
      </c>
      <c r="M440" s="314">
        <f t="shared" si="22"/>
        <v>0</v>
      </c>
      <c r="N440" s="315"/>
      <c r="O440" s="321" t="s">
        <v>249</v>
      </c>
    </row>
    <row r="441" spans="1:15" s="321" customFormat="1" ht="19.899999999999999" customHeight="1">
      <c r="A441" s="313"/>
      <c r="B441" s="317" t="str">
        <f t="shared" si="20"/>
        <v/>
      </c>
      <c r="F441" s="40"/>
      <c r="G441" s="329">
        <f>ROUND(SUM(G294:G440),0)</f>
        <v>3719411</v>
      </c>
      <c r="H441" s="320"/>
      <c r="I441" s="313"/>
      <c r="J441" s="42" t="s">
        <v>32</v>
      </c>
      <c r="K441" s="329">
        <f>ROUND(SUM(K294:K440),0)</f>
        <v>5641335</v>
      </c>
      <c r="L441" s="329">
        <f>SUM(L294:L440)</f>
        <v>2169638</v>
      </c>
      <c r="M441" s="329">
        <f>SUM(M294:M440)</f>
        <v>247714</v>
      </c>
      <c r="N441" s="341"/>
    </row>
    <row r="442" spans="1:15" s="321" customFormat="1" ht="19.899999999999999" customHeight="1">
      <c r="A442" s="313"/>
      <c r="B442" s="317" t="str">
        <f t="shared" si="20"/>
        <v/>
      </c>
      <c r="C442" s="331" t="s">
        <v>36</v>
      </c>
      <c r="F442" s="40" t="s">
        <v>40</v>
      </c>
      <c r="G442" s="312"/>
      <c r="H442" s="320"/>
      <c r="I442" s="313"/>
      <c r="J442" s="40"/>
      <c r="K442" s="312"/>
      <c r="L442" s="314"/>
      <c r="M442" s="314"/>
      <c r="N442" s="315"/>
    </row>
    <row r="443" spans="1:15" s="321" customFormat="1" ht="76.099999999999994" customHeight="1" outlineLevel="1">
      <c r="A443" s="317">
        <v>337</v>
      </c>
      <c r="B443" s="317" t="str">
        <f t="shared" si="20"/>
        <v>IVF337</v>
      </c>
      <c r="C443" s="318" t="s">
        <v>131</v>
      </c>
      <c r="D443" s="317">
        <v>1</v>
      </c>
      <c r="E443" s="319" t="s">
        <v>17</v>
      </c>
      <c r="F443" s="5">
        <v>383000</v>
      </c>
      <c r="G443" s="314">
        <f t="shared" ref="G443:G449" si="23">ROUND(D443*F443,0)</f>
        <v>383000</v>
      </c>
      <c r="H443" s="320">
        <f>D443</f>
        <v>1</v>
      </c>
      <c r="I443" s="313" t="s">
        <v>17</v>
      </c>
      <c r="J443" s="40">
        <f>F443</f>
        <v>383000</v>
      </c>
      <c r="K443" s="314">
        <f t="shared" ref="K443:K449" si="24">ROUND(H443*J443,0)</f>
        <v>383000</v>
      </c>
      <c r="L443" s="314">
        <f>ROUND(IF(K443&gt;G443,K443-G443,0),0)</f>
        <v>0</v>
      </c>
      <c r="M443" s="314">
        <f>ROUND(IF(K443&lt;G443,G443-K443,0),0)</f>
        <v>0</v>
      </c>
      <c r="N443" s="315" t="s">
        <v>302</v>
      </c>
      <c r="O443" s="321" t="s">
        <v>252</v>
      </c>
    </row>
    <row r="444" spans="1:15" s="321" customFormat="1" outlineLevel="1">
      <c r="A444" s="317"/>
      <c r="B444" s="317" t="str">
        <f t="shared" si="20"/>
        <v/>
      </c>
      <c r="C444" s="322" t="s">
        <v>368</v>
      </c>
      <c r="D444" s="317"/>
      <c r="E444" s="319"/>
      <c r="F444" s="5"/>
      <c r="G444" s="314"/>
      <c r="H444" s="320"/>
      <c r="I444" s="313"/>
      <c r="J444" s="40"/>
      <c r="K444" s="314"/>
      <c r="L444" s="314"/>
      <c r="M444" s="314"/>
      <c r="N444" s="315"/>
      <c r="O444" s="321" t="s">
        <v>252</v>
      </c>
    </row>
    <row r="445" spans="1:15" s="321" customFormat="1" ht="12.1" customHeight="1" outlineLevel="1">
      <c r="A445" s="313"/>
      <c r="B445" s="317" t="str">
        <f t="shared" si="20"/>
        <v/>
      </c>
      <c r="F445" s="40"/>
      <c r="G445" s="314"/>
      <c r="H445" s="320"/>
      <c r="I445" s="313"/>
      <c r="J445" s="40"/>
      <c r="K445" s="314"/>
      <c r="L445" s="314">
        <f t="shared" ref="L445:L451" si="25">ROUND(IF(K445&gt;G445,K445-G445,0),0)</f>
        <v>0</v>
      </c>
      <c r="M445" s="314">
        <f t="shared" ref="M445:M451" si="26">ROUND(IF(K445&lt;G445,G445-K445,0),0)</f>
        <v>0</v>
      </c>
      <c r="N445" s="315"/>
      <c r="O445" s="321" t="s">
        <v>252</v>
      </c>
    </row>
    <row r="446" spans="1:15" s="321" customFormat="1" ht="89.35" customHeight="1" outlineLevel="1">
      <c r="A446" s="317">
        <v>338</v>
      </c>
      <c r="B446" s="317" t="str">
        <f t="shared" si="20"/>
        <v>IVF338</v>
      </c>
      <c r="C446" s="318" t="s">
        <v>132</v>
      </c>
      <c r="D446" s="317">
        <v>1</v>
      </c>
      <c r="E446" s="319" t="s">
        <v>17</v>
      </c>
      <c r="F446" s="5">
        <v>124000</v>
      </c>
      <c r="G446" s="314">
        <f t="shared" si="23"/>
        <v>124000</v>
      </c>
      <c r="H446" s="320">
        <f>D446</f>
        <v>1</v>
      </c>
      <c r="I446" s="313" t="s">
        <v>17</v>
      </c>
      <c r="J446" s="40">
        <f>F446</f>
        <v>124000</v>
      </c>
      <c r="K446" s="314">
        <f t="shared" si="24"/>
        <v>124000</v>
      </c>
      <c r="L446" s="314">
        <f t="shared" si="25"/>
        <v>0</v>
      </c>
      <c r="M446" s="314">
        <f t="shared" si="26"/>
        <v>0</v>
      </c>
      <c r="N446" s="315" t="s">
        <v>302</v>
      </c>
      <c r="O446" s="321" t="s">
        <v>252</v>
      </c>
    </row>
    <row r="447" spans="1:15" s="321" customFormat="1" outlineLevel="1">
      <c r="A447" s="317"/>
      <c r="B447" s="317" t="str">
        <f t="shared" si="20"/>
        <v/>
      </c>
      <c r="C447" s="322" t="s">
        <v>371</v>
      </c>
      <c r="D447" s="317"/>
      <c r="E447" s="319"/>
      <c r="F447" s="5"/>
      <c r="G447" s="314"/>
      <c r="H447" s="320"/>
      <c r="I447" s="313"/>
      <c r="J447" s="40"/>
      <c r="K447" s="314"/>
      <c r="L447" s="314"/>
      <c r="M447" s="314"/>
      <c r="N447" s="315"/>
      <c r="O447" s="321" t="s">
        <v>252</v>
      </c>
    </row>
    <row r="448" spans="1:15" s="321" customFormat="1" ht="12.1" customHeight="1" outlineLevel="1">
      <c r="A448" s="313"/>
      <c r="B448" s="317" t="str">
        <f t="shared" si="20"/>
        <v/>
      </c>
      <c r="F448" s="40"/>
      <c r="G448" s="314"/>
      <c r="H448" s="320"/>
      <c r="I448" s="313"/>
      <c r="J448" s="40"/>
      <c r="K448" s="314"/>
      <c r="L448" s="314">
        <f t="shared" si="25"/>
        <v>0</v>
      </c>
      <c r="M448" s="314">
        <f t="shared" si="26"/>
        <v>0</v>
      </c>
      <c r="N448" s="315"/>
      <c r="O448" s="321" t="s">
        <v>252</v>
      </c>
    </row>
    <row r="449" spans="1:15" s="321" customFormat="1" ht="63" customHeight="1" outlineLevel="1">
      <c r="A449" s="317">
        <v>340</v>
      </c>
      <c r="B449" s="317" t="str">
        <f t="shared" si="20"/>
        <v>IVF340</v>
      </c>
      <c r="C449" s="318" t="s">
        <v>133</v>
      </c>
      <c r="D449" s="317">
        <v>1</v>
      </c>
      <c r="E449" s="319" t="s">
        <v>17</v>
      </c>
      <c r="F449" s="5">
        <v>182000</v>
      </c>
      <c r="G449" s="314">
        <f t="shared" si="23"/>
        <v>182000</v>
      </c>
      <c r="H449" s="320">
        <f>D449</f>
        <v>1</v>
      </c>
      <c r="I449" s="313" t="s">
        <v>17</v>
      </c>
      <c r="J449" s="40">
        <f>F449</f>
        <v>182000</v>
      </c>
      <c r="K449" s="314">
        <f t="shared" si="24"/>
        <v>182000</v>
      </c>
      <c r="L449" s="314">
        <f t="shared" si="25"/>
        <v>0</v>
      </c>
      <c r="M449" s="314">
        <f t="shared" si="26"/>
        <v>0</v>
      </c>
      <c r="N449" s="315" t="s">
        <v>302</v>
      </c>
      <c r="O449" s="321" t="s">
        <v>252</v>
      </c>
    </row>
    <row r="450" spans="1:15" s="321" customFormat="1" outlineLevel="1">
      <c r="A450" s="317"/>
      <c r="B450" s="317" t="str">
        <f t="shared" si="20"/>
        <v/>
      </c>
      <c r="C450" s="322" t="s">
        <v>371</v>
      </c>
      <c r="D450" s="317"/>
      <c r="E450" s="319"/>
      <c r="F450" s="5"/>
      <c r="G450" s="314"/>
      <c r="H450" s="320"/>
      <c r="I450" s="313"/>
      <c r="J450" s="40"/>
      <c r="K450" s="314"/>
      <c r="L450" s="314"/>
      <c r="M450" s="314"/>
      <c r="N450" s="315"/>
      <c r="O450" s="321" t="s">
        <v>252</v>
      </c>
    </row>
    <row r="451" spans="1:15" s="321" customFormat="1" ht="12.1" customHeight="1" outlineLevel="1">
      <c r="A451" s="313"/>
      <c r="B451" s="317" t="str">
        <f t="shared" si="20"/>
        <v/>
      </c>
      <c r="F451" s="40"/>
      <c r="G451" s="314"/>
      <c r="H451" s="320"/>
      <c r="I451" s="313"/>
      <c r="J451" s="40"/>
      <c r="K451" s="314"/>
      <c r="L451" s="314">
        <f t="shared" si="25"/>
        <v>0</v>
      </c>
      <c r="M451" s="314">
        <f t="shared" si="26"/>
        <v>0</v>
      </c>
      <c r="N451" s="315"/>
      <c r="O451" s="321" t="s">
        <v>252</v>
      </c>
    </row>
    <row r="452" spans="1:15" s="321" customFormat="1" ht="19.899999999999999" customHeight="1">
      <c r="A452" s="313"/>
      <c r="B452" s="317" t="str">
        <f t="shared" si="20"/>
        <v/>
      </c>
      <c r="F452" s="40"/>
      <c r="G452" s="329">
        <f>ROUND(SUM(G443:G451),0)</f>
        <v>689000</v>
      </c>
      <c r="H452" s="320"/>
      <c r="I452" s="313"/>
      <c r="J452" s="42" t="s">
        <v>32</v>
      </c>
      <c r="K452" s="329">
        <f>ROUND(SUM(K443:K451),0)</f>
        <v>689000</v>
      </c>
      <c r="L452" s="329">
        <f>SUM(L443:L451)</f>
        <v>0</v>
      </c>
      <c r="M452" s="329">
        <f>SUM(M443:M451)</f>
        <v>0</v>
      </c>
      <c r="N452" s="315"/>
    </row>
    <row r="453" spans="1:15" s="321" customFormat="1" ht="19.899999999999999" customHeight="1">
      <c r="A453" s="313"/>
      <c r="B453" s="317" t="str">
        <f t="shared" si="20"/>
        <v/>
      </c>
      <c r="C453" s="331" t="s">
        <v>37</v>
      </c>
      <c r="F453" s="40"/>
      <c r="G453" s="312"/>
      <c r="H453" s="320"/>
      <c r="I453" s="313"/>
      <c r="J453" s="42"/>
      <c r="K453" s="329"/>
      <c r="L453" s="329"/>
      <c r="M453" s="329"/>
      <c r="N453" s="315"/>
    </row>
    <row r="454" spans="1:15" s="321" customFormat="1" ht="61.5" customHeight="1" outlineLevel="1">
      <c r="A454" s="317">
        <v>341</v>
      </c>
      <c r="B454" s="317" t="str">
        <f t="shared" si="20"/>
        <v>IVF341</v>
      </c>
      <c r="C454" s="318" t="s">
        <v>457</v>
      </c>
      <c r="D454" s="317">
        <v>1</v>
      </c>
      <c r="E454" s="319" t="s">
        <v>17</v>
      </c>
      <c r="F454" s="5">
        <v>138000</v>
      </c>
      <c r="G454" s="314">
        <f>ROUND(D454*F454,0)</f>
        <v>138000</v>
      </c>
      <c r="H454" s="320">
        <v>1</v>
      </c>
      <c r="I454" s="313" t="s">
        <v>17</v>
      </c>
      <c r="J454" s="40">
        <f>F454</f>
        <v>138000</v>
      </c>
      <c r="K454" s="314">
        <f>ROUND(H454*J454,0)</f>
        <v>138000</v>
      </c>
      <c r="L454" s="314">
        <f>ROUND(IF(K454&gt;G454,K454-G454,0),0)</f>
        <v>0</v>
      </c>
      <c r="M454" s="314">
        <f>ROUND(IF(K454&lt;G454,G454-K454,0),0)</f>
        <v>0</v>
      </c>
      <c r="N454" s="315" t="s">
        <v>302</v>
      </c>
      <c r="O454" s="321" t="s">
        <v>253</v>
      </c>
    </row>
    <row r="455" spans="1:15" s="321" customFormat="1" outlineLevel="1">
      <c r="A455" s="317"/>
      <c r="B455" s="317" t="str">
        <f t="shared" si="20"/>
        <v/>
      </c>
      <c r="C455" s="322" t="s">
        <v>371</v>
      </c>
      <c r="D455" s="317"/>
      <c r="E455" s="319"/>
      <c r="F455" s="5"/>
      <c r="G455" s="314"/>
      <c r="H455" s="320"/>
      <c r="I455" s="313"/>
      <c r="J455" s="40"/>
      <c r="K455" s="314"/>
      <c r="L455" s="314"/>
      <c r="M455" s="314"/>
      <c r="N455" s="315"/>
      <c r="O455" s="321" t="s">
        <v>253</v>
      </c>
    </row>
    <row r="456" spans="1:15" s="321" customFormat="1" ht="12.1" customHeight="1" outlineLevel="1">
      <c r="A456" s="313"/>
      <c r="B456" s="317" t="str">
        <f t="shared" si="20"/>
        <v/>
      </c>
      <c r="F456" s="40"/>
      <c r="G456" s="314"/>
      <c r="H456" s="320"/>
      <c r="I456" s="313"/>
      <c r="J456" s="40"/>
      <c r="K456" s="314"/>
      <c r="L456" s="314">
        <f t="shared" ref="L456:L469" si="27">ROUND(IF(K456&gt;G456,K456-G456,0),0)</f>
        <v>0</v>
      </c>
      <c r="M456" s="314">
        <f t="shared" ref="M456:M469" si="28">ROUND(IF(K456&lt;G456,G456-K456,0),0)</f>
        <v>0</v>
      </c>
      <c r="N456" s="315"/>
      <c r="O456" s="321" t="s">
        <v>253</v>
      </c>
    </row>
    <row r="457" spans="1:15" s="321" customFormat="1" ht="107.35" customHeight="1" outlineLevel="1">
      <c r="A457" s="317">
        <v>339</v>
      </c>
      <c r="B457" s="317" t="str">
        <f t="shared" si="20"/>
        <v>IVF339</v>
      </c>
      <c r="C457" s="318" t="s">
        <v>134</v>
      </c>
      <c r="D457" s="317">
        <v>1</v>
      </c>
      <c r="E457" s="319" t="s">
        <v>17</v>
      </c>
      <c r="F457" s="5">
        <v>510000</v>
      </c>
      <c r="G457" s="314">
        <f>ROUND(D457*F457,0)</f>
        <v>510000</v>
      </c>
      <c r="H457" s="320">
        <v>1</v>
      </c>
      <c r="I457" s="313" t="s">
        <v>17</v>
      </c>
      <c r="J457" s="40">
        <f>F457</f>
        <v>510000</v>
      </c>
      <c r="K457" s="314">
        <f>ROUND(H457*J457,0)</f>
        <v>510000</v>
      </c>
      <c r="L457" s="314">
        <f t="shared" si="27"/>
        <v>0</v>
      </c>
      <c r="M457" s="314">
        <f t="shared" si="28"/>
        <v>0</v>
      </c>
      <c r="N457" s="315" t="s">
        <v>302</v>
      </c>
      <c r="O457" s="321" t="s">
        <v>253</v>
      </c>
    </row>
    <row r="458" spans="1:15" s="321" customFormat="1" outlineLevel="1">
      <c r="A458" s="317"/>
      <c r="B458" s="317" t="str">
        <f t="shared" si="20"/>
        <v/>
      </c>
      <c r="C458" s="322" t="s">
        <v>371</v>
      </c>
      <c r="D458" s="317"/>
      <c r="E458" s="319"/>
      <c r="F458" s="5"/>
      <c r="G458" s="314"/>
      <c r="H458" s="320"/>
      <c r="I458" s="313"/>
      <c r="J458" s="40"/>
      <c r="K458" s="314"/>
      <c r="L458" s="314"/>
      <c r="M458" s="314"/>
      <c r="N458" s="315"/>
      <c r="O458" s="321" t="s">
        <v>253</v>
      </c>
    </row>
    <row r="459" spans="1:15" s="321" customFormat="1" ht="12.1" customHeight="1" outlineLevel="1">
      <c r="A459" s="317"/>
      <c r="B459" s="317" t="str">
        <f t="shared" ref="B459:B522" si="29">IF(ISBLANK(A459), "","IVF"&amp;A459)</f>
        <v/>
      </c>
      <c r="C459" s="318"/>
      <c r="D459" s="317"/>
      <c r="E459" s="319"/>
      <c r="F459" s="5"/>
      <c r="G459" s="314"/>
      <c r="H459" s="320"/>
      <c r="I459" s="313"/>
      <c r="J459" s="40"/>
      <c r="K459" s="314"/>
      <c r="L459" s="314">
        <f t="shared" si="27"/>
        <v>0</v>
      </c>
      <c r="M459" s="314">
        <f t="shared" si="28"/>
        <v>0</v>
      </c>
      <c r="N459" s="315"/>
      <c r="O459" s="321" t="s">
        <v>253</v>
      </c>
    </row>
    <row r="460" spans="1:15" s="321" customFormat="1" ht="61.5" customHeight="1" outlineLevel="1">
      <c r="A460" s="317">
        <v>342</v>
      </c>
      <c r="B460" s="317" t="str">
        <f t="shared" si="29"/>
        <v>IVF342</v>
      </c>
      <c r="C460" s="318" t="s">
        <v>135</v>
      </c>
      <c r="D460" s="317">
        <v>5</v>
      </c>
      <c r="E460" s="319" t="s">
        <v>9</v>
      </c>
      <c r="F460" s="5">
        <v>11225</v>
      </c>
      <c r="G460" s="314">
        <f>ROUND(D460*F460,0)</f>
        <v>56125</v>
      </c>
      <c r="H460" s="320">
        <v>5</v>
      </c>
      <c r="I460" s="313" t="s">
        <v>9</v>
      </c>
      <c r="J460" s="40">
        <f>F460</f>
        <v>11225</v>
      </c>
      <c r="K460" s="314">
        <f>ROUND(H460*J460,0)</f>
        <v>56125</v>
      </c>
      <c r="L460" s="314">
        <f t="shared" si="27"/>
        <v>0</v>
      </c>
      <c r="M460" s="314">
        <f t="shared" si="28"/>
        <v>0</v>
      </c>
      <c r="N460" s="315" t="s">
        <v>302</v>
      </c>
      <c r="O460" s="321" t="s">
        <v>253</v>
      </c>
    </row>
    <row r="461" spans="1:15" s="321" customFormat="1" outlineLevel="1">
      <c r="A461" s="317"/>
      <c r="B461" s="317" t="str">
        <f t="shared" si="29"/>
        <v/>
      </c>
      <c r="C461" s="322" t="s">
        <v>371</v>
      </c>
      <c r="D461" s="317"/>
      <c r="E461" s="319"/>
      <c r="F461" s="5"/>
      <c r="G461" s="314"/>
      <c r="H461" s="320"/>
      <c r="I461" s="313"/>
      <c r="J461" s="40"/>
      <c r="K461" s="314"/>
      <c r="L461" s="314"/>
      <c r="M461" s="314"/>
      <c r="N461" s="315"/>
      <c r="O461" s="321" t="s">
        <v>253</v>
      </c>
    </row>
    <row r="462" spans="1:15" s="321" customFormat="1" ht="12.1" customHeight="1" outlineLevel="1">
      <c r="A462" s="313"/>
      <c r="B462" s="317" t="str">
        <f t="shared" si="29"/>
        <v/>
      </c>
      <c r="F462" s="40"/>
      <c r="G462" s="314"/>
      <c r="H462" s="320"/>
      <c r="I462" s="313"/>
      <c r="J462" s="40"/>
      <c r="K462" s="314"/>
      <c r="L462" s="314">
        <f t="shared" si="27"/>
        <v>0</v>
      </c>
      <c r="M462" s="314">
        <f t="shared" si="28"/>
        <v>0</v>
      </c>
      <c r="N462" s="315"/>
      <c r="O462" s="321" t="s">
        <v>253</v>
      </c>
    </row>
    <row r="463" spans="1:15" s="321" customFormat="1" ht="62" customHeight="1" outlineLevel="1">
      <c r="A463" s="317">
        <v>343</v>
      </c>
      <c r="B463" s="317" t="str">
        <f t="shared" si="29"/>
        <v>IVF343</v>
      </c>
      <c r="C463" s="318" t="s">
        <v>136</v>
      </c>
      <c r="D463" s="317">
        <v>5</v>
      </c>
      <c r="E463" s="319" t="s">
        <v>9</v>
      </c>
      <c r="F463" s="5">
        <v>7686</v>
      </c>
      <c r="G463" s="314">
        <f>ROUND(D463*F463,0)</f>
        <v>38430</v>
      </c>
      <c r="H463" s="320">
        <v>5</v>
      </c>
      <c r="I463" s="313" t="s">
        <v>9</v>
      </c>
      <c r="J463" s="40">
        <f>F463</f>
        <v>7686</v>
      </c>
      <c r="K463" s="314">
        <f>ROUND(H463*J463,0)</f>
        <v>38430</v>
      </c>
      <c r="L463" s="314">
        <f t="shared" si="27"/>
        <v>0</v>
      </c>
      <c r="M463" s="314">
        <f t="shared" si="28"/>
        <v>0</v>
      </c>
      <c r="N463" s="315" t="s">
        <v>302</v>
      </c>
      <c r="O463" s="321" t="s">
        <v>253</v>
      </c>
    </row>
    <row r="464" spans="1:15" s="321" customFormat="1" outlineLevel="1">
      <c r="A464" s="317"/>
      <c r="B464" s="317" t="str">
        <f t="shared" si="29"/>
        <v/>
      </c>
      <c r="C464" s="322" t="s">
        <v>371</v>
      </c>
      <c r="D464" s="317"/>
      <c r="E464" s="319"/>
      <c r="F464" s="5"/>
      <c r="G464" s="314"/>
      <c r="H464" s="320"/>
      <c r="I464" s="313"/>
      <c r="J464" s="40"/>
      <c r="K464" s="314"/>
      <c r="L464" s="314"/>
      <c r="M464" s="314"/>
      <c r="N464" s="315"/>
      <c r="O464" s="321" t="s">
        <v>253</v>
      </c>
    </row>
    <row r="465" spans="1:15" s="321" customFormat="1" ht="12.1" customHeight="1" outlineLevel="1">
      <c r="A465" s="313"/>
      <c r="B465" s="317" t="str">
        <f t="shared" si="29"/>
        <v/>
      </c>
      <c r="F465" s="40"/>
      <c r="G465" s="314"/>
      <c r="H465" s="320"/>
      <c r="I465" s="313"/>
      <c r="J465" s="40"/>
      <c r="K465" s="314"/>
      <c r="L465" s="314">
        <f t="shared" si="27"/>
        <v>0</v>
      </c>
      <c r="M465" s="314">
        <f t="shared" si="28"/>
        <v>0</v>
      </c>
      <c r="N465" s="315"/>
      <c r="O465" s="321" t="s">
        <v>253</v>
      </c>
    </row>
    <row r="466" spans="1:15" s="321" customFormat="1" ht="63.7" customHeight="1" outlineLevel="1">
      <c r="A466" s="317">
        <v>344</v>
      </c>
      <c r="B466" s="317" t="str">
        <f t="shared" si="29"/>
        <v>IVF344</v>
      </c>
      <c r="C466" s="318" t="s">
        <v>137</v>
      </c>
      <c r="D466" s="317">
        <v>5</v>
      </c>
      <c r="E466" s="319" t="s">
        <v>9</v>
      </c>
      <c r="F466" s="5">
        <v>15065</v>
      </c>
      <c r="G466" s="314">
        <f>ROUND(D466*F466,0)</f>
        <v>75325</v>
      </c>
      <c r="H466" s="320">
        <v>5</v>
      </c>
      <c r="I466" s="313" t="s">
        <v>9</v>
      </c>
      <c r="J466" s="40">
        <f>F466</f>
        <v>15065</v>
      </c>
      <c r="K466" s="314">
        <f>ROUND(H466*J466,0)</f>
        <v>75325</v>
      </c>
      <c r="L466" s="314">
        <f t="shared" si="27"/>
        <v>0</v>
      </c>
      <c r="M466" s="314">
        <f t="shared" si="28"/>
        <v>0</v>
      </c>
      <c r="N466" s="315" t="s">
        <v>302</v>
      </c>
      <c r="O466" s="321" t="s">
        <v>253</v>
      </c>
    </row>
    <row r="467" spans="1:15" s="321" customFormat="1" outlineLevel="1">
      <c r="A467" s="317"/>
      <c r="B467" s="317" t="str">
        <f t="shared" si="29"/>
        <v/>
      </c>
      <c r="C467" s="322" t="s">
        <v>371</v>
      </c>
      <c r="D467" s="317"/>
      <c r="E467" s="319"/>
      <c r="F467" s="5"/>
      <c r="G467" s="314"/>
      <c r="H467" s="320"/>
      <c r="I467" s="313"/>
      <c r="J467" s="40"/>
      <c r="K467" s="314"/>
      <c r="L467" s="314"/>
      <c r="M467" s="314"/>
      <c r="N467" s="315"/>
      <c r="O467" s="321" t="s">
        <v>253</v>
      </c>
    </row>
    <row r="468" spans="1:15" s="321" customFormat="1" ht="12.1" customHeight="1" outlineLevel="1">
      <c r="A468" s="313"/>
      <c r="B468" s="317" t="str">
        <f t="shared" si="29"/>
        <v/>
      </c>
      <c r="F468" s="40"/>
      <c r="G468" s="314"/>
      <c r="H468" s="320"/>
      <c r="I468" s="313"/>
      <c r="J468" s="40"/>
      <c r="K468" s="314"/>
      <c r="L468" s="314">
        <f t="shared" si="27"/>
        <v>0</v>
      </c>
      <c r="M468" s="314">
        <f t="shared" si="28"/>
        <v>0</v>
      </c>
      <c r="N468" s="315"/>
      <c r="O468" s="321" t="s">
        <v>253</v>
      </c>
    </row>
    <row r="469" spans="1:15" s="321" customFormat="1" ht="65.25" customHeight="1" outlineLevel="1">
      <c r="A469" s="317">
        <v>345</v>
      </c>
      <c r="B469" s="317" t="str">
        <f t="shared" si="29"/>
        <v>IVF345</v>
      </c>
      <c r="C469" s="318" t="s">
        <v>138</v>
      </c>
      <c r="D469" s="317">
        <v>1</v>
      </c>
      <c r="E469" s="319" t="s">
        <v>17</v>
      </c>
      <c r="F469" s="5">
        <v>56000</v>
      </c>
      <c r="G469" s="314">
        <f>ROUND(D469*F469,0)</f>
        <v>56000</v>
      </c>
      <c r="H469" s="320">
        <v>1</v>
      </c>
      <c r="I469" s="313" t="s">
        <v>17</v>
      </c>
      <c r="J469" s="40">
        <f>F469</f>
        <v>56000</v>
      </c>
      <c r="K469" s="314">
        <f>ROUND(H469*J469,0)</f>
        <v>56000</v>
      </c>
      <c r="L469" s="314">
        <f t="shared" si="27"/>
        <v>0</v>
      </c>
      <c r="M469" s="314">
        <f t="shared" si="28"/>
        <v>0</v>
      </c>
      <c r="N469" s="315" t="s">
        <v>302</v>
      </c>
      <c r="O469" s="321" t="s">
        <v>253</v>
      </c>
    </row>
    <row r="470" spans="1:15" s="321" customFormat="1" outlineLevel="1">
      <c r="A470" s="317"/>
      <c r="B470" s="317" t="str">
        <f t="shared" si="29"/>
        <v/>
      </c>
      <c r="C470" s="322" t="s">
        <v>369</v>
      </c>
      <c r="D470" s="317"/>
      <c r="E470" s="319"/>
      <c r="F470" s="5"/>
      <c r="G470" s="314"/>
      <c r="H470" s="320"/>
      <c r="I470" s="313"/>
      <c r="J470" s="40"/>
      <c r="K470" s="314"/>
      <c r="L470" s="314"/>
      <c r="M470" s="314"/>
      <c r="N470" s="315"/>
      <c r="O470" s="321" t="s">
        <v>253</v>
      </c>
    </row>
    <row r="471" spans="1:15" s="321" customFormat="1" ht="12.1" customHeight="1" outlineLevel="1">
      <c r="A471" s="313"/>
      <c r="B471" s="317" t="str">
        <f t="shared" si="29"/>
        <v/>
      </c>
      <c r="F471" s="40"/>
      <c r="G471" s="314"/>
      <c r="H471" s="320"/>
      <c r="I471" s="313"/>
      <c r="J471" s="40"/>
      <c r="K471" s="314"/>
      <c r="L471" s="314"/>
      <c r="M471" s="314"/>
      <c r="N471" s="315"/>
      <c r="O471" s="321" t="s">
        <v>253</v>
      </c>
    </row>
    <row r="472" spans="1:15" s="321" customFormat="1" ht="19.899999999999999" customHeight="1">
      <c r="A472" s="313"/>
      <c r="B472" s="317" t="str">
        <f t="shared" si="29"/>
        <v/>
      </c>
      <c r="F472" s="40"/>
      <c r="G472" s="329">
        <f>ROUND(SUM(G454:G471),0)</f>
        <v>873880</v>
      </c>
      <c r="H472" s="320"/>
      <c r="I472" s="313"/>
      <c r="J472" s="42" t="s">
        <v>32</v>
      </c>
      <c r="K472" s="329">
        <f>ROUND(SUM(K454:K471),0)</f>
        <v>873880</v>
      </c>
      <c r="L472" s="329">
        <f>SUM(L454:L471)</f>
        <v>0</v>
      </c>
      <c r="M472" s="329">
        <f>SUM(M454:M471)</f>
        <v>0</v>
      </c>
      <c r="N472" s="315"/>
    </row>
    <row r="473" spans="1:15" s="321" customFormat="1" ht="19.899999999999999" customHeight="1">
      <c r="A473" s="313"/>
      <c r="B473" s="317" t="str">
        <f t="shared" si="29"/>
        <v/>
      </c>
      <c r="C473" s="331" t="s">
        <v>38</v>
      </c>
      <c r="F473" s="40"/>
      <c r="G473" s="312"/>
      <c r="H473" s="320"/>
      <c r="I473" s="313"/>
      <c r="J473" s="40"/>
      <c r="K473" s="312"/>
      <c r="L473" s="314"/>
      <c r="M473" s="314"/>
      <c r="N473" s="315"/>
    </row>
    <row r="474" spans="1:15" s="321" customFormat="1" ht="211.6" customHeight="1" outlineLevel="1">
      <c r="A474" s="317">
        <v>346</v>
      </c>
      <c r="B474" s="317" t="str">
        <f t="shared" si="29"/>
        <v>IVF346</v>
      </c>
      <c r="C474" s="318" t="s">
        <v>458</v>
      </c>
      <c r="D474" s="317">
        <v>1</v>
      </c>
      <c r="E474" s="319" t="s">
        <v>9</v>
      </c>
      <c r="F474" s="5">
        <v>48000</v>
      </c>
      <c r="G474" s="314">
        <f>ROUND(D474*F474,0)</f>
        <v>48000</v>
      </c>
      <c r="H474" s="320">
        <f>D474</f>
        <v>1</v>
      </c>
      <c r="I474" s="313" t="s">
        <v>9</v>
      </c>
      <c r="J474" s="40">
        <f>F474</f>
        <v>48000</v>
      </c>
      <c r="K474" s="314">
        <f>ROUND(H474*J474,0)</f>
        <v>48000</v>
      </c>
      <c r="L474" s="314">
        <f>ROUND(IF(K474&gt;G474,K474-G474,0),0)</f>
        <v>0</v>
      </c>
      <c r="M474" s="314">
        <f>ROUND(IF(K474&lt;G474,G474-K474,0),0)</f>
        <v>0</v>
      </c>
      <c r="N474" s="332" t="s">
        <v>600</v>
      </c>
      <c r="O474" s="321" t="s">
        <v>254</v>
      </c>
    </row>
    <row r="475" spans="1:15" s="321" customFormat="1" outlineLevel="1">
      <c r="A475" s="313"/>
      <c r="B475" s="317" t="str">
        <f t="shared" si="29"/>
        <v/>
      </c>
      <c r="C475" s="327" t="s">
        <v>30</v>
      </c>
      <c r="F475" s="40"/>
      <c r="G475" s="314"/>
      <c r="H475" s="320">
        <v>2</v>
      </c>
      <c r="I475" s="313" t="s">
        <v>9</v>
      </c>
      <c r="J475" s="40">
        <f>F474</f>
        <v>48000</v>
      </c>
      <c r="K475" s="314">
        <f>ROUND(H475*J475,0)</f>
        <v>96000</v>
      </c>
      <c r="L475" s="314">
        <f t="shared" ref="L475:L561" si="30">ROUND(IF(K475&gt;G475,K475-G475,0),0)</f>
        <v>96000</v>
      </c>
      <c r="M475" s="314">
        <f t="shared" ref="M475:M561" si="31">ROUND(IF(K475&lt;G475,G475-K475,0),0)</f>
        <v>0</v>
      </c>
      <c r="N475" s="332"/>
      <c r="O475" s="321" t="s">
        <v>254</v>
      </c>
    </row>
    <row r="476" spans="1:15" s="321" customFormat="1" outlineLevel="1">
      <c r="A476" s="313"/>
      <c r="B476" s="317" t="str">
        <f t="shared" si="29"/>
        <v/>
      </c>
      <c r="C476" s="323" t="s">
        <v>345</v>
      </c>
      <c r="F476" s="40"/>
      <c r="G476" s="314"/>
      <c r="H476" s="320"/>
      <c r="I476" s="313"/>
      <c r="J476" s="40"/>
      <c r="K476" s="314"/>
      <c r="L476" s="314"/>
      <c r="M476" s="314"/>
      <c r="N476" s="315"/>
      <c r="O476" s="321" t="s">
        <v>254</v>
      </c>
    </row>
    <row r="477" spans="1:15" s="321" customFormat="1" ht="12.1" customHeight="1" outlineLevel="1">
      <c r="A477" s="313"/>
      <c r="B477" s="317" t="str">
        <f t="shared" si="29"/>
        <v/>
      </c>
      <c r="C477" s="323"/>
      <c r="F477" s="40"/>
      <c r="G477" s="314"/>
      <c r="H477" s="320"/>
      <c r="I477" s="313"/>
      <c r="J477" s="40"/>
      <c r="K477" s="314"/>
      <c r="L477" s="314"/>
      <c r="M477" s="314"/>
      <c r="N477" s="315"/>
      <c r="O477" s="321" t="s">
        <v>254</v>
      </c>
    </row>
    <row r="478" spans="1:15" s="321" customFormat="1" ht="215.35" customHeight="1" outlineLevel="1">
      <c r="A478" s="317">
        <v>347</v>
      </c>
      <c r="B478" s="317" t="str">
        <f t="shared" si="29"/>
        <v>IVF347</v>
      </c>
      <c r="C478" s="318" t="s">
        <v>459</v>
      </c>
      <c r="D478" s="317">
        <v>1</v>
      </c>
      <c r="E478" s="319" t="s">
        <v>9</v>
      </c>
      <c r="F478" s="5">
        <v>40000</v>
      </c>
      <c r="G478" s="314">
        <f>ROUND(D478*F478,0)</f>
        <v>40000</v>
      </c>
      <c r="H478" s="320">
        <v>0</v>
      </c>
      <c r="I478" s="313" t="s">
        <v>9</v>
      </c>
      <c r="J478" s="40">
        <f>F478</f>
        <v>40000</v>
      </c>
      <c r="K478" s="314"/>
      <c r="L478" s="314">
        <f t="shared" si="30"/>
        <v>0</v>
      </c>
      <c r="M478" s="314">
        <f t="shared" si="31"/>
        <v>40000</v>
      </c>
      <c r="N478" s="315" t="s">
        <v>409</v>
      </c>
      <c r="O478" s="321" t="s">
        <v>254</v>
      </c>
    </row>
    <row r="479" spans="1:15" s="321" customFormat="1" ht="12.1" customHeight="1" outlineLevel="1">
      <c r="A479" s="313"/>
      <c r="B479" s="317" t="str">
        <f t="shared" si="29"/>
        <v/>
      </c>
      <c r="F479" s="40"/>
      <c r="G479" s="314"/>
      <c r="H479" s="320"/>
      <c r="I479" s="313"/>
      <c r="J479" s="40"/>
      <c r="K479" s="314"/>
      <c r="L479" s="314">
        <f t="shared" si="30"/>
        <v>0</v>
      </c>
      <c r="M479" s="314">
        <f t="shared" si="31"/>
        <v>0</v>
      </c>
      <c r="N479" s="315"/>
      <c r="O479" s="321" t="s">
        <v>254</v>
      </c>
    </row>
    <row r="480" spans="1:15" s="321" customFormat="1" ht="409.6" customHeight="1" outlineLevel="1">
      <c r="A480" s="317">
        <v>348</v>
      </c>
      <c r="B480" s="317" t="str">
        <f t="shared" si="29"/>
        <v>IVF348</v>
      </c>
      <c r="C480" s="318" t="s">
        <v>24</v>
      </c>
      <c r="D480" s="317">
        <v>1</v>
      </c>
      <c r="E480" s="319" t="s">
        <v>9</v>
      </c>
      <c r="F480" s="5">
        <v>590000</v>
      </c>
      <c r="G480" s="314">
        <f>ROUND(D480*F480,0)</f>
        <v>590000</v>
      </c>
      <c r="H480" s="320">
        <v>0</v>
      </c>
      <c r="I480" s="313" t="s">
        <v>9</v>
      </c>
      <c r="J480" s="40">
        <f>F480</f>
        <v>590000</v>
      </c>
      <c r="K480" s="314"/>
      <c r="L480" s="314">
        <f t="shared" si="30"/>
        <v>0</v>
      </c>
      <c r="M480" s="314">
        <f t="shared" si="31"/>
        <v>590000</v>
      </c>
      <c r="N480" s="315" t="s">
        <v>412</v>
      </c>
      <c r="O480" s="321" t="s">
        <v>254</v>
      </c>
    </row>
    <row r="481" spans="1:15" s="321" customFormat="1" ht="12.1" customHeight="1" outlineLevel="1">
      <c r="A481" s="313"/>
      <c r="B481" s="317" t="str">
        <f t="shared" si="29"/>
        <v/>
      </c>
      <c r="F481" s="40"/>
      <c r="G481" s="314"/>
      <c r="H481" s="320"/>
      <c r="I481" s="313"/>
      <c r="J481" s="40"/>
      <c r="K481" s="314"/>
      <c r="L481" s="314">
        <f t="shared" si="30"/>
        <v>0</v>
      </c>
      <c r="M481" s="314">
        <f t="shared" si="31"/>
        <v>0</v>
      </c>
      <c r="N481" s="315"/>
      <c r="O481" s="321" t="s">
        <v>254</v>
      </c>
    </row>
    <row r="482" spans="1:15" s="321" customFormat="1" ht="176.95" customHeight="1" outlineLevel="1">
      <c r="A482" s="317">
        <v>349</v>
      </c>
      <c r="B482" s="317" t="str">
        <f t="shared" si="29"/>
        <v>IVF349</v>
      </c>
      <c r="C482" s="318" t="s">
        <v>139</v>
      </c>
      <c r="D482" s="317">
        <v>6</v>
      </c>
      <c r="E482" s="319" t="s">
        <v>9</v>
      </c>
      <c r="F482" s="5">
        <v>42000</v>
      </c>
      <c r="G482" s="314">
        <f>ROUND(D482*F482,0)</f>
        <v>252000</v>
      </c>
      <c r="H482" s="320">
        <f>D482</f>
        <v>6</v>
      </c>
      <c r="I482" s="313" t="s">
        <v>9</v>
      </c>
      <c r="J482" s="40">
        <f>F482</f>
        <v>42000</v>
      </c>
      <c r="K482" s="314">
        <f>ROUND(H482*J482,0)</f>
        <v>252000</v>
      </c>
      <c r="L482" s="314">
        <f t="shared" si="30"/>
        <v>0</v>
      </c>
      <c r="M482" s="314">
        <f t="shared" si="31"/>
        <v>0</v>
      </c>
      <c r="N482" s="315" t="s">
        <v>302</v>
      </c>
      <c r="O482" s="321" t="s">
        <v>254</v>
      </c>
    </row>
    <row r="483" spans="1:15" s="321" customFormat="1" outlineLevel="1">
      <c r="A483" s="317"/>
      <c r="B483" s="317" t="str">
        <f t="shared" si="29"/>
        <v/>
      </c>
      <c r="C483" s="322" t="s">
        <v>366</v>
      </c>
      <c r="D483" s="317"/>
      <c r="E483" s="319"/>
      <c r="F483" s="5"/>
      <c r="G483" s="314"/>
      <c r="H483" s="320"/>
      <c r="I483" s="313"/>
      <c r="J483" s="40"/>
      <c r="K483" s="314"/>
      <c r="L483" s="314"/>
      <c r="M483" s="314"/>
      <c r="N483" s="315"/>
      <c r="O483" s="321" t="s">
        <v>254</v>
      </c>
    </row>
    <row r="484" spans="1:15" s="321" customFormat="1" ht="12.1" customHeight="1" outlineLevel="1">
      <c r="A484" s="313"/>
      <c r="B484" s="317" t="str">
        <f t="shared" si="29"/>
        <v/>
      </c>
      <c r="F484" s="40"/>
      <c r="G484" s="314"/>
      <c r="H484" s="320"/>
      <c r="I484" s="313"/>
      <c r="J484" s="40"/>
      <c r="K484" s="314"/>
      <c r="L484" s="314">
        <f t="shared" si="30"/>
        <v>0</v>
      </c>
      <c r="M484" s="314">
        <f t="shared" si="31"/>
        <v>0</v>
      </c>
      <c r="N484" s="315"/>
      <c r="O484" s="321" t="s">
        <v>254</v>
      </c>
    </row>
    <row r="485" spans="1:15" s="321" customFormat="1" ht="271.2" customHeight="1" outlineLevel="1">
      <c r="A485" s="317">
        <v>350</v>
      </c>
      <c r="B485" s="317" t="str">
        <f t="shared" si="29"/>
        <v>IVF350</v>
      </c>
      <c r="C485" s="318" t="s">
        <v>140</v>
      </c>
      <c r="D485" s="317">
        <v>1</v>
      </c>
      <c r="E485" s="319" t="s">
        <v>9</v>
      </c>
      <c r="F485" s="5">
        <v>182000</v>
      </c>
      <c r="G485" s="314">
        <f>ROUND(D485*F485,0)</f>
        <v>182000</v>
      </c>
      <c r="H485" s="320">
        <v>0</v>
      </c>
      <c r="I485" s="313" t="s">
        <v>9</v>
      </c>
      <c r="J485" s="40">
        <f>F485</f>
        <v>182000</v>
      </c>
      <c r="K485" s="314"/>
      <c r="L485" s="314">
        <f t="shared" si="30"/>
        <v>0</v>
      </c>
      <c r="M485" s="314">
        <f t="shared" si="31"/>
        <v>182000</v>
      </c>
      <c r="N485" s="315" t="s">
        <v>411</v>
      </c>
      <c r="O485" s="321" t="s">
        <v>254</v>
      </c>
    </row>
    <row r="486" spans="1:15" s="321" customFormat="1" ht="12.1" customHeight="1" outlineLevel="1">
      <c r="A486" s="313"/>
      <c r="B486" s="317" t="str">
        <f t="shared" si="29"/>
        <v/>
      </c>
      <c r="C486" s="323"/>
      <c r="F486" s="40"/>
      <c r="G486" s="314"/>
      <c r="H486" s="320"/>
      <c r="I486" s="313"/>
      <c r="J486" s="40"/>
      <c r="K486" s="314"/>
      <c r="L486" s="314">
        <f t="shared" si="30"/>
        <v>0</v>
      </c>
      <c r="M486" s="314">
        <f t="shared" si="31"/>
        <v>0</v>
      </c>
      <c r="N486" s="315"/>
      <c r="O486" s="321" t="s">
        <v>254</v>
      </c>
    </row>
    <row r="487" spans="1:15" s="321" customFormat="1" ht="240.8" customHeight="1" outlineLevel="1">
      <c r="A487" s="317">
        <v>351</v>
      </c>
      <c r="B487" s="317" t="str">
        <f t="shared" si="29"/>
        <v>IVF351</v>
      </c>
      <c r="C487" s="318" t="s">
        <v>141</v>
      </c>
      <c r="D487" s="317">
        <v>1</v>
      </c>
      <c r="E487" s="319" t="s">
        <v>9</v>
      </c>
      <c r="F487" s="5">
        <v>205000</v>
      </c>
      <c r="G487" s="314">
        <f>ROUND(D487*F487,0)</f>
        <v>205000</v>
      </c>
      <c r="H487" s="320">
        <f>D487</f>
        <v>1</v>
      </c>
      <c r="I487" s="313" t="s">
        <v>9</v>
      </c>
      <c r="J487" s="40">
        <f>F487</f>
        <v>205000</v>
      </c>
      <c r="K487" s="314">
        <f>ROUND(H487*J487,0)</f>
        <v>205000</v>
      </c>
      <c r="L487" s="314">
        <f t="shared" si="30"/>
        <v>0</v>
      </c>
      <c r="M487" s="314">
        <f t="shared" si="31"/>
        <v>0</v>
      </c>
      <c r="N487" s="315" t="s">
        <v>302</v>
      </c>
      <c r="O487" s="321" t="s">
        <v>254</v>
      </c>
    </row>
    <row r="488" spans="1:15" s="321" customFormat="1" outlineLevel="1">
      <c r="A488" s="317"/>
      <c r="B488" s="317" t="str">
        <f t="shared" si="29"/>
        <v/>
      </c>
      <c r="C488" s="322" t="s">
        <v>367</v>
      </c>
      <c r="D488" s="317"/>
      <c r="E488" s="319"/>
      <c r="F488" s="5"/>
      <c r="G488" s="314"/>
      <c r="H488" s="320"/>
      <c r="I488" s="313"/>
      <c r="J488" s="40"/>
      <c r="K488" s="314"/>
      <c r="L488" s="314"/>
      <c r="M488" s="314"/>
      <c r="N488" s="315"/>
      <c r="O488" s="321" t="s">
        <v>254</v>
      </c>
    </row>
    <row r="489" spans="1:15" s="321" customFormat="1" ht="12.1" customHeight="1" outlineLevel="1">
      <c r="A489" s="313"/>
      <c r="B489" s="317" t="str">
        <f t="shared" si="29"/>
        <v/>
      </c>
      <c r="F489" s="40"/>
      <c r="G489" s="314"/>
      <c r="H489" s="320"/>
      <c r="I489" s="313"/>
      <c r="J489" s="40"/>
      <c r="K489" s="314"/>
      <c r="L489" s="314">
        <f t="shared" si="30"/>
        <v>0</v>
      </c>
      <c r="M489" s="314">
        <f t="shared" si="31"/>
        <v>0</v>
      </c>
      <c r="N489" s="315"/>
      <c r="O489" s="321" t="s">
        <v>254</v>
      </c>
    </row>
    <row r="490" spans="1:15" s="321" customFormat="1" ht="216.7" customHeight="1" outlineLevel="1">
      <c r="A490" s="317">
        <v>352</v>
      </c>
      <c r="B490" s="317" t="str">
        <f t="shared" si="29"/>
        <v>IVF352</v>
      </c>
      <c r="C490" s="318" t="s">
        <v>460</v>
      </c>
      <c r="D490" s="317">
        <v>20</v>
      </c>
      <c r="E490" s="319" t="s">
        <v>14</v>
      </c>
      <c r="F490" s="5">
        <v>1020</v>
      </c>
      <c r="G490" s="314">
        <f>ROUND(D490*F490,0)</f>
        <v>20400</v>
      </c>
      <c r="H490" s="320">
        <v>16</v>
      </c>
      <c r="I490" s="313" t="s">
        <v>14</v>
      </c>
      <c r="J490" s="40">
        <f>F490</f>
        <v>1020</v>
      </c>
      <c r="K490" s="314">
        <f>ROUND(H490*J490,0)</f>
        <v>16320</v>
      </c>
      <c r="L490" s="314">
        <f t="shared" si="30"/>
        <v>0</v>
      </c>
      <c r="M490" s="314">
        <f t="shared" si="31"/>
        <v>4080</v>
      </c>
      <c r="N490" s="315" t="s">
        <v>410</v>
      </c>
      <c r="O490" s="321" t="s">
        <v>254</v>
      </c>
    </row>
    <row r="491" spans="1:15" s="321" customFormat="1" outlineLevel="1">
      <c r="A491" s="317"/>
      <c r="B491" s="317" t="str">
        <f t="shared" si="29"/>
        <v/>
      </c>
      <c r="C491" s="342" t="s">
        <v>367</v>
      </c>
      <c r="D491" s="317"/>
      <c r="E491" s="319"/>
      <c r="F491" s="5"/>
      <c r="G491" s="314"/>
      <c r="H491" s="320"/>
      <c r="I491" s="313"/>
      <c r="J491" s="40"/>
      <c r="K491" s="314"/>
      <c r="L491" s="314"/>
      <c r="M491" s="314"/>
      <c r="N491" s="315"/>
      <c r="O491" s="321" t="s">
        <v>254</v>
      </c>
    </row>
    <row r="492" spans="1:15" s="321" customFormat="1" ht="12.1" customHeight="1" outlineLevel="1">
      <c r="A492" s="313"/>
      <c r="B492" s="317" t="str">
        <f t="shared" si="29"/>
        <v/>
      </c>
      <c r="F492" s="40"/>
      <c r="G492" s="314"/>
      <c r="H492" s="320"/>
      <c r="I492" s="313"/>
      <c r="J492" s="40"/>
      <c r="K492" s="314"/>
      <c r="L492" s="314">
        <f t="shared" si="30"/>
        <v>0</v>
      </c>
      <c r="M492" s="314">
        <f t="shared" si="31"/>
        <v>0</v>
      </c>
      <c r="N492" s="315"/>
      <c r="O492" s="321" t="s">
        <v>254</v>
      </c>
    </row>
    <row r="493" spans="1:15" s="321" customFormat="1" ht="216" customHeight="1" outlineLevel="1">
      <c r="A493" s="317">
        <v>353</v>
      </c>
      <c r="B493" s="317" t="str">
        <f t="shared" si="29"/>
        <v>IVF353</v>
      </c>
      <c r="C493" s="318" t="s">
        <v>612</v>
      </c>
      <c r="D493" s="317">
        <v>20</v>
      </c>
      <c r="E493" s="319" t="s">
        <v>14</v>
      </c>
      <c r="F493" s="5">
        <v>1190</v>
      </c>
      <c r="G493" s="314">
        <f>ROUND(D493*F493,0)</f>
        <v>23800</v>
      </c>
      <c r="H493" s="320">
        <v>16</v>
      </c>
      <c r="I493" s="313" t="s">
        <v>14</v>
      </c>
      <c r="J493" s="40">
        <f>F493</f>
        <v>1190</v>
      </c>
      <c r="K493" s="314">
        <f>ROUND(H493*J493,0)</f>
        <v>19040</v>
      </c>
      <c r="L493" s="314">
        <f t="shared" si="30"/>
        <v>0</v>
      </c>
      <c r="M493" s="314">
        <f t="shared" si="31"/>
        <v>4760</v>
      </c>
      <c r="N493" s="315" t="s">
        <v>410</v>
      </c>
      <c r="O493" s="321" t="s">
        <v>254</v>
      </c>
    </row>
    <row r="494" spans="1:15" s="321" customFormat="1" outlineLevel="1">
      <c r="A494" s="317"/>
      <c r="B494" s="317" t="str">
        <f t="shared" si="29"/>
        <v/>
      </c>
      <c r="C494" s="342" t="s">
        <v>368</v>
      </c>
      <c r="D494" s="317"/>
      <c r="E494" s="319"/>
      <c r="F494" s="5"/>
      <c r="G494" s="314"/>
      <c r="H494" s="320"/>
      <c r="I494" s="313"/>
      <c r="J494" s="40"/>
      <c r="K494" s="314"/>
      <c r="L494" s="314"/>
      <c r="M494" s="314"/>
      <c r="N494" s="315"/>
      <c r="O494" s="321" t="s">
        <v>254</v>
      </c>
    </row>
    <row r="495" spans="1:15" s="321" customFormat="1" ht="12.1" customHeight="1" outlineLevel="1">
      <c r="A495" s="313"/>
      <c r="B495" s="317" t="str">
        <f t="shared" si="29"/>
        <v/>
      </c>
      <c r="F495" s="40"/>
      <c r="G495" s="314"/>
      <c r="H495" s="320"/>
      <c r="I495" s="313"/>
      <c r="J495" s="40"/>
      <c r="K495" s="314"/>
      <c r="L495" s="314">
        <f t="shared" si="30"/>
        <v>0</v>
      </c>
      <c r="M495" s="314">
        <f t="shared" si="31"/>
        <v>0</v>
      </c>
      <c r="N495" s="315"/>
      <c r="O495" s="321" t="s">
        <v>254</v>
      </c>
    </row>
    <row r="496" spans="1:15" s="321" customFormat="1" ht="77.3" customHeight="1" outlineLevel="1">
      <c r="A496" s="317">
        <v>354</v>
      </c>
      <c r="B496" s="317" t="str">
        <f t="shared" si="29"/>
        <v>IVF354</v>
      </c>
      <c r="C496" s="315" t="s">
        <v>142</v>
      </c>
      <c r="D496" s="317">
        <v>50</v>
      </c>
      <c r="E496" s="319" t="s">
        <v>14</v>
      </c>
      <c r="F496" s="5">
        <v>670</v>
      </c>
      <c r="G496" s="314">
        <f>ROUND(D496*F496,0)</f>
        <v>33500</v>
      </c>
      <c r="H496" s="320">
        <v>0</v>
      </c>
      <c r="I496" s="313" t="s">
        <v>14</v>
      </c>
      <c r="J496" s="40">
        <f>F496</f>
        <v>670</v>
      </c>
      <c r="K496" s="314"/>
      <c r="L496" s="314">
        <f t="shared" si="30"/>
        <v>0</v>
      </c>
      <c r="M496" s="314">
        <f t="shared" si="31"/>
        <v>33500</v>
      </c>
      <c r="N496" s="315" t="s">
        <v>387</v>
      </c>
      <c r="O496" s="321" t="s">
        <v>254</v>
      </c>
    </row>
    <row r="497" spans="1:15" s="321" customFormat="1" ht="12.1" customHeight="1" outlineLevel="1">
      <c r="A497" s="313"/>
      <c r="B497" s="317" t="str">
        <f t="shared" si="29"/>
        <v/>
      </c>
      <c r="F497" s="40"/>
      <c r="G497" s="314"/>
      <c r="H497" s="320"/>
      <c r="I497" s="313"/>
      <c r="J497" s="40"/>
      <c r="K497" s="314"/>
      <c r="L497" s="314">
        <f t="shared" si="30"/>
        <v>0</v>
      </c>
      <c r="M497" s="314">
        <f t="shared" si="31"/>
        <v>0</v>
      </c>
      <c r="N497" s="315"/>
      <c r="O497" s="321" t="s">
        <v>254</v>
      </c>
    </row>
    <row r="498" spans="1:15" s="321" customFormat="1" ht="76.95" customHeight="1" outlineLevel="1">
      <c r="A498" s="317">
        <v>355</v>
      </c>
      <c r="B498" s="317" t="str">
        <f t="shared" si="29"/>
        <v>IVF355</v>
      </c>
      <c r="C498" s="315" t="s">
        <v>143</v>
      </c>
      <c r="D498" s="317">
        <v>50</v>
      </c>
      <c r="E498" s="319" t="s">
        <v>14</v>
      </c>
      <c r="F498" s="5">
        <v>515</v>
      </c>
      <c r="G498" s="314">
        <f>ROUND(D498*F498,0)</f>
        <v>25750</v>
      </c>
      <c r="H498" s="320">
        <v>9</v>
      </c>
      <c r="I498" s="313" t="s">
        <v>14</v>
      </c>
      <c r="J498" s="40">
        <f>F498</f>
        <v>515</v>
      </c>
      <c r="K498" s="314">
        <f>ROUND(H498*J498,0)</f>
        <v>4635</v>
      </c>
      <c r="L498" s="314">
        <f t="shared" si="30"/>
        <v>0</v>
      </c>
      <c r="M498" s="314">
        <f t="shared" si="31"/>
        <v>21115</v>
      </c>
      <c r="N498" s="315" t="s">
        <v>410</v>
      </c>
      <c r="O498" s="321" t="s">
        <v>254</v>
      </c>
    </row>
    <row r="499" spans="1:15" s="321" customFormat="1" outlineLevel="1">
      <c r="A499" s="317"/>
      <c r="B499" s="317" t="str">
        <f t="shared" si="29"/>
        <v/>
      </c>
      <c r="C499" s="342" t="s">
        <v>368</v>
      </c>
      <c r="D499" s="317"/>
      <c r="E499" s="319"/>
      <c r="F499" s="5"/>
      <c r="G499" s="314"/>
      <c r="H499" s="320"/>
      <c r="I499" s="313"/>
      <c r="J499" s="40"/>
      <c r="K499" s="314"/>
      <c r="L499" s="314"/>
      <c r="M499" s="314"/>
      <c r="N499" s="315"/>
      <c r="O499" s="321" t="s">
        <v>254</v>
      </c>
    </row>
    <row r="500" spans="1:15" s="321" customFormat="1" ht="12.1" customHeight="1" outlineLevel="1">
      <c r="A500" s="313"/>
      <c r="B500" s="317" t="str">
        <f t="shared" si="29"/>
        <v/>
      </c>
      <c r="F500" s="40"/>
      <c r="G500" s="314"/>
      <c r="H500" s="320"/>
      <c r="I500" s="313"/>
      <c r="J500" s="40"/>
      <c r="K500" s="314"/>
      <c r="L500" s="314">
        <f t="shared" si="30"/>
        <v>0</v>
      </c>
      <c r="M500" s="314">
        <f t="shared" si="31"/>
        <v>0</v>
      </c>
      <c r="N500" s="315"/>
      <c r="O500" s="321" t="s">
        <v>254</v>
      </c>
    </row>
    <row r="501" spans="1:15" s="321" customFormat="1" ht="178.5" customHeight="1" outlineLevel="1">
      <c r="A501" s="317">
        <v>356</v>
      </c>
      <c r="B501" s="317" t="str">
        <f t="shared" si="29"/>
        <v>IVF356</v>
      </c>
      <c r="C501" s="318" t="s">
        <v>461</v>
      </c>
      <c r="D501" s="317">
        <v>30</v>
      </c>
      <c r="E501" s="319" t="s">
        <v>12</v>
      </c>
      <c r="F501" s="5">
        <v>2600</v>
      </c>
      <c r="G501" s="314">
        <f>ROUND(D501*F501,0)</f>
        <v>78000</v>
      </c>
      <c r="H501" s="320">
        <v>24.98</v>
      </c>
      <c r="I501" s="313" t="s">
        <v>12</v>
      </c>
      <c r="J501" s="40">
        <f>F501</f>
        <v>2600</v>
      </c>
      <c r="K501" s="314">
        <f>ROUND(H501*J501,0)</f>
        <v>64948</v>
      </c>
      <c r="L501" s="314">
        <f t="shared" si="30"/>
        <v>0</v>
      </c>
      <c r="M501" s="314">
        <f t="shared" si="31"/>
        <v>13052</v>
      </c>
      <c r="N501" s="315" t="s">
        <v>410</v>
      </c>
      <c r="O501" s="321" t="s">
        <v>254</v>
      </c>
    </row>
    <row r="502" spans="1:15" s="321" customFormat="1" outlineLevel="1">
      <c r="A502" s="317"/>
      <c r="B502" s="317" t="str">
        <f t="shared" si="29"/>
        <v/>
      </c>
      <c r="C502" s="342" t="s">
        <v>360</v>
      </c>
      <c r="D502" s="317"/>
      <c r="E502" s="319"/>
      <c r="F502" s="5"/>
      <c r="G502" s="314"/>
      <c r="H502" s="320"/>
      <c r="I502" s="313"/>
      <c r="J502" s="40"/>
      <c r="K502" s="314"/>
      <c r="L502" s="314"/>
      <c r="M502" s="314"/>
      <c r="N502" s="315"/>
      <c r="O502" s="321" t="s">
        <v>254</v>
      </c>
    </row>
    <row r="503" spans="1:15" s="321" customFormat="1" ht="12.1" customHeight="1" outlineLevel="1">
      <c r="A503" s="313"/>
      <c r="B503" s="317" t="str">
        <f t="shared" si="29"/>
        <v/>
      </c>
      <c r="F503" s="40"/>
      <c r="G503" s="314"/>
      <c r="H503" s="320"/>
      <c r="I503" s="313"/>
      <c r="J503" s="40"/>
      <c r="K503" s="314"/>
      <c r="L503" s="314">
        <f t="shared" si="30"/>
        <v>0</v>
      </c>
      <c r="M503" s="314">
        <f t="shared" si="31"/>
        <v>0</v>
      </c>
      <c r="N503" s="315"/>
      <c r="O503" s="321" t="s">
        <v>254</v>
      </c>
    </row>
    <row r="504" spans="1:15" s="321" customFormat="1" ht="176.3" customHeight="1" outlineLevel="1">
      <c r="A504" s="317">
        <v>357</v>
      </c>
      <c r="B504" s="317" t="str">
        <f t="shared" si="29"/>
        <v>IVF357</v>
      </c>
      <c r="C504" s="318" t="s">
        <v>462</v>
      </c>
      <c r="D504" s="317">
        <v>250</v>
      </c>
      <c r="E504" s="319" t="s">
        <v>12</v>
      </c>
      <c r="F504" s="5">
        <v>2325</v>
      </c>
      <c r="G504" s="314">
        <f>ROUND(D504*F504,0)</f>
        <v>581250</v>
      </c>
      <c r="H504" s="320">
        <v>232.64</v>
      </c>
      <c r="I504" s="313" t="s">
        <v>12</v>
      </c>
      <c r="J504" s="40">
        <f>F504</f>
        <v>2325</v>
      </c>
      <c r="K504" s="314">
        <f>ROUND(H504*J504,0)</f>
        <v>540888</v>
      </c>
      <c r="L504" s="314">
        <f t="shared" si="30"/>
        <v>0</v>
      </c>
      <c r="M504" s="314">
        <f t="shared" si="31"/>
        <v>40362</v>
      </c>
      <c r="N504" s="315" t="s">
        <v>410</v>
      </c>
      <c r="O504" s="321" t="s">
        <v>254</v>
      </c>
    </row>
    <row r="505" spans="1:15" s="321" customFormat="1" outlineLevel="1">
      <c r="A505" s="317"/>
      <c r="B505" s="317" t="str">
        <f t="shared" si="29"/>
        <v/>
      </c>
      <c r="C505" s="342" t="s">
        <v>361</v>
      </c>
      <c r="D505" s="317"/>
      <c r="E505" s="319"/>
      <c r="F505" s="5"/>
      <c r="G505" s="314"/>
      <c r="H505" s="320"/>
      <c r="I505" s="313"/>
      <c r="J505" s="40"/>
      <c r="K505" s="314"/>
      <c r="L505" s="314"/>
      <c r="M505" s="314"/>
      <c r="N505" s="315"/>
      <c r="O505" s="321" t="s">
        <v>254</v>
      </c>
    </row>
    <row r="506" spans="1:15" s="321" customFormat="1" ht="12.1" customHeight="1" outlineLevel="1">
      <c r="A506" s="313"/>
      <c r="B506" s="317" t="str">
        <f t="shared" si="29"/>
        <v/>
      </c>
      <c r="C506" s="323"/>
      <c r="F506" s="40"/>
      <c r="G506" s="314"/>
      <c r="H506" s="320"/>
      <c r="I506" s="313"/>
      <c r="J506" s="40"/>
      <c r="K506" s="314"/>
      <c r="L506" s="314">
        <f t="shared" si="30"/>
        <v>0</v>
      </c>
      <c r="M506" s="314">
        <f t="shared" si="31"/>
        <v>0</v>
      </c>
      <c r="N506" s="315"/>
      <c r="O506" s="321" t="s">
        <v>254</v>
      </c>
    </row>
    <row r="507" spans="1:15" s="321" customFormat="1" ht="61.5" customHeight="1" outlineLevel="1">
      <c r="A507" s="317">
        <v>358</v>
      </c>
      <c r="B507" s="317" t="str">
        <f t="shared" si="29"/>
        <v>IVF358</v>
      </c>
      <c r="C507" s="318" t="s">
        <v>144</v>
      </c>
      <c r="D507" s="317">
        <v>2</v>
      </c>
      <c r="E507" s="319" t="s">
        <v>12</v>
      </c>
      <c r="F507" s="5">
        <v>15800</v>
      </c>
      <c r="G507" s="314">
        <f>ROUND(D507*F507,0)</f>
        <v>31600</v>
      </c>
      <c r="H507" s="320">
        <v>0.8</v>
      </c>
      <c r="I507" s="313" t="s">
        <v>12</v>
      </c>
      <c r="J507" s="40">
        <f>F507</f>
        <v>15800</v>
      </c>
      <c r="K507" s="314">
        <f>ROUND(H507*J507,0)</f>
        <v>12640</v>
      </c>
      <c r="L507" s="314">
        <f t="shared" si="30"/>
        <v>0</v>
      </c>
      <c r="M507" s="314">
        <f t="shared" si="31"/>
        <v>18960</v>
      </c>
      <c r="N507" s="315" t="s">
        <v>410</v>
      </c>
      <c r="O507" s="321" t="s">
        <v>254</v>
      </c>
    </row>
    <row r="508" spans="1:15" s="321" customFormat="1" ht="12.1" customHeight="1" outlineLevel="1">
      <c r="A508" s="313"/>
      <c r="B508" s="317" t="str">
        <f t="shared" si="29"/>
        <v/>
      </c>
      <c r="F508" s="40"/>
      <c r="G508" s="314"/>
      <c r="H508" s="320"/>
      <c r="I508" s="313"/>
      <c r="J508" s="40"/>
      <c r="K508" s="314"/>
      <c r="L508" s="314">
        <f t="shared" si="30"/>
        <v>0</v>
      </c>
      <c r="M508" s="314">
        <f t="shared" si="31"/>
        <v>0</v>
      </c>
      <c r="N508" s="315"/>
      <c r="O508" s="321" t="s">
        <v>254</v>
      </c>
    </row>
    <row r="509" spans="1:15" s="321" customFormat="1" ht="60.8" customHeight="1" outlineLevel="1">
      <c r="A509" s="317">
        <v>359</v>
      </c>
      <c r="B509" s="317" t="str">
        <f t="shared" si="29"/>
        <v>IVF359</v>
      </c>
      <c r="C509" s="318" t="s">
        <v>145</v>
      </c>
      <c r="D509" s="317">
        <v>2</v>
      </c>
      <c r="E509" s="319" t="s">
        <v>12</v>
      </c>
      <c r="F509" s="5">
        <v>25900</v>
      </c>
      <c r="G509" s="314">
        <f>ROUND(D509*F509,0)</f>
        <v>51800</v>
      </c>
      <c r="H509" s="320">
        <v>0.8</v>
      </c>
      <c r="I509" s="313" t="s">
        <v>12</v>
      </c>
      <c r="J509" s="40">
        <f>F509</f>
        <v>25900</v>
      </c>
      <c r="K509" s="314">
        <f>ROUND(H509*J509,0)</f>
        <v>20720</v>
      </c>
      <c r="L509" s="314">
        <f t="shared" si="30"/>
        <v>0</v>
      </c>
      <c r="M509" s="314">
        <f t="shared" si="31"/>
        <v>31080</v>
      </c>
      <c r="N509" s="315" t="s">
        <v>410</v>
      </c>
      <c r="O509" s="321" t="s">
        <v>254</v>
      </c>
    </row>
    <row r="510" spans="1:15" s="321" customFormat="1" ht="12.1" customHeight="1" outlineLevel="1">
      <c r="A510" s="313"/>
      <c r="B510" s="317" t="str">
        <f t="shared" si="29"/>
        <v/>
      </c>
      <c r="F510" s="40"/>
      <c r="G510" s="314"/>
      <c r="H510" s="320"/>
      <c r="I510" s="313"/>
      <c r="J510" s="40"/>
      <c r="K510" s="314"/>
      <c r="L510" s="314">
        <f t="shared" si="30"/>
        <v>0</v>
      </c>
      <c r="M510" s="314">
        <f t="shared" si="31"/>
        <v>0</v>
      </c>
      <c r="N510" s="315"/>
      <c r="O510" s="321" t="s">
        <v>254</v>
      </c>
    </row>
    <row r="511" spans="1:15" s="321" customFormat="1" ht="59.95" customHeight="1" outlineLevel="1">
      <c r="A511" s="317">
        <v>360</v>
      </c>
      <c r="B511" s="317" t="str">
        <f t="shared" si="29"/>
        <v>IVF360</v>
      </c>
      <c r="C511" s="318" t="s">
        <v>146</v>
      </c>
      <c r="D511" s="317">
        <v>2</v>
      </c>
      <c r="E511" s="319" t="s">
        <v>12</v>
      </c>
      <c r="F511" s="5">
        <v>26300</v>
      </c>
      <c r="G511" s="314">
        <f>ROUND(D511*F511,0)</f>
        <v>52600</v>
      </c>
      <c r="H511" s="320">
        <v>1.59</v>
      </c>
      <c r="I511" s="313" t="s">
        <v>12</v>
      </c>
      <c r="J511" s="40">
        <f>F511</f>
        <v>26300</v>
      </c>
      <c r="K511" s="314">
        <f>ROUND(H511*J511,0)</f>
        <v>41817</v>
      </c>
      <c r="L511" s="314">
        <f t="shared" si="30"/>
        <v>0</v>
      </c>
      <c r="M511" s="314">
        <f t="shared" si="31"/>
        <v>10783</v>
      </c>
      <c r="N511" s="315" t="s">
        <v>410</v>
      </c>
      <c r="O511" s="321" t="s">
        <v>254</v>
      </c>
    </row>
    <row r="512" spans="1:15" s="321" customFormat="1" ht="12.1" customHeight="1" outlineLevel="1">
      <c r="A512" s="313"/>
      <c r="B512" s="317" t="str">
        <f t="shared" si="29"/>
        <v/>
      </c>
      <c r="F512" s="40"/>
      <c r="G512" s="314"/>
      <c r="H512" s="320"/>
      <c r="I512" s="313"/>
      <c r="J512" s="40"/>
      <c r="K512" s="314"/>
      <c r="L512" s="314">
        <f t="shared" si="30"/>
        <v>0</v>
      </c>
      <c r="M512" s="314">
        <f t="shared" si="31"/>
        <v>0</v>
      </c>
      <c r="N512" s="315"/>
      <c r="O512" s="321" t="s">
        <v>254</v>
      </c>
    </row>
    <row r="513" spans="1:15" s="321" customFormat="1" ht="50.95" customHeight="1" outlineLevel="1">
      <c r="A513" s="317">
        <v>361</v>
      </c>
      <c r="B513" s="317" t="str">
        <f t="shared" si="29"/>
        <v>IVF361</v>
      </c>
      <c r="C513" s="318" t="s">
        <v>147</v>
      </c>
      <c r="D513" s="317">
        <v>1</v>
      </c>
      <c r="E513" s="319" t="s">
        <v>12</v>
      </c>
      <c r="F513" s="5">
        <v>8125</v>
      </c>
      <c r="G513" s="314">
        <f>ROUND(D513*F513,0)</f>
        <v>8125</v>
      </c>
      <c r="H513" s="320">
        <f>D513</f>
        <v>1</v>
      </c>
      <c r="I513" s="313" t="s">
        <v>12</v>
      </c>
      <c r="J513" s="40">
        <f>F513</f>
        <v>8125</v>
      </c>
      <c r="K513" s="314">
        <f>ROUND(H513*J513,0)</f>
        <v>8125</v>
      </c>
      <c r="L513" s="314">
        <f t="shared" si="30"/>
        <v>0</v>
      </c>
      <c r="M513" s="314">
        <f t="shared" si="31"/>
        <v>0</v>
      </c>
      <c r="N513" s="315" t="s">
        <v>302</v>
      </c>
      <c r="O513" s="321" t="s">
        <v>254</v>
      </c>
    </row>
    <row r="514" spans="1:15" s="321" customFormat="1" ht="12.1" customHeight="1" outlineLevel="1">
      <c r="A514" s="313"/>
      <c r="B514" s="317" t="str">
        <f t="shared" si="29"/>
        <v/>
      </c>
      <c r="F514" s="40"/>
      <c r="G514" s="314"/>
      <c r="H514" s="320"/>
      <c r="I514" s="313"/>
      <c r="J514" s="40"/>
      <c r="K514" s="314"/>
      <c r="L514" s="314">
        <f t="shared" si="30"/>
        <v>0</v>
      </c>
      <c r="M514" s="314">
        <f t="shared" si="31"/>
        <v>0</v>
      </c>
      <c r="N514" s="315"/>
      <c r="O514" s="321" t="s">
        <v>254</v>
      </c>
    </row>
    <row r="515" spans="1:15" s="321" customFormat="1" ht="63" customHeight="1" outlineLevel="1">
      <c r="A515" s="317">
        <v>362</v>
      </c>
      <c r="B515" s="317" t="str">
        <f t="shared" si="29"/>
        <v>IVF362</v>
      </c>
      <c r="C515" s="318" t="s">
        <v>148</v>
      </c>
      <c r="D515" s="317">
        <v>1</v>
      </c>
      <c r="E515" s="319" t="s">
        <v>12</v>
      </c>
      <c r="F515" s="5">
        <v>7550</v>
      </c>
      <c r="G515" s="314">
        <f>ROUND(D515*F515,0)</f>
        <v>7550</v>
      </c>
      <c r="H515" s="320">
        <v>0.76</v>
      </c>
      <c r="I515" s="313" t="s">
        <v>12</v>
      </c>
      <c r="J515" s="40">
        <f>F515</f>
        <v>7550</v>
      </c>
      <c r="K515" s="314">
        <f>ROUND(H515*J515,0)</f>
        <v>5738</v>
      </c>
      <c r="L515" s="314">
        <f t="shared" si="30"/>
        <v>0</v>
      </c>
      <c r="M515" s="314">
        <f t="shared" si="31"/>
        <v>1812</v>
      </c>
      <c r="N515" s="315" t="s">
        <v>410</v>
      </c>
      <c r="O515" s="321" t="s">
        <v>254</v>
      </c>
    </row>
    <row r="516" spans="1:15" s="321" customFormat="1" ht="12.1" customHeight="1" outlineLevel="1">
      <c r="A516" s="313"/>
      <c r="B516" s="317" t="str">
        <f t="shared" si="29"/>
        <v/>
      </c>
      <c r="F516" s="40"/>
      <c r="G516" s="314"/>
      <c r="H516" s="320"/>
      <c r="I516" s="313"/>
      <c r="J516" s="40"/>
      <c r="K516" s="314"/>
      <c r="L516" s="314">
        <f t="shared" si="30"/>
        <v>0</v>
      </c>
      <c r="M516" s="314">
        <f t="shared" si="31"/>
        <v>0</v>
      </c>
      <c r="N516" s="315"/>
      <c r="O516" s="321" t="s">
        <v>254</v>
      </c>
    </row>
    <row r="517" spans="1:15" s="321" customFormat="1" ht="64.2" customHeight="1" outlineLevel="1">
      <c r="A517" s="317">
        <v>363</v>
      </c>
      <c r="B517" s="317" t="str">
        <f t="shared" si="29"/>
        <v>IVF363</v>
      </c>
      <c r="C517" s="318" t="s">
        <v>23</v>
      </c>
      <c r="D517" s="317">
        <v>2</v>
      </c>
      <c r="E517" s="319" t="s">
        <v>9</v>
      </c>
      <c r="F517" s="5">
        <v>10500</v>
      </c>
      <c r="G517" s="314">
        <f>ROUND(D517*F517,0)</f>
        <v>21000</v>
      </c>
      <c r="H517" s="320">
        <f>D517</f>
        <v>2</v>
      </c>
      <c r="I517" s="313" t="s">
        <v>9</v>
      </c>
      <c r="J517" s="40">
        <f>F517</f>
        <v>10500</v>
      </c>
      <c r="K517" s="314">
        <f>ROUND(H517*J517,0)</f>
        <v>21000</v>
      </c>
      <c r="L517" s="314">
        <f t="shared" si="30"/>
        <v>0</v>
      </c>
      <c r="M517" s="314">
        <f t="shared" si="31"/>
        <v>0</v>
      </c>
      <c r="N517" s="332" t="s">
        <v>404</v>
      </c>
      <c r="O517" s="321" t="s">
        <v>254</v>
      </c>
    </row>
    <row r="518" spans="1:15" s="321" customFormat="1" outlineLevel="1">
      <c r="A518" s="313"/>
      <c r="B518" s="317" t="str">
        <f t="shared" si="29"/>
        <v/>
      </c>
      <c r="C518" s="327" t="s">
        <v>30</v>
      </c>
      <c r="F518" s="40"/>
      <c r="G518" s="314"/>
      <c r="H518" s="320">
        <v>1</v>
      </c>
      <c r="I518" s="313" t="s">
        <v>9</v>
      </c>
      <c r="J518" s="40">
        <f>F517</f>
        <v>10500</v>
      </c>
      <c r="K518" s="314">
        <f>ROUND(H518*J518,0)</f>
        <v>10500</v>
      </c>
      <c r="L518" s="314">
        <f t="shared" si="30"/>
        <v>10500</v>
      </c>
      <c r="M518" s="314">
        <f t="shared" si="31"/>
        <v>0</v>
      </c>
      <c r="N518" s="332"/>
      <c r="O518" s="321" t="s">
        <v>254</v>
      </c>
    </row>
    <row r="519" spans="1:15" s="321" customFormat="1" ht="65.25" customHeight="1" outlineLevel="1">
      <c r="A519" s="317">
        <v>364</v>
      </c>
      <c r="B519" s="317" t="str">
        <f t="shared" si="29"/>
        <v>IVF364</v>
      </c>
      <c r="C519" s="318" t="s">
        <v>149</v>
      </c>
      <c r="D519" s="317">
        <v>2</v>
      </c>
      <c r="E519" s="319" t="s">
        <v>9</v>
      </c>
      <c r="F519" s="5">
        <v>12900</v>
      </c>
      <c r="G519" s="314">
        <f>ROUND(D519*F519,0)</f>
        <v>25800</v>
      </c>
      <c r="H519" s="320">
        <f>D519</f>
        <v>2</v>
      </c>
      <c r="I519" s="313" t="s">
        <v>9</v>
      </c>
      <c r="J519" s="40">
        <f>F519</f>
        <v>12900</v>
      </c>
      <c r="K519" s="314">
        <f>ROUND(H519*J519,0)</f>
        <v>25800</v>
      </c>
      <c r="L519" s="314">
        <f t="shared" si="30"/>
        <v>0</v>
      </c>
      <c r="M519" s="314">
        <f t="shared" si="31"/>
        <v>0</v>
      </c>
      <c r="N519" s="315" t="s">
        <v>302</v>
      </c>
      <c r="O519" s="321" t="s">
        <v>254</v>
      </c>
    </row>
    <row r="520" spans="1:15" s="321" customFormat="1" ht="12.1" customHeight="1" outlineLevel="1">
      <c r="A520" s="313"/>
      <c r="B520" s="317" t="str">
        <f t="shared" si="29"/>
        <v/>
      </c>
      <c r="F520" s="40"/>
      <c r="G520" s="314"/>
      <c r="H520" s="320"/>
      <c r="I520" s="313"/>
      <c r="J520" s="40"/>
      <c r="K520" s="314"/>
      <c r="L520" s="314">
        <f t="shared" si="30"/>
        <v>0</v>
      </c>
      <c r="M520" s="314">
        <f t="shared" si="31"/>
        <v>0</v>
      </c>
      <c r="N520" s="315"/>
      <c r="O520" s="321" t="s">
        <v>254</v>
      </c>
    </row>
    <row r="521" spans="1:15" s="321" customFormat="1" ht="50.95" customHeight="1" outlineLevel="1">
      <c r="A521" s="317">
        <v>365</v>
      </c>
      <c r="B521" s="317" t="str">
        <f t="shared" si="29"/>
        <v>IVF365</v>
      </c>
      <c r="C521" s="318" t="s">
        <v>150</v>
      </c>
      <c r="D521" s="317">
        <v>1</v>
      </c>
      <c r="E521" s="319" t="s">
        <v>12</v>
      </c>
      <c r="F521" s="5">
        <v>10300</v>
      </c>
      <c r="G521" s="314">
        <f>ROUND(D521*F521,0)</f>
        <v>10300</v>
      </c>
      <c r="H521" s="320">
        <f>D521</f>
        <v>1</v>
      </c>
      <c r="I521" s="313" t="s">
        <v>12</v>
      </c>
      <c r="J521" s="40">
        <f>F521</f>
        <v>10300</v>
      </c>
      <c r="K521" s="314">
        <f>ROUND(H521*J521,0)</f>
        <v>10300</v>
      </c>
      <c r="L521" s="314">
        <f t="shared" si="30"/>
        <v>0</v>
      </c>
      <c r="M521" s="314">
        <f t="shared" si="31"/>
        <v>0</v>
      </c>
      <c r="N521" s="332" t="s">
        <v>404</v>
      </c>
      <c r="O521" s="321" t="s">
        <v>254</v>
      </c>
    </row>
    <row r="522" spans="1:15" s="321" customFormat="1" outlineLevel="1">
      <c r="A522" s="313"/>
      <c r="B522" s="317" t="str">
        <f t="shared" si="29"/>
        <v/>
      </c>
      <c r="C522" s="327" t="s">
        <v>30</v>
      </c>
      <c r="F522" s="40"/>
      <c r="G522" s="314"/>
      <c r="H522" s="320">
        <v>0.8</v>
      </c>
      <c r="I522" s="313" t="s">
        <v>12</v>
      </c>
      <c r="J522" s="40">
        <f>J521</f>
        <v>10300</v>
      </c>
      <c r="K522" s="314">
        <f>ROUND(H522*J522,0)</f>
        <v>8240</v>
      </c>
      <c r="L522" s="314">
        <f>ROUND(IF(K522&gt;G522,K522-G522,0),0)</f>
        <v>8240</v>
      </c>
      <c r="M522" s="314">
        <f>ROUND(IF(K522&lt;G522,G522-K522,0),0)</f>
        <v>0</v>
      </c>
      <c r="N522" s="332"/>
      <c r="O522" s="321" t="s">
        <v>254</v>
      </c>
    </row>
    <row r="523" spans="1:15" s="321" customFormat="1" ht="81.7" customHeight="1" outlineLevel="1">
      <c r="A523" s="317">
        <v>366</v>
      </c>
      <c r="B523" s="317" t="str">
        <f t="shared" ref="B523:B586" si="32">IF(ISBLANK(A523), "","IVF"&amp;A523)</f>
        <v>IVF366</v>
      </c>
      <c r="C523" s="315" t="s">
        <v>151</v>
      </c>
      <c r="D523" s="317">
        <v>130</v>
      </c>
      <c r="E523" s="319" t="s">
        <v>12</v>
      </c>
      <c r="F523" s="5">
        <v>1225</v>
      </c>
      <c r="G523" s="314">
        <f>ROUND(D523*F523,0)</f>
        <v>159250</v>
      </c>
      <c r="H523" s="320">
        <v>45.79</v>
      </c>
      <c r="I523" s="313" t="s">
        <v>12</v>
      </c>
      <c r="J523" s="40">
        <f>F523</f>
        <v>1225</v>
      </c>
      <c r="K523" s="314">
        <f>ROUND(H523*J523,0)</f>
        <v>56093</v>
      </c>
      <c r="L523" s="314">
        <f t="shared" si="30"/>
        <v>0</v>
      </c>
      <c r="M523" s="314">
        <f t="shared" si="31"/>
        <v>103157</v>
      </c>
      <c r="N523" s="315" t="s">
        <v>410</v>
      </c>
      <c r="O523" s="321" t="s">
        <v>254</v>
      </c>
    </row>
    <row r="524" spans="1:15" s="321" customFormat="1" outlineLevel="1">
      <c r="A524" s="317"/>
      <c r="B524" s="317" t="str">
        <f t="shared" si="32"/>
        <v/>
      </c>
      <c r="C524" s="342" t="s">
        <v>365</v>
      </c>
      <c r="D524" s="317"/>
      <c r="E524" s="319"/>
      <c r="F524" s="5"/>
      <c r="G524" s="314"/>
      <c r="H524" s="320"/>
      <c r="I524" s="313"/>
      <c r="J524" s="40"/>
      <c r="K524" s="314"/>
      <c r="L524" s="314"/>
      <c r="M524" s="314"/>
      <c r="N524" s="315"/>
      <c r="O524" s="321" t="s">
        <v>254</v>
      </c>
    </row>
    <row r="525" spans="1:15" s="321" customFormat="1" ht="12.1" customHeight="1" outlineLevel="1">
      <c r="A525" s="313"/>
      <c r="B525" s="317" t="str">
        <f t="shared" si="32"/>
        <v/>
      </c>
      <c r="F525" s="40"/>
      <c r="G525" s="314"/>
      <c r="H525" s="320"/>
      <c r="I525" s="313"/>
      <c r="J525" s="40"/>
      <c r="K525" s="314"/>
      <c r="L525" s="314">
        <f t="shared" si="30"/>
        <v>0</v>
      </c>
      <c r="M525" s="314">
        <f t="shared" si="31"/>
        <v>0</v>
      </c>
      <c r="N525" s="315"/>
      <c r="O525" s="321" t="s">
        <v>254</v>
      </c>
    </row>
    <row r="526" spans="1:15" s="321" customFormat="1" ht="75.099999999999994" customHeight="1" outlineLevel="1">
      <c r="A526" s="317">
        <v>367</v>
      </c>
      <c r="B526" s="317" t="str">
        <f t="shared" si="32"/>
        <v>IVF367</v>
      </c>
      <c r="C526" s="315" t="s">
        <v>152</v>
      </c>
      <c r="D526" s="317">
        <v>130</v>
      </c>
      <c r="E526" s="319" t="s">
        <v>12</v>
      </c>
      <c r="F526" s="5">
        <v>1075</v>
      </c>
      <c r="G526" s="314">
        <f>ROUND(D526*F526,0)</f>
        <v>139750</v>
      </c>
      <c r="H526" s="320">
        <v>103.32</v>
      </c>
      <c r="I526" s="313" t="s">
        <v>12</v>
      </c>
      <c r="J526" s="40">
        <f>F526</f>
        <v>1075</v>
      </c>
      <c r="K526" s="314">
        <f>ROUND(H526*J526,0)</f>
        <v>111069</v>
      </c>
      <c r="L526" s="314">
        <f t="shared" si="30"/>
        <v>0</v>
      </c>
      <c r="M526" s="314">
        <f t="shared" si="31"/>
        <v>28681</v>
      </c>
      <c r="N526" s="315" t="s">
        <v>410</v>
      </c>
      <c r="O526" s="321" t="s">
        <v>254</v>
      </c>
    </row>
    <row r="527" spans="1:15" s="321" customFormat="1" outlineLevel="1">
      <c r="A527" s="317"/>
      <c r="B527" s="317" t="str">
        <f t="shared" si="32"/>
        <v/>
      </c>
      <c r="C527" s="342" t="s">
        <v>364</v>
      </c>
      <c r="D527" s="317"/>
      <c r="E527" s="319"/>
      <c r="F527" s="5"/>
      <c r="G527" s="314"/>
      <c r="H527" s="320"/>
      <c r="I527" s="313"/>
      <c r="J527" s="40"/>
      <c r="K527" s="314"/>
      <c r="L527" s="314"/>
      <c r="M527" s="314"/>
      <c r="N527" s="315"/>
      <c r="O527" s="321" t="s">
        <v>254</v>
      </c>
    </row>
    <row r="528" spans="1:15" s="321" customFormat="1" ht="12.1" customHeight="1" outlineLevel="1">
      <c r="A528" s="313"/>
      <c r="B528" s="317" t="str">
        <f t="shared" si="32"/>
        <v/>
      </c>
      <c r="C528" s="323"/>
      <c r="F528" s="40"/>
      <c r="G528" s="314"/>
      <c r="H528" s="320"/>
      <c r="I528" s="313"/>
      <c r="J528" s="40"/>
      <c r="K528" s="314"/>
      <c r="L528" s="314">
        <f t="shared" si="30"/>
        <v>0</v>
      </c>
      <c r="M528" s="314">
        <f t="shared" si="31"/>
        <v>0</v>
      </c>
      <c r="N528" s="315"/>
      <c r="O528" s="321" t="s">
        <v>254</v>
      </c>
    </row>
    <row r="529" spans="1:15" s="321" customFormat="1" ht="123.8" customHeight="1" outlineLevel="1">
      <c r="A529" s="317">
        <v>368</v>
      </c>
      <c r="B529" s="317" t="str">
        <f t="shared" si="32"/>
        <v>IVF368</v>
      </c>
      <c r="C529" s="315" t="s">
        <v>153</v>
      </c>
      <c r="D529" s="317">
        <v>40</v>
      </c>
      <c r="E529" s="319" t="s">
        <v>12</v>
      </c>
      <c r="F529" s="5">
        <v>785</v>
      </c>
      <c r="G529" s="314">
        <f>ROUND(D529*F529,0)</f>
        <v>31400</v>
      </c>
      <c r="H529" s="320">
        <f>D529</f>
        <v>40</v>
      </c>
      <c r="I529" s="313" t="s">
        <v>12</v>
      </c>
      <c r="J529" s="40">
        <f>F529</f>
        <v>785</v>
      </c>
      <c r="K529" s="314">
        <f>ROUND(H529*J529,0)</f>
        <v>31400</v>
      </c>
      <c r="L529" s="314">
        <f t="shared" si="30"/>
        <v>0</v>
      </c>
      <c r="M529" s="314">
        <f t="shared" si="31"/>
        <v>0</v>
      </c>
      <c r="N529" s="332" t="s">
        <v>601</v>
      </c>
      <c r="O529" s="321" t="s">
        <v>254</v>
      </c>
    </row>
    <row r="530" spans="1:15" s="321" customFormat="1" outlineLevel="1">
      <c r="A530" s="313"/>
      <c r="B530" s="317" t="str">
        <f t="shared" si="32"/>
        <v/>
      </c>
      <c r="C530" s="327" t="s">
        <v>30</v>
      </c>
      <c r="F530" s="40"/>
      <c r="G530" s="314"/>
      <c r="H530" s="320">
        <f>76.7-H529</f>
        <v>36.700000000000003</v>
      </c>
      <c r="I530" s="313" t="s">
        <v>12</v>
      </c>
      <c r="J530" s="40">
        <f>J529</f>
        <v>785</v>
      </c>
      <c r="K530" s="314">
        <f>ROUND(H530*J530,0)</f>
        <v>28810</v>
      </c>
      <c r="L530" s="314">
        <f t="shared" si="30"/>
        <v>28810</v>
      </c>
      <c r="M530" s="314">
        <f t="shared" si="31"/>
        <v>0</v>
      </c>
      <c r="N530" s="332"/>
      <c r="O530" s="321" t="s">
        <v>254</v>
      </c>
    </row>
    <row r="531" spans="1:15" s="321" customFormat="1" outlineLevel="1">
      <c r="A531" s="313"/>
      <c r="B531" s="317" t="str">
        <f t="shared" si="32"/>
        <v/>
      </c>
      <c r="C531" s="323" t="s">
        <v>363</v>
      </c>
      <c r="F531" s="40"/>
      <c r="G531" s="314"/>
      <c r="H531" s="320"/>
      <c r="I531" s="313"/>
      <c r="J531" s="40"/>
      <c r="K531" s="314"/>
      <c r="L531" s="314"/>
      <c r="M531" s="314"/>
      <c r="N531" s="315"/>
      <c r="O531" s="321" t="s">
        <v>254</v>
      </c>
    </row>
    <row r="532" spans="1:15" s="321" customFormat="1" ht="12.1" customHeight="1" outlineLevel="1">
      <c r="A532" s="313"/>
      <c r="B532" s="317" t="str">
        <f t="shared" si="32"/>
        <v/>
      </c>
      <c r="C532" s="323"/>
      <c r="F532" s="40"/>
      <c r="G532" s="314"/>
      <c r="H532" s="320"/>
      <c r="I532" s="313"/>
      <c r="J532" s="40"/>
      <c r="K532" s="314"/>
      <c r="L532" s="314"/>
      <c r="M532" s="314"/>
      <c r="N532" s="315"/>
      <c r="O532" s="321" t="s">
        <v>254</v>
      </c>
    </row>
    <row r="533" spans="1:15" s="321" customFormat="1" ht="125.35" customHeight="1" outlineLevel="1">
      <c r="A533" s="317">
        <v>369</v>
      </c>
      <c r="B533" s="317" t="str">
        <f t="shared" si="32"/>
        <v>IVF369</v>
      </c>
      <c r="C533" s="315" t="s">
        <v>154</v>
      </c>
      <c r="D533" s="317">
        <v>40</v>
      </c>
      <c r="E533" s="319" t="s">
        <v>12</v>
      </c>
      <c r="F533" s="5">
        <v>660</v>
      </c>
      <c r="G533" s="314">
        <f>ROUND(D533*F533,0)</f>
        <v>26400</v>
      </c>
      <c r="H533" s="320">
        <v>40</v>
      </c>
      <c r="I533" s="313" t="s">
        <v>12</v>
      </c>
      <c r="J533" s="40">
        <f>F533</f>
        <v>660</v>
      </c>
      <c r="K533" s="314">
        <f>ROUND(H533*J533,0)</f>
        <v>26400</v>
      </c>
      <c r="L533" s="314">
        <f t="shared" si="30"/>
        <v>0</v>
      </c>
      <c r="M533" s="314">
        <f t="shared" si="31"/>
        <v>0</v>
      </c>
      <c r="N533" s="332" t="s">
        <v>601</v>
      </c>
      <c r="O533" s="321" t="s">
        <v>254</v>
      </c>
    </row>
    <row r="534" spans="1:15" s="321" customFormat="1" outlineLevel="1">
      <c r="A534" s="313"/>
      <c r="B534" s="317" t="str">
        <f t="shared" si="32"/>
        <v/>
      </c>
      <c r="C534" s="327" t="s">
        <v>30</v>
      </c>
      <c r="F534" s="40"/>
      <c r="G534" s="314"/>
      <c r="H534" s="320">
        <f>97.49-H533</f>
        <v>57.489999999999995</v>
      </c>
      <c r="I534" s="313" t="s">
        <v>12</v>
      </c>
      <c r="J534" s="40">
        <f>J533</f>
        <v>660</v>
      </c>
      <c r="K534" s="314">
        <f>ROUND(H534*J534,0)</f>
        <v>37943</v>
      </c>
      <c r="L534" s="314">
        <f t="shared" si="30"/>
        <v>37943</v>
      </c>
      <c r="M534" s="314">
        <f t="shared" si="31"/>
        <v>0</v>
      </c>
      <c r="N534" s="332"/>
      <c r="O534" s="321" t="s">
        <v>254</v>
      </c>
    </row>
    <row r="535" spans="1:15" s="321" customFormat="1" outlineLevel="1">
      <c r="A535" s="313"/>
      <c r="B535" s="317" t="str">
        <f t="shared" si="32"/>
        <v/>
      </c>
      <c r="C535" s="323" t="s">
        <v>362</v>
      </c>
      <c r="F535" s="40"/>
      <c r="G535" s="314"/>
      <c r="H535" s="320"/>
      <c r="I535" s="313"/>
      <c r="J535" s="40"/>
      <c r="K535" s="314"/>
      <c r="L535" s="314"/>
      <c r="M535" s="314"/>
      <c r="N535" s="315"/>
      <c r="O535" s="321" t="s">
        <v>254</v>
      </c>
    </row>
    <row r="536" spans="1:15" s="321" customFormat="1" ht="12.1" customHeight="1" outlineLevel="1">
      <c r="A536" s="313"/>
      <c r="B536" s="317" t="str">
        <f t="shared" si="32"/>
        <v/>
      </c>
      <c r="C536" s="323"/>
      <c r="F536" s="40"/>
      <c r="G536" s="314"/>
      <c r="H536" s="320"/>
      <c r="I536" s="313"/>
      <c r="J536" s="40"/>
      <c r="K536" s="314"/>
      <c r="L536" s="314"/>
      <c r="M536" s="314"/>
      <c r="N536" s="315"/>
      <c r="O536" s="321" t="s">
        <v>254</v>
      </c>
    </row>
    <row r="537" spans="1:15" s="321" customFormat="1" ht="409.6" customHeight="1" outlineLevel="1">
      <c r="A537" s="317">
        <v>370</v>
      </c>
      <c r="B537" s="317" t="str">
        <f t="shared" si="32"/>
        <v>IVF370</v>
      </c>
      <c r="C537" s="318" t="s">
        <v>463</v>
      </c>
      <c r="D537" s="317">
        <v>1</v>
      </c>
      <c r="E537" s="319" t="s">
        <v>18</v>
      </c>
      <c r="F537" s="5">
        <v>371875</v>
      </c>
      <c r="G537" s="314">
        <f>ROUND(D537*F537,0)</f>
        <v>371875</v>
      </c>
      <c r="H537" s="320">
        <v>0</v>
      </c>
      <c r="I537" s="313" t="s">
        <v>18</v>
      </c>
      <c r="J537" s="40">
        <f>F537</f>
        <v>371875</v>
      </c>
      <c r="K537" s="314"/>
      <c r="L537" s="314">
        <f t="shared" si="30"/>
        <v>0</v>
      </c>
      <c r="M537" s="314">
        <f t="shared" si="31"/>
        <v>371875</v>
      </c>
      <c r="N537" s="315" t="s">
        <v>605</v>
      </c>
      <c r="O537" s="321" t="s">
        <v>254</v>
      </c>
    </row>
    <row r="538" spans="1:15" s="321" customFormat="1" ht="12.1" customHeight="1" outlineLevel="1">
      <c r="A538" s="313"/>
      <c r="B538" s="317" t="str">
        <f t="shared" si="32"/>
        <v/>
      </c>
      <c r="F538" s="40"/>
      <c r="G538" s="314"/>
      <c r="H538" s="320"/>
      <c r="I538" s="313"/>
      <c r="J538" s="40"/>
      <c r="K538" s="314"/>
      <c r="L538" s="314">
        <f t="shared" si="30"/>
        <v>0</v>
      </c>
      <c r="M538" s="314">
        <f t="shared" si="31"/>
        <v>0</v>
      </c>
      <c r="N538" s="315"/>
      <c r="O538" s="321" t="s">
        <v>254</v>
      </c>
    </row>
    <row r="539" spans="1:15" s="321" customFormat="1" ht="192.6" customHeight="1" outlineLevel="1">
      <c r="A539" s="317">
        <v>371</v>
      </c>
      <c r="B539" s="317" t="str">
        <f t="shared" si="32"/>
        <v>IVF371</v>
      </c>
      <c r="C539" s="318" t="s">
        <v>464</v>
      </c>
      <c r="D539" s="317">
        <v>2</v>
      </c>
      <c r="E539" s="319" t="s">
        <v>9</v>
      </c>
      <c r="F539" s="5">
        <v>30700</v>
      </c>
      <c r="G539" s="314">
        <f>ROUND(D539*F539,0)</f>
        <v>61400</v>
      </c>
      <c r="H539" s="320">
        <f>D539</f>
        <v>2</v>
      </c>
      <c r="I539" s="313" t="s">
        <v>9</v>
      </c>
      <c r="J539" s="40">
        <f>F539</f>
        <v>30700</v>
      </c>
      <c r="K539" s="314">
        <f>ROUND(H539*J539,0)</f>
        <v>61400</v>
      </c>
      <c r="L539" s="314">
        <f t="shared" si="30"/>
        <v>0</v>
      </c>
      <c r="M539" s="314">
        <f t="shared" si="31"/>
        <v>0</v>
      </c>
      <c r="N539" s="315" t="s">
        <v>302</v>
      </c>
      <c r="O539" s="321" t="s">
        <v>254</v>
      </c>
    </row>
    <row r="540" spans="1:15" s="321" customFormat="1" outlineLevel="1">
      <c r="A540" s="317"/>
      <c r="B540" s="317" t="str">
        <f t="shared" si="32"/>
        <v/>
      </c>
      <c r="C540" s="322" t="s">
        <v>346</v>
      </c>
      <c r="D540" s="317"/>
      <c r="E540" s="319"/>
      <c r="F540" s="5"/>
      <c r="G540" s="314"/>
      <c r="H540" s="320"/>
      <c r="I540" s="313"/>
      <c r="J540" s="40"/>
      <c r="K540" s="314"/>
      <c r="L540" s="314"/>
      <c r="M540" s="314"/>
      <c r="N540" s="315"/>
      <c r="O540" s="321" t="s">
        <v>254</v>
      </c>
    </row>
    <row r="541" spans="1:15" s="321" customFormat="1" ht="12.1" customHeight="1" outlineLevel="1">
      <c r="A541" s="313"/>
      <c r="B541" s="317" t="str">
        <f t="shared" si="32"/>
        <v/>
      </c>
      <c r="F541" s="40"/>
      <c r="G541" s="314"/>
      <c r="H541" s="320"/>
      <c r="I541" s="313"/>
      <c r="J541" s="40"/>
      <c r="K541" s="314"/>
      <c r="L541" s="314">
        <f t="shared" si="30"/>
        <v>0</v>
      </c>
      <c r="M541" s="314">
        <f t="shared" si="31"/>
        <v>0</v>
      </c>
      <c r="N541" s="315"/>
      <c r="O541" s="321" t="s">
        <v>254</v>
      </c>
    </row>
    <row r="542" spans="1:15" s="321" customFormat="1" ht="179" customHeight="1" outlineLevel="1">
      <c r="A542" s="317">
        <v>372</v>
      </c>
      <c r="B542" s="317" t="str">
        <f t="shared" si="32"/>
        <v>IVF372</v>
      </c>
      <c r="C542" s="318" t="s">
        <v>465</v>
      </c>
      <c r="D542" s="317">
        <v>3</v>
      </c>
      <c r="E542" s="319" t="s">
        <v>9</v>
      </c>
      <c r="F542" s="5">
        <v>30700</v>
      </c>
      <c r="G542" s="314">
        <f>ROUND(D542*F542,0)</f>
        <v>92100</v>
      </c>
      <c r="H542" s="320">
        <f>D542</f>
        <v>3</v>
      </c>
      <c r="I542" s="313" t="s">
        <v>9</v>
      </c>
      <c r="J542" s="40">
        <f>F542</f>
        <v>30700</v>
      </c>
      <c r="K542" s="314">
        <f>ROUND(H542*J542,0)</f>
        <v>92100</v>
      </c>
      <c r="L542" s="314">
        <f t="shared" si="30"/>
        <v>0</v>
      </c>
      <c r="M542" s="314">
        <f t="shared" si="31"/>
        <v>0</v>
      </c>
      <c r="N542" s="332" t="s">
        <v>604</v>
      </c>
      <c r="O542" s="321" t="s">
        <v>254</v>
      </c>
    </row>
    <row r="543" spans="1:15" s="321" customFormat="1" outlineLevel="1">
      <c r="A543" s="313"/>
      <c r="B543" s="317" t="str">
        <f t="shared" si="32"/>
        <v/>
      </c>
      <c r="C543" s="327" t="s">
        <v>30</v>
      </c>
      <c r="F543" s="40"/>
      <c r="G543" s="314"/>
      <c r="H543" s="320">
        <v>3</v>
      </c>
      <c r="I543" s="313" t="s">
        <v>9</v>
      </c>
      <c r="J543" s="40">
        <f>F542</f>
        <v>30700</v>
      </c>
      <c r="K543" s="314">
        <f>ROUND(H543*J543,0)</f>
        <v>92100</v>
      </c>
      <c r="L543" s="314">
        <f t="shared" si="30"/>
        <v>92100</v>
      </c>
      <c r="M543" s="314">
        <f t="shared" si="31"/>
        <v>0</v>
      </c>
      <c r="N543" s="332"/>
      <c r="O543" s="321" t="s">
        <v>254</v>
      </c>
    </row>
    <row r="544" spans="1:15" s="321" customFormat="1" outlineLevel="1">
      <c r="A544" s="313"/>
      <c r="B544" s="317" t="str">
        <f t="shared" si="32"/>
        <v/>
      </c>
      <c r="C544" s="323" t="s">
        <v>346</v>
      </c>
      <c r="F544" s="40"/>
      <c r="G544" s="314"/>
      <c r="H544" s="320"/>
      <c r="I544" s="313"/>
      <c r="J544" s="40"/>
      <c r="K544" s="314"/>
      <c r="L544" s="314"/>
      <c r="M544" s="314"/>
      <c r="N544" s="315"/>
      <c r="O544" s="321" t="s">
        <v>254</v>
      </c>
    </row>
    <row r="545" spans="1:17" s="321" customFormat="1" ht="12.1" customHeight="1" outlineLevel="1">
      <c r="A545" s="313"/>
      <c r="B545" s="317" t="str">
        <f t="shared" si="32"/>
        <v/>
      </c>
      <c r="C545" s="323"/>
      <c r="F545" s="40"/>
      <c r="G545" s="314"/>
      <c r="H545" s="320"/>
      <c r="I545" s="313"/>
      <c r="J545" s="40"/>
      <c r="K545" s="314"/>
      <c r="L545" s="314"/>
      <c r="M545" s="314"/>
      <c r="N545" s="315"/>
      <c r="O545" s="321" t="s">
        <v>254</v>
      </c>
    </row>
    <row r="546" spans="1:17" s="321" customFormat="1" ht="194.95" customHeight="1" outlineLevel="1">
      <c r="A546" s="317">
        <v>373</v>
      </c>
      <c r="B546" s="317" t="str">
        <f t="shared" si="32"/>
        <v>IVF373</v>
      </c>
      <c r="C546" s="318" t="s">
        <v>466</v>
      </c>
      <c r="D546" s="317">
        <v>4</v>
      </c>
      <c r="E546" s="319" t="s">
        <v>9</v>
      </c>
      <c r="F546" s="5">
        <v>35000</v>
      </c>
      <c r="G546" s="314">
        <f>ROUND(D546*F546,0)</f>
        <v>140000</v>
      </c>
      <c r="H546" s="320">
        <f>D546</f>
        <v>4</v>
      </c>
      <c r="I546" s="313" t="s">
        <v>9</v>
      </c>
      <c r="J546" s="40">
        <f>F546</f>
        <v>35000</v>
      </c>
      <c r="K546" s="314">
        <f>ROUND(H546*J546,0)</f>
        <v>140000</v>
      </c>
      <c r="L546" s="314">
        <f t="shared" si="30"/>
        <v>0</v>
      </c>
      <c r="M546" s="314">
        <f t="shared" si="31"/>
        <v>0</v>
      </c>
      <c r="N546" s="332" t="s">
        <v>603</v>
      </c>
      <c r="O546" s="321" t="s">
        <v>254</v>
      </c>
    </row>
    <row r="547" spans="1:17" s="321" customFormat="1" outlineLevel="1">
      <c r="A547" s="313"/>
      <c r="B547" s="317" t="str">
        <f t="shared" si="32"/>
        <v/>
      </c>
      <c r="C547" s="327" t="s">
        <v>30</v>
      </c>
      <c r="F547" s="40"/>
      <c r="G547" s="314"/>
      <c r="H547" s="320">
        <v>2</v>
      </c>
      <c r="I547" s="313" t="s">
        <v>9</v>
      </c>
      <c r="J547" s="40">
        <f>F546</f>
        <v>35000</v>
      </c>
      <c r="K547" s="314">
        <f>ROUND(H547*J547,0)</f>
        <v>70000</v>
      </c>
      <c r="L547" s="314">
        <f t="shared" si="30"/>
        <v>70000</v>
      </c>
      <c r="M547" s="314">
        <f t="shared" si="31"/>
        <v>0</v>
      </c>
      <c r="N547" s="332"/>
      <c r="O547" s="321" t="s">
        <v>254</v>
      </c>
    </row>
    <row r="548" spans="1:17" s="321" customFormat="1" outlineLevel="1">
      <c r="A548" s="313"/>
      <c r="B548" s="317" t="str">
        <f t="shared" si="32"/>
        <v/>
      </c>
      <c r="C548" s="323" t="s">
        <v>346</v>
      </c>
      <c r="F548" s="40"/>
      <c r="G548" s="314"/>
      <c r="H548" s="320"/>
      <c r="I548" s="313"/>
      <c r="J548" s="40"/>
      <c r="K548" s="314"/>
      <c r="L548" s="314"/>
      <c r="M548" s="314"/>
      <c r="N548" s="315"/>
      <c r="O548" s="321" t="s">
        <v>254</v>
      </c>
    </row>
    <row r="549" spans="1:17" s="321" customFormat="1" ht="12.1" customHeight="1" outlineLevel="1">
      <c r="A549" s="313"/>
      <c r="B549" s="317" t="str">
        <f t="shared" si="32"/>
        <v/>
      </c>
      <c r="C549" s="323"/>
      <c r="F549" s="40"/>
      <c r="G549" s="314"/>
      <c r="H549" s="320"/>
      <c r="I549" s="313"/>
      <c r="J549" s="40"/>
      <c r="K549" s="314"/>
      <c r="L549" s="314"/>
      <c r="M549" s="314"/>
      <c r="N549" s="315"/>
      <c r="O549" s="321" t="s">
        <v>254</v>
      </c>
    </row>
    <row r="550" spans="1:17" s="321" customFormat="1" ht="198" customHeight="1" outlineLevel="1">
      <c r="A550" s="317">
        <v>374</v>
      </c>
      <c r="B550" s="317" t="str">
        <f t="shared" si="32"/>
        <v>IVF374</v>
      </c>
      <c r="C550" s="318" t="s">
        <v>467</v>
      </c>
      <c r="D550" s="317">
        <v>2</v>
      </c>
      <c r="E550" s="319" t="s">
        <v>9</v>
      </c>
      <c r="F550" s="5">
        <v>50000</v>
      </c>
      <c r="G550" s="314">
        <f>ROUND(D550*F550,0)</f>
        <v>100000</v>
      </c>
      <c r="H550" s="320">
        <v>0</v>
      </c>
      <c r="I550" s="313" t="s">
        <v>9</v>
      </c>
      <c r="J550" s="40">
        <f>F550</f>
        <v>50000</v>
      </c>
      <c r="K550" s="314"/>
      <c r="L550" s="314">
        <f t="shared" si="30"/>
        <v>0</v>
      </c>
      <c r="M550" s="314">
        <f t="shared" si="31"/>
        <v>100000</v>
      </c>
      <c r="N550" s="315" t="s">
        <v>602</v>
      </c>
      <c r="O550" s="321" t="s">
        <v>254</v>
      </c>
    </row>
    <row r="551" spans="1:17" s="321" customFormat="1" ht="12.1" customHeight="1" outlineLevel="1">
      <c r="A551" s="313"/>
      <c r="B551" s="317" t="str">
        <f t="shared" si="32"/>
        <v/>
      </c>
      <c r="F551" s="40"/>
      <c r="G551" s="314"/>
      <c r="H551" s="320"/>
      <c r="I551" s="313"/>
      <c r="J551" s="40"/>
      <c r="K551" s="314"/>
      <c r="L551" s="314">
        <f t="shared" si="30"/>
        <v>0</v>
      </c>
      <c r="M551" s="314">
        <f t="shared" si="31"/>
        <v>0</v>
      </c>
      <c r="N551" s="315"/>
      <c r="O551" s="321" t="s">
        <v>254</v>
      </c>
    </row>
    <row r="552" spans="1:17" s="321" customFormat="1" ht="316.55" customHeight="1" outlineLevel="1">
      <c r="A552" s="317">
        <v>375</v>
      </c>
      <c r="B552" s="317" t="str">
        <f t="shared" si="32"/>
        <v>IVF375</v>
      </c>
      <c r="C552" s="318" t="s">
        <v>606</v>
      </c>
      <c r="D552" s="317">
        <v>1</v>
      </c>
      <c r="E552" s="319" t="s">
        <v>10</v>
      </c>
      <c r="F552" s="5">
        <v>400000</v>
      </c>
      <c r="G552" s="314">
        <f>ROUND(D552*F552,0)</f>
        <v>400000</v>
      </c>
      <c r="H552" s="320">
        <f>D552</f>
        <v>1</v>
      </c>
      <c r="I552" s="313" t="s">
        <v>10</v>
      </c>
      <c r="J552" s="40">
        <f>F552</f>
        <v>400000</v>
      </c>
      <c r="K552" s="314">
        <f>ROUND(H552*J552,0)</f>
        <v>400000</v>
      </c>
      <c r="L552" s="314">
        <f t="shared" si="30"/>
        <v>0</v>
      </c>
      <c r="M552" s="314">
        <f t="shared" si="31"/>
        <v>0</v>
      </c>
      <c r="N552" s="315" t="s">
        <v>302</v>
      </c>
      <c r="O552" s="321" t="s">
        <v>254</v>
      </c>
      <c r="Q552" s="321" t="s">
        <v>606</v>
      </c>
    </row>
    <row r="553" spans="1:17" s="321" customFormat="1" outlineLevel="1">
      <c r="A553" s="317"/>
      <c r="B553" s="317" t="str">
        <f t="shared" si="32"/>
        <v/>
      </c>
      <c r="C553" s="322" t="s">
        <v>346</v>
      </c>
      <c r="D553" s="317"/>
      <c r="E553" s="319"/>
      <c r="F553" s="5"/>
      <c r="G553" s="314"/>
      <c r="H553" s="320"/>
      <c r="I553" s="313"/>
      <c r="J553" s="40"/>
      <c r="K553" s="314"/>
      <c r="L553" s="314"/>
      <c r="M553" s="314"/>
      <c r="N553" s="315"/>
      <c r="O553" s="321" t="s">
        <v>254</v>
      </c>
    </row>
    <row r="554" spans="1:17" s="321" customFormat="1" ht="12.1" customHeight="1" outlineLevel="1">
      <c r="A554" s="313"/>
      <c r="B554" s="317" t="str">
        <f t="shared" si="32"/>
        <v/>
      </c>
      <c r="F554" s="40"/>
      <c r="G554" s="314"/>
      <c r="H554" s="320"/>
      <c r="I554" s="313"/>
      <c r="J554" s="40"/>
      <c r="K554" s="314"/>
      <c r="L554" s="314">
        <f t="shared" si="30"/>
        <v>0</v>
      </c>
      <c r="M554" s="314">
        <f t="shared" si="31"/>
        <v>0</v>
      </c>
      <c r="N554" s="315"/>
      <c r="O554" s="321" t="s">
        <v>254</v>
      </c>
    </row>
    <row r="555" spans="1:17" s="321" customFormat="1" ht="74.400000000000006" customHeight="1" outlineLevel="1">
      <c r="A555" s="317">
        <v>376</v>
      </c>
      <c r="B555" s="317" t="str">
        <f t="shared" si="32"/>
        <v>IVF376</v>
      </c>
      <c r="C555" s="318" t="s">
        <v>155</v>
      </c>
      <c r="D555" s="317">
        <v>10</v>
      </c>
      <c r="E555" s="319" t="s">
        <v>18</v>
      </c>
      <c r="F555" s="5">
        <v>6191</v>
      </c>
      <c r="G555" s="314">
        <f>ROUND(D555*F555,0)</f>
        <v>61910</v>
      </c>
      <c r="H555" s="320">
        <f>D555</f>
        <v>10</v>
      </c>
      <c r="I555" s="313" t="s">
        <v>18</v>
      </c>
      <c r="J555" s="40">
        <f>F555</f>
        <v>6191</v>
      </c>
      <c r="K555" s="314">
        <f>ROUND(H555*J555,0)</f>
        <v>61910</v>
      </c>
      <c r="L555" s="314">
        <f t="shared" si="30"/>
        <v>0</v>
      </c>
      <c r="M555" s="314">
        <f t="shared" si="31"/>
        <v>0</v>
      </c>
      <c r="N555" s="332" t="s">
        <v>607</v>
      </c>
      <c r="O555" s="321" t="s">
        <v>254</v>
      </c>
    </row>
    <row r="556" spans="1:17" s="321" customFormat="1" outlineLevel="1">
      <c r="A556" s="313"/>
      <c r="B556" s="317" t="str">
        <f t="shared" si="32"/>
        <v/>
      </c>
      <c r="C556" s="327" t="s">
        <v>30</v>
      </c>
      <c r="F556" s="40"/>
      <c r="G556" s="314"/>
      <c r="H556" s="320">
        <v>5</v>
      </c>
      <c r="I556" s="313" t="s">
        <v>18</v>
      </c>
      <c r="J556" s="40">
        <f>F555</f>
        <v>6191</v>
      </c>
      <c r="K556" s="314">
        <f>ROUND(H556*J556,0)</f>
        <v>30955</v>
      </c>
      <c r="L556" s="314">
        <f t="shared" si="30"/>
        <v>30955</v>
      </c>
      <c r="M556" s="314">
        <f t="shared" si="31"/>
        <v>0</v>
      </c>
      <c r="N556" s="332"/>
      <c r="O556" s="321" t="s">
        <v>254</v>
      </c>
    </row>
    <row r="557" spans="1:17" s="321" customFormat="1" outlineLevel="1">
      <c r="A557" s="313"/>
      <c r="B557" s="317" t="str">
        <f t="shared" si="32"/>
        <v/>
      </c>
      <c r="C557" s="323" t="s">
        <v>347</v>
      </c>
      <c r="F557" s="40"/>
      <c r="G557" s="314"/>
      <c r="H557" s="320"/>
      <c r="I557" s="313"/>
      <c r="J557" s="40"/>
      <c r="K557" s="314"/>
      <c r="L557" s="314"/>
      <c r="M557" s="314"/>
      <c r="N557" s="315"/>
      <c r="O557" s="321" t="s">
        <v>254</v>
      </c>
    </row>
    <row r="558" spans="1:17" s="321" customFormat="1" ht="12.1" customHeight="1" outlineLevel="1">
      <c r="A558" s="313"/>
      <c r="B558" s="317" t="str">
        <f t="shared" si="32"/>
        <v/>
      </c>
      <c r="C558" s="323"/>
      <c r="F558" s="40"/>
      <c r="G558" s="314"/>
      <c r="H558" s="320"/>
      <c r="I558" s="313"/>
      <c r="J558" s="40"/>
      <c r="K558" s="314"/>
      <c r="L558" s="314"/>
      <c r="M558" s="314"/>
      <c r="N558" s="315"/>
      <c r="O558" s="321" t="s">
        <v>254</v>
      </c>
    </row>
    <row r="559" spans="1:17" s="321" customFormat="1" ht="76.95" customHeight="1" outlineLevel="1">
      <c r="A559" s="317">
        <v>377</v>
      </c>
      <c r="B559" s="317" t="str">
        <f t="shared" si="32"/>
        <v>IVF377</v>
      </c>
      <c r="C559" s="318" t="s">
        <v>156</v>
      </c>
      <c r="D559" s="317">
        <v>150</v>
      </c>
      <c r="E559" s="319" t="s">
        <v>14</v>
      </c>
      <c r="F559" s="5">
        <v>320</v>
      </c>
      <c r="G559" s="314">
        <f>ROUND(D559*F559,0)</f>
        <v>48000</v>
      </c>
      <c r="H559" s="320">
        <f>D559</f>
        <v>150</v>
      </c>
      <c r="I559" s="313" t="s">
        <v>14</v>
      </c>
      <c r="J559" s="40">
        <f>F559</f>
        <v>320</v>
      </c>
      <c r="K559" s="314">
        <f>ROUND(H559*J559,0)</f>
        <v>48000</v>
      </c>
      <c r="L559" s="314">
        <f t="shared" si="30"/>
        <v>0</v>
      </c>
      <c r="M559" s="314">
        <f t="shared" si="31"/>
        <v>0</v>
      </c>
      <c r="N559" s="315" t="s">
        <v>302</v>
      </c>
      <c r="O559" s="321" t="s">
        <v>254</v>
      </c>
    </row>
    <row r="560" spans="1:17" s="321" customFormat="1" ht="12.1" customHeight="1" outlineLevel="1">
      <c r="A560" s="313"/>
      <c r="B560" s="317" t="str">
        <f t="shared" si="32"/>
        <v/>
      </c>
      <c r="F560" s="40"/>
      <c r="G560" s="314"/>
      <c r="H560" s="320"/>
      <c r="I560" s="313"/>
      <c r="J560" s="40"/>
      <c r="K560" s="314"/>
      <c r="L560" s="314">
        <f t="shared" si="30"/>
        <v>0</v>
      </c>
      <c r="M560" s="314">
        <f t="shared" si="31"/>
        <v>0</v>
      </c>
      <c r="N560" s="315"/>
      <c r="O560" s="321" t="s">
        <v>254</v>
      </c>
    </row>
    <row r="561" spans="1:15" s="321" customFormat="1" ht="74.400000000000006" customHeight="1" outlineLevel="1">
      <c r="A561" s="317">
        <v>378</v>
      </c>
      <c r="B561" s="317" t="str">
        <f t="shared" si="32"/>
        <v>IVF378</v>
      </c>
      <c r="C561" s="318" t="s">
        <v>157</v>
      </c>
      <c r="D561" s="317">
        <v>100</v>
      </c>
      <c r="E561" s="319" t="s">
        <v>14</v>
      </c>
      <c r="F561" s="5">
        <v>255</v>
      </c>
      <c r="G561" s="314">
        <f>ROUND(D561*F561,0)</f>
        <v>25500</v>
      </c>
      <c r="H561" s="320">
        <f>D561</f>
        <v>100</v>
      </c>
      <c r="I561" s="313" t="s">
        <v>14</v>
      </c>
      <c r="J561" s="40">
        <f>F561</f>
        <v>255</v>
      </c>
      <c r="K561" s="314">
        <f>ROUND(H561*J561,0)</f>
        <v>25500</v>
      </c>
      <c r="L561" s="314">
        <f t="shared" si="30"/>
        <v>0</v>
      </c>
      <c r="M561" s="314">
        <f t="shared" si="31"/>
        <v>0</v>
      </c>
      <c r="N561" s="315" t="s">
        <v>302</v>
      </c>
      <c r="O561" s="321" t="s">
        <v>254</v>
      </c>
    </row>
    <row r="562" spans="1:15" s="321" customFormat="1" ht="12.1" customHeight="1">
      <c r="A562" s="313"/>
      <c r="B562" s="317" t="str">
        <f t="shared" si="32"/>
        <v/>
      </c>
      <c r="F562" s="40"/>
      <c r="G562" s="314"/>
      <c r="H562" s="320"/>
      <c r="I562" s="313"/>
      <c r="J562" s="40"/>
      <c r="K562" s="314"/>
      <c r="L562" s="314"/>
      <c r="M562" s="314"/>
      <c r="N562" s="315"/>
      <c r="O562" s="321" t="s">
        <v>254</v>
      </c>
    </row>
    <row r="563" spans="1:15" s="321" customFormat="1" ht="19.899999999999999" customHeight="1">
      <c r="A563" s="313"/>
      <c r="B563" s="317" t="str">
        <f t="shared" si="32"/>
        <v/>
      </c>
      <c r="F563" s="40"/>
      <c r="G563" s="329">
        <f>ROUND(SUM(G474:G562),0)</f>
        <v>3946060</v>
      </c>
      <c r="H563" s="320"/>
      <c r="I563" s="313"/>
      <c r="J563" s="42" t="s">
        <v>32</v>
      </c>
      <c r="K563" s="329">
        <f>ROUND(SUM(K474:K562),0)</f>
        <v>2725391</v>
      </c>
      <c r="L563" s="329">
        <f>SUM(L474:L562)</f>
        <v>374548</v>
      </c>
      <c r="M563" s="329">
        <f>SUM(M474:M562)</f>
        <v>1595217</v>
      </c>
      <c r="N563" s="341"/>
    </row>
    <row r="564" spans="1:15" s="321" customFormat="1" ht="19.899999999999999" customHeight="1">
      <c r="A564" s="313"/>
      <c r="B564" s="317" t="str">
        <f t="shared" si="32"/>
        <v/>
      </c>
      <c r="C564" s="331" t="s">
        <v>39</v>
      </c>
      <c r="F564" s="40"/>
      <c r="G564" s="312"/>
      <c r="H564" s="320"/>
      <c r="I564" s="313"/>
      <c r="J564" s="40"/>
      <c r="K564" s="312"/>
      <c r="L564" s="314"/>
      <c r="M564" s="314"/>
      <c r="N564" s="315"/>
    </row>
    <row r="565" spans="1:15" s="321" customFormat="1" ht="64.2" customHeight="1" outlineLevel="1">
      <c r="A565" s="317">
        <v>379</v>
      </c>
      <c r="B565" s="317" t="str">
        <f t="shared" si="32"/>
        <v>IVF379</v>
      </c>
      <c r="C565" s="318" t="s">
        <v>158</v>
      </c>
      <c r="D565" s="317">
        <v>1</v>
      </c>
      <c r="E565" s="319" t="s">
        <v>18</v>
      </c>
      <c r="F565" s="5">
        <v>20750</v>
      </c>
      <c r="G565" s="314">
        <f>ROUND(D565*F565,0)</f>
        <v>20750</v>
      </c>
      <c r="H565" s="320">
        <v>1</v>
      </c>
      <c r="I565" s="313" t="s">
        <v>18</v>
      </c>
      <c r="J565" s="40">
        <f>F565</f>
        <v>20750</v>
      </c>
      <c r="K565" s="314">
        <f>ROUND(H565*J565,0)</f>
        <v>20750</v>
      </c>
      <c r="L565" s="314">
        <f>ROUND(IF(K565&gt;G565,K565-G565,0),0)</f>
        <v>0</v>
      </c>
      <c r="M565" s="314">
        <f>ROUND(IF(K565&lt;G565,G565-K565,0),0)</f>
        <v>0</v>
      </c>
      <c r="N565" s="315" t="s">
        <v>302</v>
      </c>
      <c r="O565" s="321" t="s">
        <v>255</v>
      </c>
    </row>
    <row r="566" spans="1:15" s="321" customFormat="1" outlineLevel="1">
      <c r="A566" s="317"/>
      <c r="B566" s="317" t="str">
        <f t="shared" si="32"/>
        <v/>
      </c>
      <c r="C566" s="322" t="s">
        <v>384</v>
      </c>
      <c r="D566" s="317"/>
      <c r="E566" s="319"/>
      <c r="F566" s="5"/>
      <c r="G566" s="314"/>
      <c r="H566" s="320"/>
      <c r="I566" s="313"/>
      <c r="J566" s="40"/>
      <c r="K566" s="314"/>
      <c r="L566" s="314"/>
      <c r="M566" s="314"/>
      <c r="N566" s="315"/>
      <c r="O566" s="321" t="s">
        <v>255</v>
      </c>
    </row>
    <row r="567" spans="1:15" s="321" customFormat="1" ht="12.1" customHeight="1" outlineLevel="1">
      <c r="A567" s="313"/>
      <c r="B567" s="317" t="str">
        <f t="shared" si="32"/>
        <v/>
      </c>
      <c r="F567" s="40"/>
      <c r="G567" s="314"/>
      <c r="H567" s="320"/>
      <c r="I567" s="313"/>
      <c r="J567" s="40"/>
      <c r="K567" s="314"/>
      <c r="L567" s="314">
        <f t="shared" ref="L567:L615" si="33">ROUND(IF(K567&gt;G567,K567-G567,0),0)</f>
        <v>0</v>
      </c>
      <c r="M567" s="314">
        <f t="shared" ref="M567:M615" si="34">ROUND(IF(K567&lt;G567,G567-K567,0),0)</f>
        <v>0</v>
      </c>
      <c r="N567" s="315"/>
      <c r="O567" s="321" t="s">
        <v>255</v>
      </c>
    </row>
    <row r="568" spans="1:15" s="321" customFormat="1" ht="62.35" customHeight="1" outlineLevel="1">
      <c r="A568" s="317">
        <v>380</v>
      </c>
      <c r="B568" s="317" t="str">
        <f t="shared" si="32"/>
        <v>IVF380</v>
      </c>
      <c r="C568" s="318" t="s">
        <v>159</v>
      </c>
      <c r="D568" s="317">
        <v>4</v>
      </c>
      <c r="E568" s="319" t="s">
        <v>19</v>
      </c>
      <c r="F568" s="5">
        <v>2506</v>
      </c>
      <c r="G568" s="314">
        <f>ROUND(D568*F568,0)</f>
        <v>10024</v>
      </c>
      <c r="H568" s="320">
        <v>4</v>
      </c>
      <c r="I568" s="313" t="s">
        <v>19</v>
      </c>
      <c r="J568" s="40">
        <f>F568</f>
        <v>2506</v>
      </c>
      <c r="K568" s="314">
        <f>ROUND(H568*J568,0)</f>
        <v>10024</v>
      </c>
      <c r="L568" s="314">
        <f t="shared" si="33"/>
        <v>0</v>
      </c>
      <c r="M568" s="314">
        <f t="shared" si="34"/>
        <v>0</v>
      </c>
      <c r="N568" s="315" t="s">
        <v>302</v>
      </c>
      <c r="O568" s="321" t="s">
        <v>255</v>
      </c>
    </row>
    <row r="569" spans="1:15" s="321" customFormat="1" outlineLevel="1">
      <c r="A569" s="317"/>
      <c r="B569" s="317" t="str">
        <f t="shared" si="32"/>
        <v/>
      </c>
      <c r="C569" s="322" t="s">
        <v>384</v>
      </c>
      <c r="D569" s="317"/>
      <c r="E569" s="319"/>
      <c r="F569" s="5"/>
      <c r="G569" s="314"/>
      <c r="H569" s="320"/>
      <c r="I569" s="313"/>
      <c r="J569" s="40"/>
      <c r="K569" s="314"/>
      <c r="L569" s="314"/>
      <c r="M569" s="314"/>
      <c r="N569" s="315"/>
      <c r="O569" s="321" t="s">
        <v>255</v>
      </c>
    </row>
    <row r="570" spans="1:15" s="321" customFormat="1" ht="12.1" customHeight="1" outlineLevel="1">
      <c r="A570" s="313"/>
      <c r="B570" s="317" t="str">
        <f t="shared" si="32"/>
        <v/>
      </c>
      <c r="F570" s="40"/>
      <c r="G570" s="314"/>
      <c r="H570" s="320"/>
      <c r="I570" s="313"/>
      <c r="J570" s="40"/>
      <c r="K570" s="314"/>
      <c r="L570" s="314">
        <f t="shared" si="33"/>
        <v>0</v>
      </c>
      <c r="M570" s="314">
        <f t="shared" si="34"/>
        <v>0</v>
      </c>
      <c r="N570" s="315"/>
      <c r="O570" s="321" t="s">
        <v>255</v>
      </c>
    </row>
    <row r="571" spans="1:15" s="321" customFormat="1" ht="60.8" customHeight="1" outlineLevel="1">
      <c r="A571" s="317">
        <v>381</v>
      </c>
      <c r="B571" s="317" t="str">
        <f t="shared" si="32"/>
        <v>IVF381</v>
      </c>
      <c r="C571" s="318" t="s">
        <v>22</v>
      </c>
      <c r="D571" s="317">
        <v>4</v>
      </c>
      <c r="E571" s="319" t="s">
        <v>19</v>
      </c>
      <c r="F571" s="5">
        <v>1805</v>
      </c>
      <c r="G571" s="314">
        <f>ROUND(D571*F571,0)</f>
        <v>7220</v>
      </c>
      <c r="H571" s="320">
        <v>4</v>
      </c>
      <c r="I571" s="313" t="s">
        <v>19</v>
      </c>
      <c r="J571" s="40">
        <f>F571</f>
        <v>1805</v>
      </c>
      <c r="K571" s="314">
        <f>ROUND(H571*J571,0)</f>
        <v>7220</v>
      </c>
      <c r="L571" s="314">
        <f t="shared" si="33"/>
        <v>0</v>
      </c>
      <c r="M571" s="314">
        <f t="shared" si="34"/>
        <v>0</v>
      </c>
      <c r="N571" s="315" t="s">
        <v>302</v>
      </c>
      <c r="O571" s="321" t="s">
        <v>255</v>
      </c>
    </row>
    <row r="572" spans="1:15" s="321" customFormat="1" outlineLevel="1">
      <c r="A572" s="317"/>
      <c r="B572" s="317" t="str">
        <f t="shared" si="32"/>
        <v/>
      </c>
      <c r="C572" s="322" t="s">
        <v>384</v>
      </c>
      <c r="D572" s="317"/>
      <c r="E572" s="319"/>
      <c r="F572" s="5"/>
      <c r="G572" s="314"/>
      <c r="H572" s="320"/>
      <c r="I572" s="313"/>
      <c r="J572" s="40"/>
      <c r="K572" s="314"/>
      <c r="L572" s="314"/>
      <c r="M572" s="314"/>
      <c r="N572" s="315"/>
      <c r="O572" s="321" t="s">
        <v>255</v>
      </c>
    </row>
    <row r="573" spans="1:15" s="321" customFormat="1" ht="12.1" customHeight="1" outlineLevel="1">
      <c r="A573" s="313"/>
      <c r="B573" s="317" t="str">
        <f t="shared" si="32"/>
        <v/>
      </c>
      <c r="F573" s="40"/>
      <c r="G573" s="314"/>
      <c r="H573" s="320"/>
      <c r="I573" s="313"/>
      <c r="J573" s="40"/>
      <c r="K573" s="314"/>
      <c r="L573" s="314">
        <f t="shared" si="33"/>
        <v>0</v>
      </c>
      <c r="M573" s="314">
        <f t="shared" si="34"/>
        <v>0</v>
      </c>
      <c r="N573" s="315"/>
      <c r="O573" s="321" t="s">
        <v>255</v>
      </c>
    </row>
    <row r="574" spans="1:15" s="321" customFormat="1" ht="63" customHeight="1" outlineLevel="1">
      <c r="A574" s="317">
        <v>382</v>
      </c>
      <c r="B574" s="317" t="str">
        <f t="shared" si="32"/>
        <v>IVF382</v>
      </c>
      <c r="C574" s="318" t="s">
        <v>469</v>
      </c>
      <c r="D574" s="317">
        <v>1</v>
      </c>
      <c r="E574" s="319" t="s">
        <v>18</v>
      </c>
      <c r="F574" s="5">
        <v>13250</v>
      </c>
      <c r="G574" s="314">
        <f>ROUND(D574*F574,0)</f>
        <v>13250</v>
      </c>
      <c r="H574" s="320">
        <v>1</v>
      </c>
      <c r="I574" s="313" t="s">
        <v>18</v>
      </c>
      <c r="J574" s="40">
        <f>F574</f>
        <v>13250</v>
      </c>
      <c r="K574" s="314">
        <f>ROUND(H574*J574,0)</f>
        <v>13250</v>
      </c>
      <c r="L574" s="314">
        <f t="shared" si="33"/>
        <v>0</v>
      </c>
      <c r="M574" s="314">
        <f t="shared" si="34"/>
        <v>0</v>
      </c>
      <c r="N574" s="315" t="s">
        <v>302</v>
      </c>
      <c r="O574" s="321" t="s">
        <v>255</v>
      </c>
    </row>
    <row r="575" spans="1:15" s="321" customFormat="1" outlineLevel="1">
      <c r="A575" s="317"/>
      <c r="B575" s="317" t="str">
        <f t="shared" si="32"/>
        <v/>
      </c>
      <c r="C575" s="342" t="s">
        <v>384</v>
      </c>
      <c r="D575" s="317"/>
      <c r="E575" s="319"/>
      <c r="F575" s="5"/>
      <c r="G575" s="314"/>
      <c r="H575" s="320"/>
      <c r="I575" s="313"/>
      <c r="J575" s="40"/>
      <c r="K575" s="314"/>
      <c r="L575" s="314"/>
      <c r="M575" s="314"/>
      <c r="N575" s="315"/>
      <c r="O575" s="321" t="s">
        <v>255</v>
      </c>
    </row>
    <row r="576" spans="1:15" s="321" customFormat="1" ht="12.1" customHeight="1" outlineLevel="1">
      <c r="A576" s="313"/>
      <c r="B576" s="317" t="str">
        <f t="shared" si="32"/>
        <v/>
      </c>
      <c r="F576" s="40"/>
      <c r="G576" s="314"/>
      <c r="H576" s="320"/>
      <c r="I576" s="313"/>
      <c r="J576" s="40"/>
      <c r="K576" s="314"/>
      <c r="L576" s="314">
        <f t="shared" si="33"/>
        <v>0</v>
      </c>
      <c r="M576" s="314">
        <f t="shared" si="34"/>
        <v>0</v>
      </c>
      <c r="N576" s="315"/>
      <c r="O576" s="321" t="s">
        <v>255</v>
      </c>
    </row>
    <row r="577" spans="1:15" s="321" customFormat="1" ht="63" customHeight="1" outlineLevel="1">
      <c r="A577" s="317">
        <v>383</v>
      </c>
      <c r="B577" s="317" t="str">
        <f t="shared" si="32"/>
        <v>IVF383</v>
      </c>
      <c r="C577" s="318" t="s">
        <v>468</v>
      </c>
      <c r="D577" s="317">
        <v>4</v>
      </c>
      <c r="E577" s="319" t="s">
        <v>19</v>
      </c>
      <c r="F577" s="5">
        <v>2506</v>
      </c>
      <c r="G577" s="314">
        <f>ROUND(D577*F577,0)</f>
        <v>10024</v>
      </c>
      <c r="H577" s="320">
        <v>4</v>
      </c>
      <c r="I577" s="313" t="s">
        <v>19</v>
      </c>
      <c r="J577" s="40">
        <f>F577</f>
        <v>2506</v>
      </c>
      <c r="K577" s="314">
        <f>ROUND(H577*J577,0)</f>
        <v>10024</v>
      </c>
      <c r="L577" s="314">
        <f t="shared" si="33"/>
        <v>0</v>
      </c>
      <c r="M577" s="314">
        <f t="shared" si="34"/>
        <v>0</v>
      </c>
      <c r="N577" s="315" t="s">
        <v>302</v>
      </c>
      <c r="O577" s="321" t="s">
        <v>255</v>
      </c>
    </row>
    <row r="578" spans="1:15" s="321" customFormat="1" outlineLevel="1">
      <c r="A578" s="317"/>
      <c r="B578" s="317" t="str">
        <f t="shared" si="32"/>
        <v/>
      </c>
      <c r="C578" s="322" t="s">
        <v>384</v>
      </c>
      <c r="D578" s="317"/>
      <c r="E578" s="319"/>
      <c r="F578" s="5"/>
      <c r="G578" s="314"/>
      <c r="H578" s="320"/>
      <c r="I578" s="313"/>
      <c r="J578" s="40"/>
      <c r="K578" s="314"/>
      <c r="L578" s="314"/>
      <c r="M578" s="314"/>
      <c r="N578" s="315"/>
      <c r="O578" s="321" t="s">
        <v>255</v>
      </c>
    </row>
    <row r="579" spans="1:15" s="321" customFormat="1" ht="12.1" customHeight="1" outlineLevel="1">
      <c r="A579" s="313"/>
      <c r="B579" s="317" t="str">
        <f t="shared" si="32"/>
        <v/>
      </c>
      <c r="F579" s="40"/>
      <c r="G579" s="314"/>
      <c r="H579" s="320"/>
      <c r="I579" s="313"/>
      <c r="J579" s="40"/>
      <c r="K579" s="314"/>
      <c r="L579" s="314">
        <f t="shared" si="33"/>
        <v>0</v>
      </c>
      <c r="M579" s="314">
        <f t="shared" si="34"/>
        <v>0</v>
      </c>
      <c r="N579" s="315"/>
      <c r="O579" s="321" t="s">
        <v>255</v>
      </c>
    </row>
    <row r="580" spans="1:15" s="321" customFormat="1" ht="93.1" customHeight="1" outlineLevel="1">
      <c r="A580" s="317">
        <v>384</v>
      </c>
      <c r="B580" s="317" t="str">
        <f t="shared" si="32"/>
        <v>IVF384</v>
      </c>
      <c r="C580" s="318" t="s">
        <v>160</v>
      </c>
      <c r="D580" s="317">
        <v>1</v>
      </c>
      <c r="E580" s="319" t="s">
        <v>18</v>
      </c>
      <c r="F580" s="5">
        <v>20750</v>
      </c>
      <c r="G580" s="314">
        <f>ROUND(D580*F580,0)</f>
        <v>20750</v>
      </c>
      <c r="H580" s="320">
        <v>1</v>
      </c>
      <c r="I580" s="313" t="s">
        <v>18</v>
      </c>
      <c r="J580" s="40">
        <f>F580</f>
        <v>20750</v>
      </c>
      <c r="K580" s="314">
        <f>ROUND(H580*J580,0)</f>
        <v>20750</v>
      </c>
      <c r="L580" s="314">
        <f t="shared" si="33"/>
        <v>0</v>
      </c>
      <c r="M580" s="314">
        <f t="shared" si="34"/>
        <v>0</v>
      </c>
      <c r="N580" s="332" t="s">
        <v>608</v>
      </c>
      <c r="O580" s="321" t="s">
        <v>255</v>
      </c>
    </row>
    <row r="581" spans="1:15" s="321" customFormat="1" outlineLevel="1">
      <c r="A581" s="317"/>
      <c r="B581" s="317" t="str">
        <f t="shared" si="32"/>
        <v/>
      </c>
      <c r="C581" s="308" t="s">
        <v>30</v>
      </c>
      <c r="D581" s="317"/>
      <c r="E581" s="319"/>
      <c r="F581" s="5"/>
      <c r="G581" s="314"/>
      <c r="H581" s="320">
        <v>1</v>
      </c>
      <c r="I581" s="313" t="s">
        <v>18</v>
      </c>
      <c r="J581" s="40">
        <f>J580</f>
        <v>20750</v>
      </c>
      <c r="K581" s="314">
        <f>ROUND(H581*J581,0)</f>
        <v>20750</v>
      </c>
      <c r="L581" s="314">
        <f>ROUND(IF(K581&gt;G581,K581-G581,0),0)</f>
        <v>20750</v>
      </c>
      <c r="M581" s="314">
        <f>ROUND(IF(K581&lt;G581,G581-K581,0),0)</f>
        <v>0</v>
      </c>
      <c r="N581" s="332"/>
      <c r="O581" s="321" t="s">
        <v>255</v>
      </c>
    </row>
    <row r="582" spans="1:15" s="321" customFormat="1" outlineLevel="1">
      <c r="A582" s="317"/>
      <c r="B582" s="317" t="str">
        <f t="shared" si="32"/>
        <v/>
      </c>
      <c r="C582" s="322" t="s">
        <v>384</v>
      </c>
      <c r="D582" s="317"/>
      <c r="E582" s="319"/>
      <c r="F582" s="5"/>
      <c r="G582" s="314"/>
      <c r="H582" s="320"/>
      <c r="I582" s="313"/>
      <c r="J582" s="40"/>
      <c r="K582" s="314"/>
      <c r="L582" s="314"/>
      <c r="M582" s="314"/>
      <c r="N582" s="315"/>
      <c r="O582" s="321" t="s">
        <v>255</v>
      </c>
    </row>
    <row r="583" spans="1:15" s="321" customFormat="1" ht="12.1" customHeight="1" outlineLevel="1">
      <c r="A583" s="313"/>
      <c r="B583" s="317" t="str">
        <f t="shared" si="32"/>
        <v/>
      </c>
      <c r="F583" s="40"/>
      <c r="G583" s="314"/>
      <c r="H583" s="320"/>
      <c r="I583" s="313"/>
      <c r="J583" s="40"/>
      <c r="K583" s="314"/>
      <c r="L583" s="314">
        <f t="shared" si="33"/>
        <v>0</v>
      </c>
      <c r="M583" s="314">
        <f t="shared" si="34"/>
        <v>0</v>
      </c>
      <c r="N583" s="315"/>
      <c r="O583" s="321" t="s">
        <v>255</v>
      </c>
    </row>
    <row r="584" spans="1:15" s="321" customFormat="1" ht="73.900000000000006" customHeight="1" outlineLevel="1">
      <c r="A584" s="317">
        <v>385</v>
      </c>
      <c r="B584" s="317" t="str">
        <f t="shared" si="32"/>
        <v>IVF385</v>
      </c>
      <c r="C584" s="318" t="s">
        <v>161</v>
      </c>
      <c r="D584" s="317">
        <v>4</v>
      </c>
      <c r="E584" s="319" t="s">
        <v>19</v>
      </c>
      <c r="F584" s="5">
        <v>2506</v>
      </c>
      <c r="G584" s="314">
        <f>ROUND(D584*F584,0)</f>
        <v>10024</v>
      </c>
      <c r="H584" s="320">
        <v>4</v>
      </c>
      <c r="I584" s="313" t="s">
        <v>19</v>
      </c>
      <c r="J584" s="40">
        <f>F584</f>
        <v>2506</v>
      </c>
      <c r="K584" s="314">
        <f>ROUND(H584*J584,0)</f>
        <v>10024</v>
      </c>
      <c r="L584" s="314">
        <f t="shared" si="33"/>
        <v>0</v>
      </c>
      <c r="M584" s="314">
        <f t="shared" si="34"/>
        <v>0</v>
      </c>
      <c r="N584" s="315" t="s">
        <v>302</v>
      </c>
      <c r="O584" s="321" t="s">
        <v>255</v>
      </c>
    </row>
    <row r="585" spans="1:15" s="321" customFormat="1" outlineLevel="1">
      <c r="A585" s="317"/>
      <c r="B585" s="317" t="str">
        <f t="shared" si="32"/>
        <v/>
      </c>
      <c r="C585" s="322" t="s">
        <v>385</v>
      </c>
      <c r="D585" s="317"/>
      <c r="E585" s="319"/>
      <c r="F585" s="5"/>
      <c r="G585" s="314"/>
      <c r="H585" s="320"/>
      <c r="I585" s="313"/>
      <c r="J585" s="40"/>
      <c r="K585" s="314"/>
      <c r="L585" s="314"/>
      <c r="M585" s="314"/>
      <c r="N585" s="315"/>
      <c r="O585" s="321" t="s">
        <v>255</v>
      </c>
    </row>
    <row r="586" spans="1:15" s="321" customFormat="1" ht="12.1" customHeight="1" outlineLevel="1">
      <c r="A586" s="313"/>
      <c r="B586" s="317" t="str">
        <f t="shared" si="32"/>
        <v/>
      </c>
      <c r="F586" s="40"/>
      <c r="G586" s="314"/>
      <c r="H586" s="320"/>
      <c r="I586" s="313"/>
      <c r="J586" s="40"/>
      <c r="K586" s="314"/>
      <c r="L586" s="314">
        <f t="shared" si="33"/>
        <v>0</v>
      </c>
      <c r="M586" s="314">
        <f t="shared" si="34"/>
        <v>0</v>
      </c>
      <c r="N586" s="315"/>
      <c r="O586" s="321" t="s">
        <v>255</v>
      </c>
    </row>
    <row r="587" spans="1:15" s="321" customFormat="1" ht="62.35" customHeight="1" outlineLevel="1">
      <c r="A587" s="317">
        <v>386</v>
      </c>
      <c r="B587" s="317" t="str">
        <f t="shared" ref="B587:B615" si="35">IF(ISBLANK(A587), "","IVF"&amp;A587)</f>
        <v>IVF386</v>
      </c>
      <c r="C587" s="318" t="s">
        <v>162</v>
      </c>
      <c r="D587" s="317">
        <v>24</v>
      </c>
      <c r="E587" s="319" t="s">
        <v>14</v>
      </c>
      <c r="F587" s="5">
        <v>642</v>
      </c>
      <c r="G587" s="314">
        <f>ROUND(D587*F587,0)</f>
        <v>15408</v>
      </c>
      <c r="H587" s="320">
        <v>21.7</v>
      </c>
      <c r="I587" s="313" t="s">
        <v>14</v>
      </c>
      <c r="J587" s="40">
        <f>F587</f>
        <v>642</v>
      </c>
      <c r="K587" s="314">
        <f>ROUND(H587*J587,0)</f>
        <v>13931</v>
      </c>
      <c r="L587" s="314">
        <f t="shared" si="33"/>
        <v>0</v>
      </c>
      <c r="M587" s="314">
        <f t="shared" si="34"/>
        <v>1477</v>
      </c>
      <c r="N587" s="315" t="s">
        <v>410</v>
      </c>
      <c r="O587" s="321" t="s">
        <v>255</v>
      </c>
    </row>
    <row r="588" spans="1:15" s="321" customFormat="1" outlineLevel="1">
      <c r="A588" s="317"/>
      <c r="B588" s="317" t="str">
        <f t="shared" si="35"/>
        <v/>
      </c>
      <c r="C588" s="322" t="s">
        <v>385</v>
      </c>
      <c r="D588" s="317"/>
      <c r="E588" s="319"/>
      <c r="F588" s="5"/>
      <c r="G588" s="314"/>
      <c r="H588" s="320"/>
      <c r="I588" s="313"/>
      <c r="J588" s="40"/>
      <c r="K588" s="314"/>
      <c r="L588" s="314"/>
      <c r="M588" s="314"/>
      <c r="N588" s="315"/>
      <c r="O588" s="321" t="s">
        <v>255</v>
      </c>
    </row>
    <row r="589" spans="1:15" s="321" customFormat="1" ht="12.1" customHeight="1" outlineLevel="1">
      <c r="A589" s="313"/>
      <c r="B589" s="317" t="str">
        <f t="shared" si="35"/>
        <v/>
      </c>
      <c r="F589" s="40"/>
      <c r="G589" s="314"/>
      <c r="H589" s="320"/>
      <c r="I589" s="313"/>
      <c r="J589" s="40"/>
      <c r="K589" s="314"/>
      <c r="L589" s="314">
        <f t="shared" si="33"/>
        <v>0</v>
      </c>
      <c r="M589" s="314">
        <f t="shared" si="34"/>
        <v>0</v>
      </c>
      <c r="N589" s="315"/>
      <c r="O589" s="321" t="s">
        <v>255</v>
      </c>
    </row>
    <row r="590" spans="1:15" s="321" customFormat="1" ht="73.55" customHeight="1" outlineLevel="1">
      <c r="A590" s="317">
        <v>387</v>
      </c>
      <c r="B590" s="317" t="str">
        <f t="shared" si="35"/>
        <v>IVF387</v>
      </c>
      <c r="C590" s="318" t="s">
        <v>163</v>
      </c>
      <c r="D590" s="317">
        <v>114</v>
      </c>
      <c r="E590" s="319" t="s">
        <v>14</v>
      </c>
      <c r="F590" s="5">
        <v>824</v>
      </c>
      <c r="G590" s="314">
        <f>ROUND(D590*F590,0)</f>
        <v>93936</v>
      </c>
      <c r="H590" s="320">
        <v>114</v>
      </c>
      <c r="I590" s="313" t="s">
        <v>14</v>
      </c>
      <c r="J590" s="40">
        <f>F590</f>
        <v>824</v>
      </c>
      <c r="K590" s="314">
        <f>ROUND(H590*J590,0)</f>
        <v>93936</v>
      </c>
      <c r="L590" s="314">
        <f t="shared" si="33"/>
        <v>0</v>
      </c>
      <c r="M590" s="314">
        <f t="shared" si="34"/>
        <v>0</v>
      </c>
      <c r="N590" s="315" t="s">
        <v>310</v>
      </c>
      <c r="O590" s="321" t="s">
        <v>255</v>
      </c>
    </row>
    <row r="591" spans="1:15" s="321" customFormat="1" outlineLevel="1">
      <c r="A591" s="313"/>
      <c r="B591" s="317" t="str">
        <f t="shared" si="35"/>
        <v/>
      </c>
      <c r="C591" s="327" t="s">
        <v>30</v>
      </c>
      <c r="F591" s="40"/>
      <c r="G591" s="314"/>
      <c r="H591" s="320">
        <f>201.23-H590</f>
        <v>87.22999999999999</v>
      </c>
      <c r="I591" s="313" t="s">
        <v>14</v>
      </c>
      <c r="J591" s="40">
        <f>J590</f>
        <v>824</v>
      </c>
      <c r="K591" s="314">
        <f>ROUND(H591*J591,0)</f>
        <v>71878</v>
      </c>
      <c r="L591" s="314">
        <f t="shared" si="33"/>
        <v>71878</v>
      </c>
      <c r="M591" s="314">
        <f t="shared" si="34"/>
        <v>0</v>
      </c>
      <c r="N591" s="315"/>
      <c r="O591" s="321" t="s">
        <v>255</v>
      </c>
    </row>
    <row r="592" spans="1:15" s="321" customFormat="1" outlineLevel="1">
      <c r="A592" s="313"/>
      <c r="B592" s="317" t="str">
        <f t="shared" si="35"/>
        <v/>
      </c>
      <c r="C592" s="323" t="s">
        <v>385</v>
      </c>
      <c r="F592" s="40"/>
      <c r="G592" s="314"/>
      <c r="H592" s="320"/>
      <c r="I592" s="313"/>
      <c r="J592" s="40"/>
      <c r="K592" s="314"/>
      <c r="L592" s="314"/>
      <c r="M592" s="314"/>
      <c r="N592" s="315"/>
      <c r="O592" s="321" t="s">
        <v>255</v>
      </c>
    </row>
    <row r="593" spans="1:15" s="321" customFormat="1" ht="12.1" customHeight="1" outlineLevel="1">
      <c r="A593" s="313"/>
      <c r="B593" s="317" t="str">
        <f t="shared" si="35"/>
        <v/>
      </c>
      <c r="C593" s="323"/>
      <c r="F593" s="40"/>
      <c r="G593" s="314"/>
      <c r="H593" s="320"/>
      <c r="I593" s="313"/>
      <c r="J593" s="40"/>
      <c r="K593" s="314"/>
      <c r="L593" s="314"/>
      <c r="M593" s="314"/>
      <c r="N593" s="315"/>
      <c r="O593" s="321" t="s">
        <v>255</v>
      </c>
    </row>
    <row r="594" spans="1:15" s="321" customFormat="1" ht="78.150000000000006" outlineLevel="1">
      <c r="A594" s="317">
        <v>388</v>
      </c>
      <c r="B594" s="317" t="str">
        <f t="shared" si="35"/>
        <v>IVF388</v>
      </c>
      <c r="C594" s="318" t="s">
        <v>164</v>
      </c>
      <c r="D594" s="317">
        <v>36</v>
      </c>
      <c r="E594" s="319" t="s">
        <v>14</v>
      </c>
      <c r="F594" s="5">
        <v>1191</v>
      </c>
      <c r="G594" s="314">
        <f>ROUND(D594*F594,0)</f>
        <v>42876</v>
      </c>
      <c r="H594" s="320">
        <v>36</v>
      </c>
      <c r="I594" s="313" t="s">
        <v>14</v>
      </c>
      <c r="J594" s="40">
        <f>F594</f>
        <v>1191</v>
      </c>
      <c r="K594" s="314">
        <f>ROUND(H594*J594,0)</f>
        <v>42876</v>
      </c>
      <c r="L594" s="314">
        <f t="shared" si="33"/>
        <v>0</v>
      </c>
      <c r="M594" s="314">
        <f t="shared" si="34"/>
        <v>0</v>
      </c>
      <c r="N594" s="315" t="s">
        <v>310</v>
      </c>
      <c r="O594" s="321" t="s">
        <v>255</v>
      </c>
    </row>
    <row r="595" spans="1:15" s="321" customFormat="1" outlineLevel="1">
      <c r="A595" s="313"/>
      <c r="B595" s="317" t="str">
        <f t="shared" si="35"/>
        <v/>
      </c>
      <c r="C595" s="327" t="s">
        <v>30</v>
      </c>
      <c r="F595" s="40"/>
      <c r="G595" s="314"/>
      <c r="H595" s="320">
        <f>78.65-H594</f>
        <v>42.650000000000006</v>
      </c>
      <c r="I595" s="313" t="s">
        <v>14</v>
      </c>
      <c r="J595" s="40">
        <f>J594</f>
        <v>1191</v>
      </c>
      <c r="K595" s="314">
        <f>ROUND(H595*J595,0)</f>
        <v>50796</v>
      </c>
      <c r="L595" s="314">
        <f t="shared" si="33"/>
        <v>50796</v>
      </c>
      <c r="M595" s="314">
        <f t="shared" si="34"/>
        <v>0</v>
      </c>
      <c r="N595" s="315"/>
      <c r="O595" s="321" t="s">
        <v>255</v>
      </c>
    </row>
    <row r="596" spans="1:15" s="321" customFormat="1" outlineLevel="1">
      <c r="A596" s="313"/>
      <c r="B596" s="317" t="str">
        <f t="shared" si="35"/>
        <v/>
      </c>
      <c r="C596" s="323" t="s">
        <v>385</v>
      </c>
      <c r="F596" s="40"/>
      <c r="G596" s="314"/>
      <c r="H596" s="320"/>
      <c r="I596" s="313"/>
      <c r="J596" s="40"/>
      <c r="K596" s="314"/>
      <c r="L596" s="314"/>
      <c r="M596" s="314"/>
      <c r="N596" s="315"/>
      <c r="O596" s="321" t="s">
        <v>255</v>
      </c>
    </row>
    <row r="597" spans="1:15" s="321" customFormat="1" ht="12.1" customHeight="1" outlineLevel="1">
      <c r="A597" s="313"/>
      <c r="B597" s="317" t="str">
        <f t="shared" si="35"/>
        <v/>
      </c>
      <c r="C597" s="323"/>
      <c r="F597" s="40"/>
      <c r="G597" s="314"/>
      <c r="H597" s="320"/>
      <c r="I597" s="313"/>
      <c r="J597" s="40"/>
      <c r="K597" s="314"/>
      <c r="L597" s="314"/>
      <c r="M597" s="314"/>
      <c r="N597" s="315"/>
      <c r="O597" s="321" t="s">
        <v>255</v>
      </c>
    </row>
    <row r="598" spans="1:15" s="321" customFormat="1" ht="62.5" outlineLevel="1">
      <c r="A598" s="317">
        <v>389</v>
      </c>
      <c r="B598" s="317" t="str">
        <f t="shared" si="35"/>
        <v>IVF389</v>
      </c>
      <c r="C598" s="318" t="s">
        <v>165</v>
      </c>
      <c r="D598" s="317">
        <v>18</v>
      </c>
      <c r="E598" s="319" t="s">
        <v>14</v>
      </c>
      <c r="F598" s="5">
        <v>1473</v>
      </c>
      <c r="G598" s="314">
        <f>ROUND(D598*F598,0)</f>
        <v>26514</v>
      </c>
      <c r="H598" s="320">
        <v>0</v>
      </c>
      <c r="I598" s="313" t="s">
        <v>14</v>
      </c>
      <c r="J598" s="40">
        <f>F598</f>
        <v>1473</v>
      </c>
      <c r="K598" s="314"/>
      <c r="L598" s="314">
        <f t="shared" si="33"/>
        <v>0</v>
      </c>
      <c r="M598" s="314">
        <f t="shared" si="34"/>
        <v>26514</v>
      </c>
      <c r="N598" s="315" t="s">
        <v>393</v>
      </c>
      <c r="O598" s="321" t="s">
        <v>255</v>
      </c>
    </row>
    <row r="599" spans="1:15" s="321" customFormat="1" ht="12.1" customHeight="1" outlineLevel="1">
      <c r="A599" s="313"/>
      <c r="B599" s="317" t="str">
        <f t="shared" si="35"/>
        <v/>
      </c>
      <c r="F599" s="40"/>
      <c r="G599" s="314"/>
      <c r="H599" s="320"/>
      <c r="I599" s="313"/>
      <c r="J599" s="40"/>
      <c r="K599" s="314"/>
      <c r="L599" s="314">
        <f t="shared" si="33"/>
        <v>0</v>
      </c>
      <c r="M599" s="314">
        <f t="shared" si="34"/>
        <v>0</v>
      </c>
      <c r="N599" s="315"/>
      <c r="O599" s="321" t="s">
        <v>255</v>
      </c>
    </row>
    <row r="600" spans="1:15" s="321" customFormat="1" ht="63.7" customHeight="1" outlineLevel="1">
      <c r="A600" s="317">
        <v>390</v>
      </c>
      <c r="B600" s="317" t="str">
        <f t="shared" si="35"/>
        <v>IVF390</v>
      </c>
      <c r="C600" s="318" t="s">
        <v>470</v>
      </c>
      <c r="D600" s="317">
        <v>1</v>
      </c>
      <c r="E600" s="319" t="s">
        <v>166</v>
      </c>
      <c r="F600" s="5">
        <v>275000</v>
      </c>
      <c r="G600" s="314">
        <f>ROUND(D600*F600,0)</f>
        <v>275000</v>
      </c>
      <c r="H600" s="320">
        <v>1</v>
      </c>
      <c r="I600" s="313" t="s">
        <v>19</v>
      </c>
      <c r="J600" s="40">
        <f>F600</f>
        <v>275000</v>
      </c>
      <c r="K600" s="314">
        <f>ROUND(H600*J600,0)</f>
        <v>275000</v>
      </c>
      <c r="L600" s="314">
        <f t="shared" si="33"/>
        <v>0</v>
      </c>
      <c r="M600" s="314">
        <f t="shared" si="34"/>
        <v>0</v>
      </c>
      <c r="N600" s="315" t="s">
        <v>302</v>
      </c>
      <c r="O600" s="321" t="s">
        <v>255</v>
      </c>
    </row>
    <row r="601" spans="1:15" s="321" customFormat="1" outlineLevel="1">
      <c r="A601" s="317"/>
      <c r="B601" s="317" t="str">
        <f t="shared" si="35"/>
        <v/>
      </c>
      <c r="C601" s="322" t="s">
        <v>386</v>
      </c>
      <c r="D601" s="317"/>
      <c r="E601" s="319"/>
      <c r="F601" s="5"/>
      <c r="G601" s="314"/>
      <c r="H601" s="320"/>
      <c r="I601" s="313"/>
      <c r="J601" s="40"/>
      <c r="K601" s="314"/>
      <c r="L601" s="314"/>
      <c r="M601" s="314"/>
      <c r="N601" s="315"/>
      <c r="O601" s="321" t="s">
        <v>255</v>
      </c>
    </row>
    <row r="602" spans="1:15" s="321" customFormat="1" ht="12.1" customHeight="1" outlineLevel="1">
      <c r="A602" s="313"/>
      <c r="B602" s="317" t="str">
        <f t="shared" si="35"/>
        <v/>
      </c>
      <c r="F602" s="40"/>
      <c r="G602" s="314"/>
      <c r="H602" s="320"/>
      <c r="I602" s="313"/>
      <c r="J602" s="40"/>
      <c r="K602" s="314"/>
      <c r="L602" s="314">
        <f t="shared" si="33"/>
        <v>0</v>
      </c>
      <c r="M602" s="314">
        <f t="shared" si="34"/>
        <v>0</v>
      </c>
      <c r="N602" s="315"/>
      <c r="O602" s="321" t="s">
        <v>255</v>
      </c>
    </row>
    <row r="603" spans="1:15" s="321" customFormat="1" ht="77.3" customHeight="1" outlineLevel="1">
      <c r="A603" s="317">
        <v>391</v>
      </c>
      <c r="B603" s="317" t="str">
        <f t="shared" si="35"/>
        <v>IVF391</v>
      </c>
      <c r="C603" s="318" t="s">
        <v>471</v>
      </c>
      <c r="D603" s="317">
        <v>1</v>
      </c>
      <c r="E603" s="319" t="s">
        <v>19</v>
      </c>
      <c r="F603" s="5">
        <v>375000</v>
      </c>
      <c r="G603" s="314">
        <f>ROUND(D603*F603,0)</f>
        <v>375000</v>
      </c>
      <c r="H603" s="320">
        <v>1</v>
      </c>
      <c r="I603" s="313" t="s">
        <v>19</v>
      </c>
      <c r="J603" s="40">
        <f>F603</f>
        <v>375000</v>
      </c>
      <c r="K603" s="314">
        <f>ROUND(H603*J603,0)</f>
        <v>375000</v>
      </c>
      <c r="L603" s="314">
        <f t="shared" si="33"/>
        <v>0</v>
      </c>
      <c r="M603" s="314">
        <f t="shared" si="34"/>
        <v>0</v>
      </c>
      <c r="N603" s="315" t="s">
        <v>302</v>
      </c>
      <c r="O603" s="321" t="s">
        <v>255</v>
      </c>
    </row>
    <row r="604" spans="1:15" s="321" customFormat="1" outlineLevel="1">
      <c r="A604" s="317"/>
      <c r="B604" s="317" t="str">
        <f t="shared" si="35"/>
        <v/>
      </c>
      <c r="C604" s="322" t="s">
        <v>386</v>
      </c>
      <c r="D604" s="317"/>
      <c r="E604" s="319"/>
      <c r="F604" s="5"/>
      <c r="G604" s="314"/>
      <c r="H604" s="320"/>
      <c r="I604" s="313"/>
      <c r="J604" s="40"/>
      <c r="K604" s="314"/>
      <c r="L604" s="314"/>
      <c r="M604" s="314"/>
      <c r="N604" s="315"/>
      <c r="O604" s="321" t="s">
        <v>255</v>
      </c>
    </row>
    <row r="605" spans="1:15" s="321" customFormat="1" ht="12.1" customHeight="1" outlineLevel="1">
      <c r="A605" s="313"/>
      <c r="B605" s="317" t="str">
        <f t="shared" si="35"/>
        <v/>
      </c>
      <c r="F605" s="40"/>
      <c r="G605" s="314"/>
      <c r="H605" s="320"/>
      <c r="I605" s="313"/>
      <c r="J605" s="40"/>
      <c r="K605" s="314"/>
      <c r="L605" s="314">
        <f t="shared" si="33"/>
        <v>0</v>
      </c>
      <c r="M605" s="314">
        <f t="shared" si="34"/>
        <v>0</v>
      </c>
      <c r="N605" s="315"/>
      <c r="O605" s="321" t="s">
        <v>255</v>
      </c>
    </row>
    <row r="606" spans="1:15" s="321" customFormat="1" ht="60.8" customHeight="1" outlineLevel="1">
      <c r="A606" s="317">
        <v>392</v>
      </c>
      <c r="B606" s="317" t="str">
        <f t="shared" si="35"/>
        <v>IVF392</v>
      </c>
      <c r="C606" s="318" t="s">
        <v>167</v>
      </c>
      <c r="D606" s="317">
        <v>3</v>
      </c>
      <c r="E606" s="319" t="s">
        <v>19</v>
      </c>
      <c r="F606" s="5">
        <v>1938</v>
      </c>
      <c r="G606" s="314">
        <f>ROUND(D606*F606,0)</f>
        <v>5814</v>
      </c>
      <c r="H606" s="320">
        <v>3</v>
      </c>
      <c r="I606" s="313" t="s">
        <v>19</v>
      </c>
      <c r="J606" s="40">
        <f>F606</f>
        <v>1938</v>
      </c>
      <c r="K606" s="314">
        <f>ROUND(H606*J606,0)</f>
        <v>5814</v>
      </c>
      <c r="L606" s="314">
        <f t="shared" si="33"/>
        <v>0</v>
      </c>
      <c r="M606" s="314">
        <f t="shared" si="34"/>
        <v>0</v>
      </c>
      <c r="N606" s="315" t="s">
        <v>302</v>
      </c>
      <c r="O606" s="321" t="s">
        <v>255</v>
      </c>
    </row>
    <row r="607" spans="1:15" s="321" customFormat="1" outlineLevel="1">
      <c r="A607" s="317"/>
      <c r="B607" s="317" t="str">
        <f t="shared" si="35"/>
        <v/>
      </c>
      <c r="C607" s="322" t="s">
        <v>386</v>
      </c>
      <c r="D607" s="317"/>
      <c r="E607" s="319"/>
      <c r="F607" s="5"/>
      <c r="G607" s="314"/>
      <c r="H607" s="320"/>
      <c r="I607" s="313"/>
      <c r="J607" s="40"/>
      <c r="K607" s="314"/>
      <c r="L607" s="314"/>
      <c r="M607" s="314"/>
      <c r="N607" s="315"/>
      <c r="O607" s="321" t="s">
        <v>255</v>
      </c>
    </row>
    <row r="608" spans="1:15" s="321" customFormat="1" ht="12.1" customHeight="1" outlineLevel="1">
      <c r="A608" s="313"/>
      <c r="B608" s="317" t="str">
        <f t="shared" si="35"/>
        <v/>
      </c>
      <c r="F608" s="40"/>
      <c r="G608" s="314"/>
      <c r="H608" s="320"/>
      <c r="I608" s="313"/>
      <c r="J608" s="40"/>
      <c r="K608" s="314"/>
      <c r="L608" s="314">
        <f t="shared" si="33"/>
        <v>0</v>
      </c>
      <c r="M608" s="314">
        <f t="shared" si="34"/>
        <v>0</v>
      </c>
      <c r="N608" s="315"/>
      <c r="O608" s="321" t="s">
        <v>255</v>
      </c>
    </row>
    <row r="609" spans="1:17" s="321" customFormat="1" ht="63.7" customHeight="1" outlineLevel="1">
      <c r="A609" s="317">
        <v>393</v>
      </c>
      <c r="B609" s="317" t="str">
        <f t="shared" si="35"/>
        <v>IVF393</v>
      </c>
      <c r="C609" s="318" t="s">
        <v>168</v>
      </c>
      <c r="D609" s="317">
        <v>3</v>
      </c>
      <c r="E609" s="319" t="s">
        <v>19</v>
      </c>
      <c r="F609" s="5">
        <v>2740</v>
      </c>
      <c r="G609" s="314">
        <f>ROUND(D609*F609,0)</f>
        <v>8220</v>
      </c>
      <c r="H609" s="320">
        <v>3</v>
      </c>
      <c r="I609" s="313" t="s">
        <v>19</v>
      </c>
      <c r="J609" s="40">
        <f>F609</f>
        <v>2740</v>
      </c>
      <c r="K609" s="314">
        <f>ROUND(H609*J609,0)</f>
        <v>8220</v>
      </c>
      <c r="L609" s="314">
        <f t="shared" si="33"/>
        <v>0</v>
      </c>
      <c r="M609" s="314">
        <f t="shared" si="34"/>
        <v>0</v>
      </c>
      <c r="N609" s="315" t="s">
        <v>302</v>
      </c>
      <c r="O609" s="321" t="s">
        <v>255</v>
      </c>
    </row>
    <row r="610" spans="1:17" s="321" customFormat="1" outlineLevel="1">
      <c r="A610" s="317"/>
      <c r="B610" s="317" t="str">
        <f t="shared" si="35"/>
        <v/>
      </c>
      <c r="C610" s="322" t="s">
        <v>386</v>
      </c>
      <c r="D610" s="317"/>
      <c r="E610" s="319"/>
      <c r="F610" s="5"/>
      <c r="G610" s="314"/>
      <c r="H610" s="320"/>
      <c r="I610" s="313"/>
      <c r="J610" s="40"/>
      <c r="K610" s="314"/>
      <c r="L610" s="314"/>
      <c r="M610" s="314"/>
      <c r="N610" s="315"/>
      <c r="O610" s="321" t="s">
        <v>255</v>
      </c>
    </row>
    <row r="611" spans="1:17" s="321" customFormat="1" ht="12.1" customHeight="1" outlineLevel="1">
      <c r="A611" s="313"/>
      <c r="B611" s="317" t="str">
        <f t="shared" si="35"/>
        <v/>
      </c>
      <c r="F611" s="40"/>
      <c r="G611" s="314"/>
      <c r="H611" s="320"/>
      <c r="I611" s="313"/>
      <c r="J611" s="40"/>
      <c r="K611" s="314"/>
      <c r="L611" s="314">
        <f t="shared" si="33"/>
        <v>0</v>
      </c>
      <c r="M611" s="314">
        <f t="shared" si="34"/>
        <v>0</v>
      </c>
      <c r="N611" s="315"/>
      <c r="O611" s="321" t="s">
        <v>255</v>
      </c>
    </row>
    <row r="612" spans="1:17" s="321" customFormat="1" ht="59.3" customHeight="1" outlineLevel="1">
      <c r="A612" s="317">
        <v>394</v>
      </c>
      <c r="B612" s="317" t="str">
        <f t="shared" si="35"/>
        <v>IVF394</v>
      </c>
      <c r="C612" s="318" t="s">
        <v>169</v>
      </c>
      <c r="D612" s="317">
        <v>4</v>
      </c>
      <c r="E612" s="319" t="s">
        <v>19</v>
      </c>
      <c r="F612" s="5">
        <v>4378</v>
      </c>
      <c r="G612" s="314">
        <f>ROUND(D612*F612,0)</f>
        <v>17512</v>
      </c>
      <c r="H612" s="320">
        <v>4</v>
      </c>
      <c r="I612" s="313" t="s">
        <v>19</v>
      </c>
      <c r="J612" s="40">
        <f>F612</f>
        <v>4378</v>
      </c>
      <c r="K612" s="314">
        <f>ROUND(H612*J612,0)</f>
        <v>17512</v>
      </c>
      <c r="L612" s="314">
        <f t="shared" si="33"/>
        <v>0</v>
      </c>
      <c r="M612" s="314">
        <f t="shared" si="34"/>
        <v>0</v>
      </c>
      <c r="N612" s="315" t="s">
        <v>302</v>
      </c>
      <c r="O612" s="321" t="s">
        <v>255</v>
      </c>
    </row>
    <row r="613" spans="1:17" s="321" customFormat="1" outlineLevel="1">
      <c r="A613" s="317"/>
      <c r="B613" s="317" t="str">
        <f t="shared" si="35"/>
        <v/>
      </c>
      <c r="C613" s="322" t="s">
        <v>386</v>
      </c>
      <c r="D613" s="317"/>
      <c r="E613" s="319"/>
      <c r="F613" s="5"/>
      <c r="G613" s="314"/>
      <c r="H613" s="320"/>
      <c r="I613" s="313"/>
      <c r="J613" s="40"/>
      <c r="K613" s="314"/>
      <c r="L613" s="314"/>
      <c r="M613" s="314"/>
      <c r="N613" s="315"/>
      <c r="O613" s="321" t="s">
        <v>255</v>
      </c>
    </row>
    <row r="614" spans="1:17" s="321" customFormat="1" ht="12.1" customHeight="1" outlineLevel="1">
      <c r="A614" s="313"/>
      <c r="B614" s="317" t="str">
        <f t="shared" si="35"/>
        <v/>
      </c>
      <c r="F614" s="40"/>
      <c r="G614" s="314"/>
      <c r="H614" s="320"/>
      <c r="I614" s="313"/>
      <c r="J614" s="40"/>
      <c r="K614" s="314"/>
      <c r="L614" s="314">
        <f t="shared" si="33"/>
        <v>0</v>
      </c>
      <c r="M614" s="314">
        <f t="shared" si="34"/>
        <v>0</v>
      </c>
      <c r="N614" s="315"/>
      <c r="O614" s="321" t="s">
        <v>255</v>
      </c>
    </row>
    <row r="615" spans="1:17" s="321" customFormat="1" ht="60.8" customHeight="1" outlineLevel="1">
      <c r="A615" s="317">
        <v>395</v>
      </c>
      <c r="B615" s="317" t="str">
        <f t="shared" si="35"/>
        <v>IVF395</v>
      </c>
      <c r="C615" s="318" t="s">
        <v>170</v>
      </c>
      <c r="D615" s="317">
        <v>2</v>
      </c>
      <c r="E615" s="319" t="s">
        <v>19</v>
      </c>
      <c r="F615" s="5">
        <v>36750</v>
      </c>
      <c r="G615" s="314">
        <f>ROUND(D615*F615,0)</f>
        <v>73500</v>
      </c>
      <c r="H615" s="320">
        <v>2</v>
      </c>
      <c r="I615" s="313" t="s">
        <v>19</v>
      </c>
      <c r="J615" s="40">
        <f>F615</f>
        <v>36750</v>
      </c>
      <c r="K615" s="314">
        <f>ROUND(H615*J615,0)</f>
        <v>73500</v>
      </c>
      <c r="L615" s="314">
        <f t="shared" si="33"/>
        <v>0</v>
      </c>
      <c r="M615" s="314">
        <f t="shared" si="34"/>
        <v>0</v>
      </c>
      <c r="N615" s="315" t="s">
        <v>302</v>
      </c>
      <c r="O615" s="321" t="s">
        <v>255</v>
      </c>
    </row>
    <row r="616" spans="1:17" s="321" customFormat="1" outlineLevel="1">
      <c r="A616" s="317"/>
      <c r="B616" s="317"/>
      <c r="C616" s="322" t="s">
        <v>386</v>
      </c>
      <c r="D616" s="317"/>
      <c r="E616" s="319"/>
      <c r="F616" s="5"/>
      <c r="G616" s="314"/>
      <c r="H616" s="320"/>
      <c r="I616" s="313"/>
      <c r="J616" s="40"/>
      <c r="K616" s="314"/>
      <c r="L616" s="314"/>
      <c r="M616" s="314"/>
      <c r="N616" s="315"/>
      <c r="O616" s="321" t="s">
        <v>255</v>
      </c>
    </row>
    <row r="617" spans="1:17" s="321" customFormat="1" ht="12.1" customHeight="1" outlineLevel="1">
      <c r="A617" s="313"/>
      <c r="F617" s="40"/>
      <c r="G617" s="314"/>
      <c r="H617" s="313"/>
      <c r="I617" s="313"/>
      <c r="J617" s="40"/>
      <c r="K617" s="314"/>
      <c r="L617" s="314"/>
      <c r="M617" s="314"/>
      <c r="N617" s="315"/>
      <c r="O617" s="321" t="s">
        <v>255</v>
      </c>
    </row>
    <row r="618" spans="1:17" s="323" customFormat="1" ht="30.6" customHeight="1">
      <c r="A618" s="343"/>
      <c r="F618" s="42"/>
      <c r="G618" s="329">
        <f>ROUND(SUM(G565:G617),0)</f>
        <v>1025822</v>
      </c>
      <c r="H618" s="343"/>
      <c r="I618" s="343"/>
      <c r="J618" s="42" t="s">
        <v>32</v>
      </c>
      <c r="K618" s="329">
        <f>ROUND(SUM(K565:K617),0)</f>
        <v>1141255</v>
      </c>
      <c r="L618" s="329">
        <f>SUM(L565:L617)</f>
        <v>143424</v>
      </c>
      <c r="M618" s="329">
        <f>SUM(M565:M617)</f>
        <v>27991</v>
      </c>
      <c r="N618" s="344"/>
    </row>
    <row r="619" spans="1:17" s="321" customFormat="1" ht="26" customHeight="1">
      <c r="A619" s="313"/>
      <c r="C619" s="329">
        <f>G619*1.18</f>
        <v>50038252.82</v>
      </c>
      <c r="F619" s="40"/>
      <c r="G619" s="329">
        <f>ROUND((G618+G563+G472+G452+G441+G292+G251+G145),0)</f>
        <v>42405299</v>
      </c>
      <c r="H619" s="343"/>
      <c r="I619" s="343"/>
      <c r="J619" s="40"/>
      <c r="K619" s="329">
        <f>ROUND((K618+K563+K472+K452+K441+K292+K251+K145),0)</f>
        <v>44383440</v>
      </c>
      <c r="L619" s="329">
        <f>L618+L563+L472+L452+L441+L292+L251+L145</f>
        <v>4747575</v>
      </c>
      <c r="M619" s="329">
        <f>M618+M563+M472+M452+M441+M292+M251+M145</f>
        <v>2769434</v>
      </c>
      <c r="N619" s="345"/>
      <c r="Q619" s="321">
        <f>395*0.9</f>
        <v>355.5</v>
      </c>
    </row>
    <row r="620" spans="1:17" s="321" customFormat="1" ht="29.4" customHeight="1">
      <c r="A620" s="313"/>
      <c r="C620" s="346" t="s">
        <v>472</v>
      </c>
      <c r="D620" s="346"/>
      <c r="E620" s="346"/>
      <c r="F620" s="346"/>
      <c r="G620" s="346"/>
      <c r="H620" s="347"/>
      <c r="I620" s="348"/>
      <c r="J620" s="40"/>
      <c r="K620" s="312"/>
      <c r="L620" s="312"/>
      <c r="M620" s="312"/>
      <c r="N620" s="315"/>
    </row>
    <row r="621" spans="1:17" s="321" customFormat="1" ht="260.35000000000002" customHeight="1" outlineLevel="1">
      <c r="A621" s="348">
        <v>1</v>
      </c>
      <c r="C621" s="318" t="s">
        <v>194</v>
      </c>
      <c r="D621" s="348">
        <v>0</v>
      </c>
      <c r="E621" s="319" t="s">
        <v>40</v>
      </c>
      <c r="F621" s="349"/>
      <c r="G621" s="350"/>
      <c r="H621" s="347">
        <v>1</v>
      </c>
      <c r="I621" s="348" t="s">
        <v>180</v>
      </c>
      <c r="J621" s="52">
        <v>97000</v>
      </c>
      <c r="K621" s="314">
        <f t="shared" ref="K621:K626" si="36">ROUND(H621*J621,0)</f>
        <v>97000</v>
      </c>
      <c r="L621" s="314">
        <f>ROUND(IF(K621&gt;G621,K621-G621,0),0)</f>
        <v>97000</v>
      </c>
      <c r="M621" s="314">
        <f>ROUND(IF(K621&lt;G621,G621-K621,0),0)</f>
        <v>0</v>
      </c>
      <c r="N621" s="315" t="s">
        <v>413</v>
      </c>
      <c r="O621" s="321" t="s">
        <v>257</v>
      </c>
    </row>
    <row r="622" spans="1:17" s="321" customFormat="1" ht="168.8" customHeight="1" outlineLevel="1">
      <c r="A622" s="348">
        <v>2</v>
      </c>
      <c r="C622" s="318" t="s">
        <v>473</v>
      </c>
      <c r="D622" s="348">
        <v>0</v>
      </c>
      <c r="E622" s="319" t="s">
        <v>180</v>
      </c>
      <c r="F622" s="349"/>
      <c r="G622" s="350"/>
      <c r="H622" s="347">
        <v>1</v>
      </c>
      <c r="I622" s="348" t="s">
        <v>180</v>
      </c>
      <c r="J622" s="52">
        <v>46000</v>
      </c>
      <c r="K622" s="314">
        <f t="shared" si="36"/>
        <v>46000</v>
      </c>
      <c r="L622" s="314">
        <f t="shared" ref="L622:L627" si="37">ROUND(IF(K622&gt;G622,K622-G622,0),0)</f>
        <v>46000</v>
      </c>
      <c r="M622" s="314">
        <f t="shared" ref="M622:M627" si="38">ROUND(IF(K622&lt;G622,G622-K622,0),0)</f>
        <v>0</v>
      </c>
      <c r="N622" s="315" t="s">
        <v>414</v>
      </c>
      <c r="O622" s="321" t="s">
        <v>257</v>
      </c>
    </row>
    <row r="623" spans="1:17" s="321" customFormat="1" ht="137.25" customHeight="1" outlineLevel="1">
      <c r="A623" s="348">
        <v>3</v>
      </c>
      <c r="C623" s="318" t="s">
        <v>474</v>
      </c>
      <c r="D623" s="348">
        <v>0</v>
      </c>
      <c r="E623" s="319" t="s">
        <v>180</v>
      </c>
      <c r="F623" s="349"/>
      <c r="G623" s="350"/>
      <c r="H623" s="347">
        <v>2</v>
      </c>
      <c r="I623" s="348" t="s">
        <v>180</v>
      </c>
      <c r="J623" s="52">
        <v>16300</v>
      </c>
      <c r="K623" s="314">
        <f t="shared" si="36"/>
        <v>32600</v>
      </c>
      <c r="L623" s="314">
        <f t="shared" si="37"/>
        <v>32600</v>
      </c>
      <c r="M623" s="314">
        <f t="shared" si="38"/>
        <v>0</v>
      </c>
      <c r="N623" s="315" t="s">
        <v>491</v>
      </c>
      <c r="O623" s="321" t="s">
        <v>257</v>
      </c>
    </row>
    <row r="624" spans="1:17" s="321" customFormat="1" ht="134.5" customHeight="1" outlineLevel="1">
      <c r="A624" s="348">
        <v>4</v>
      </c>
      <c r="C624" s="318" t="s">
        <v>477</v>
      </c>
      <c r="D624" s="348">
        <v>0</v>
      </c>
      <c r="E624" s="319" t="s">
        <v>180</v>
      </c>
      <c r="F624" s="349"/>
      <c r="G624" s="350"/>
      <c r="H624" s="347">
        <v>1</v>
      </c>
      <c r="I624" s="348" t="s">
        <v>180</v>
      </c>
      <c r="J624" s="52">
        <v>14500</v>
      </c>
      <c r="K624" s="314">
        <f t="shared" si="36"/>
        <v>14500</v>
      </c>
      <c r="L624" s="314">
        <f t="shared" si="37"/>
        <v>14500</v>
      </c>
      <c r="M624" s="314">
        <f t="shared" si="38"/>
        <v>0</v>
      </c>
      <c r="N624" s="315" t="s">
        <v>491</v>
      </c>
      <c r="O624" s="321" t="s">
        <v>257</v>
      </c>
    </row>
    <row r="625" spans="1:15" s="321" customFormat="1" ht="136.55000000000001" customHeight="1" outlineLevel="1">
      <c r="A625" s="348">
        <v>5</v>
      </c>
      <c r="C625" s="318" t="s">
        <v>476</v>
      </c>
      <c r="D625" s="348">
        <v>0</v>
      </c>
      <c r="E625" s="319" t="s">
        <v>180</v>
      </c>
      <c r="F625" s="349"/>
      <c r="G625" s="350"/>
      <c r="H625" s="347">
        <v>1</v>
      </c>
      <c r="I625" s="348" t="s">
        <v>180</v>
      </c>
      <c r="J625" s="52">
        <v>15100</v>
      </c>
      <c r="K625" s="314">
        <f t="shared" si="36"/>
        <v>15100</v>
      </c>
      <c r="L625" s="314">
        <f t="shared" si="37"/>
        <v>15100</v>
      </c>
      <c r="M625" s="314">
        <f t="shared" si="38"/>
        <v>0</v>
      </c>
      <c r="N625" s="315" t="s">
        <v>491</v>
      </c>
      <c r="O625" s="321" t="s">
        <v>257</v>
      </c>
    </row>
    <row r="626" spans="1:15" s="321" customFormat="1" ht="130.94999999999999" customHeight="1" outlineLevel="1">
      <c r="A626" s="348">
        <v>6</v>
      </c>
      <c r="C626" s="318" t="s">
        <v>475</v>
      </c>
      <c r="D626" s="348">
        <v>0</v>
      </c>
      <c r="E626" s="319" t="s">
        <v>180</v>
      </c>
      <c r="F626" s="312"/>
      <c r="G626" s="312"/>
      <c r="H626" s="320">
        <v>1</v>
      </c>
      <c r="I626" s="348" t="s">
        <v>180</v>
      </c>
      <c r="J626" s="52">
        <v>15800</v>
      </c>
      <c r="K626" s="314">
        <f t="shared" si="36"/>
        <v>15800</v>
      </c>
      <c r="L626" s="314">
        <f t="shared" si="37"/>
        <v>15800</v>
      </c>
      <c r="M626" s="314">
        <f t="shared" si="38"/>
        <v>0</v>
      </c>
      <c r="N626" s="315" t="s">
        <v>491</v>
      </c>
      <c r="O626" s="321" t="s">
        <v>257</v>
      </c>
    </row>
    <row r="627" spans="1:15" s="321" customFormat="1" ht="29.4" customHeight="1">
      <c r="A627" s="313"/>
      <c r="C627" s="318"/>
      <c r="D627" s="348"/>
      <c r="E627" s="319"/>
      <c r="F627" s="312"/>
      <c r="G627" s="312"/>
      <c r="H627" s="320"/>
      <c r="I627" s="348"/>
      <c r="J627" s="53" t="s">
        <v>206</v>
      </c>
      <c r="K627" s="45">
        <f>SUM(K621:K626)</f>
        <v>221000</v>
      </c>
      <c r="L627" s="45">
        <f t="shared" si="37"/>
        <v>221000</v>
      </c>
      <c r="M627" s="312">
        <f t="shared" si="38"/>
        <v>0</v>
      </c>
      <c r="N627" s="315"/>
    </row>
    <row r="628" spans="1:15" s="321" customFormat="1" ht="22.95" customHeight="1">
      <c r="A628" s="313"/>
      <c r="C628" s="346" t="s">
        <v>478</v>
      </c>
      <c r="D628" s="351"/>
      <c r="E628" s="351"/>
      <c r="F628" s="351"/>
      <c r="G628" s="351"/>
      <c r="H628" s="313"/>
      <c r="I628" s="313"/>
      <c r="J628" s="40"/>
      <c r="K628" s="312"/>
      <c r="L628" s="312"/>
      <c r="M628" s="312"/>
      <c r="N628" s="315"/>
    </row>
    <row r="629" spans="1:15" s="321" customFormat="1" ht="155.25" customHeight="1" outlineLevel="1">
      <c r="A629" s="313">
        <v>7</v>
      </c>
      <c r="C629" s="352" t="s">
        <v>246</v>
      </c>
      <c r="D629" s="353">
        <v>0</v>
      </c>
      <c r="E629" s="321" t="s">
        <v>12</v>
      </c>
      <c r="F629" s="354"/>
      <c r="G629" s="354"/>
      <c r="H629" s="355">
        <f>251.59+37.55</f>
        <v>289.14</v>
      </c>
      <c r="I629" s="355" t="s">
        <v>12</v>
      </c>
      <c r="J629" s="40">
        <v>13</v>
      </c>
      <c r="K629" s="314">
        <f>ROUND(H629*J629,0)</f>
        <v>3759</v>
      </c>
      <c r="L629" s="314">
        <f>ROUND(IF(K629&gt;G629,K629-G629,0),0)</f>
        <v>3759</v>
      </c>
      <c r="M629" s="314">
        <f>ROUND(IF(K629&lt;G629,G629-K629,0),0)</f>
        <v>0</v>
      </c>
      <c r="N629" s="315" t="s">
        <v>311</v>
      </c>
      <c r="O629" s="321" t="s">
        <v>258</v>
      </c>
    </row>
    <row r="630" spans="1:15" s="321" customFormat="1" ht="31.25" outlineLevel="1">
      <c r="A630" s="313"/>
      <c r="C630" s="352" t="s">
        <v>334</v>
      </c>
      <c r="D630" s="353"/>
      <c r="F630" s="354"/>
      <c r="G630" s="354"/>
      <c r="H630" s="354"/>
      <c r="I630" s="354"/>
      <c r="J630" s="40"/>
      <c r="K630" s="314"/>
      <c r="L630" s="314"/>
      <c r="M630" s="314"/>
      <c r="N630" s="315"/>
      <c r="O630" s="321" t="s">
        <v>258</v>
      </c>
    </row>
    <row r="631" spans="1:15" s="321" customFormat="1" ht="12.1" customHeight="1" outlineLevel="1">
      <c r="A631" s="313"/>
      <c r="F631" s="40"/>
      <c r="G631" s="312"/>
      <c r="H631" s="313"/>
      <c r="I631" s="313"/>
      <c r="J631" s="40"/>
      <c r="K631" s="314"/>
      <c r="L631" s="314">
        <f t="shared" ref="L631:L651" si="39">ROUND(IF(K631&gt;G631,K631-G631,0),0)</f>
        <v>0</v>
      </c>
      <c r="M631" s="314">
        <f t="shared" ref="M631:M651" si="40">ROUND(IF(K631&lt;G631,G631-K631,0),0)</f>
        <v>0</v>
      </c>
      <c r="N631" s="315"/>
      <c r="O631" s="321" t="s">
        <v>258</v>
      </c>
    </row>
    <row r="632" spans="1:15" s="321" customFormat="1" ht="150.80000000000001" customHeight="1" outlineLevel="1">
      <c r="A632" s="313">
        <v>8</v>
      </c>
      <c r="C632" s="352" t="s">
        <v>247</v>
      </c>
      <c r="D632" s="353">
        <v>0</v>
      </c>
      <c r="E632" s="321" t="s">
        <v>11</v>
      </c>
      <c r="F632" s="40"/>
      <c r="G632" s="312"/>
      <c r="H632" s="313">
        <v>0.59</v>
      </c>
      <c r="I632" s="313" t="s">
        <v>11</v>
      </c>
      <c r="J632" s="40">
        <v>4424</v>
      </c>
      <c r="K632" s="314">
        <f>ROUND(H632*J632,0)</f>
        <v>2610</v>
      </c>
      <c r="L632" s="314">
        <f t="shared" si="39"/>
        <v>2610</v>
      </c>
      <c r="M632" s="314">
        <f t="shared" si="40"/>
        <v>0</v>
      </c>
      <c r="N632" s="315" t="s">
        <v>311</v>
      </c>
      <c r="O632" s="321" t="s">
        <v>258</v>
      </c>
    </row>
    <row r="633" spans="1:15" s="321" customFormat="1" ht="31.25" outlineLevel="1">
      <c r="A633" s="313"/>
      <c r="C633" s="352" t="s">
        <v>334</v>
      </c>
      <c r="D633" s="353"/>
      <c r="F633" s="40"/>
      <c r="G633" s="312"/>
      <c r="H633" s="313"/>
      <c r="I633" s="313"/>
      <c r="J633" s="40"/>
      <c r="K633" s="314"/>
      <c r="L633" s="314"/>
      <c r="M633" s="314"/>
      <c r="N633" s="315"/>
      <c r="O633" s="321" t="s">
        <v>258</v>
      </c>
    </row>
    <row r="634" spans="1:15" s="321" customFormat="1" ht="12.1" customHeight="1" outlineLevel="1">
      <c r="A634" s="313"/>
      <c r="C634" s="352"/>
      <c r="F634" s="40"/>
      <c r="G634" s="312"/>
      <c r="H634" s="313"/>
      <c r="I634" s="313"/>
      <c r="J634" s="40"/>
      <c r="K634" s="314"/>
      <c r="L634" s="314">
        <f t="shared" si="39"/>
        <v>0</v>
      </c>
      <c r="M634" s="314">
        <f t="shared" si="40"/>
        <v>0</v>
      </c>
      <c r="N634" s="315"/>
      <c r="O634" s="321" t="s">
        <v>258</v>
      </c>
    </row>
    <row r="635" spans="1:15" s="321" customFormat="1" ht="226.55" customHeight="1" outlineLevel="1">
      <c r="A635" s="313">
        <v>9</v>
      </c>
      <c r="C635" s="315" t="s">
        <v>176</v>
      </c>
      <c r="D635" s="356">
        <v>0</v>
      </c>
      <c r="E635" s="357" t="s">
        <v>12</v>
      </c>
      <c r="F635" s="357"/>
      <c r="G635" s="357"/>
      <c r="H635" s="310">
        <v>11.3</v>
      </c>
      <c r="I635" s="313" t="s">
        <v>12</v>
      </c>
      <c r="J635" s="40">
        <v>9055</v>
      </c>
      <c r="K635" s="314">
        <f>ROUND(H635*J635,0)</f>
        <v>102322</v>
      </c>
      <c r="L635" s="314">
        <f t="shared" si="39"/>
        <v>102322</v>
      </c>
      <c r="M635" s="314">
        <f t="shared" si="40"/>
        <v>0</v>
      </c>
      <c r="N635" s="315" t="s">
        <v>313</v>
      </c>
      <c r="O635" s="321" t="s">
        <v>258</v>
      </c>
    </row>
    <row r="636" spans="1:15" s="321" customFormat="1" outlineLevel="1">
      <c r="A636" s="313"/>
      <c r="C636" s="323" t="s">
        <v>354</v>
      </c>
      <c r="F636" s="40"/>
      <c r="G636" s="312"/>
      <c r="H636" s="313"/>
      <c r="I636" s="313"/>
      <c r="J636" s="40"/>
      <c r="K636" s="314"/>
      <c r="L636" s="314">
        <f t="shared" si="39"/>
        <v>0</v>
      </c>
      <c r="M636" s="314">
        <f t="shared" si="40"/>
        <v>0</v>
      </c>
      <c r="N636" s="315"/>
      <c r="O636" s="321" t="s">
        <v>258</v>
      </c>
    </row>
    <row r="637" spans="1:15" s="321" customFormat="1" ht="12.1" customHeight="1" outlineLevel="1">
      <c r="A637" s="313"/>
      <c r="F637" s="40"/>
      <c r="G637" s="312"/>
      <c r="H637" s="313"/>
      <c r="I637" s="313"/>
      <c r="J637" s="40"/>
      <c r="K637" s="314"/>
      <c r="L637" s="314">
        <f t="shared" si="39"/>
        <v>0</v>
      </c>
      <c r="M637" s="314">
        <f t="shared" si="40"/>
        <v>0</v>
      </c>
      <c r="N637" s="315"/>
      <c r="O637" s="321" t="s">
        <v>258</v>
      </c>
    </row>
    <row r="638" spans="1:15" s="321" customFormat="1" ht="270.7" customHeight="1" outlineLevel="1">
      <c r="A638" s="313">
        <v>10</v>
      </c>
      <c r="C638" s="315" t="s">
        <v>179</v>
      </c>
      <c r="D638" s="358">
        <v>0</v>
      </c>
      <c r="E638" s="313" t="s">
        <v>12</v>
      </c>
      <c r="F638" s="357"/>
      <c r="G638" s="357"/>
      <c r="H638" s="357">
        <v>13.7</v>
      </c>
      <c r="I638" s="313" t="s">
        <v>12</v>
      </c>
      <c r="J638" s="40">
        <v>1625</v>
      </c>
      <c r="K638" s="314">
        <f>ROUND(H638*J638,0)</f>
        <v>22263</v>
      </c>
      <c r="L638" s="314">
        <f t="shared" si="39"/>
        <v>22263</v>
      </c>
      <c r="M638" s="314">
        <f t="shared" si="40"/>
        <v>0</v>
      </c>
      <c r="N638" s="315" t="s">
        <v>315</v>
      </c>
      <c r="O638" s="321" t="s">
        <v>258</v>
      </c>
    </row>
    <row r="639" spans="1:15" s="321" customFormat="1" outlineLevel="1">
      <c r="A639" s="313"/>
      <c r="C639" s="323" t="s">
        <v>369</v>
      </c>
      <c r="F639" s="40"/>
      <c r="G639" s="312"/>
      <c r="H639" s="313"/>
      <c r="I639" s="313"/>
      <c r="J639" s="40"/>
      <c r="K639" s="314"/>
      <c r="L639" s="314">
        <f t="shared" si="39"/>
        <v>0</v>
      </c>
      <c r="M639" s="314">
        <f t="shared" si="40"/>
        <v>0</v>
      </c>
      <c r="N639" s="315"/>
      <c r="O639" s="321" t="s">
        <v>258</v>
      </c>
    </row>
    <row r="640" spans="1:15" s="321" customFormat="1" ht="12.1" customHeight="1" outlineLevel="1">
      <c r="A640" s="310"/>
      <c r="B640" s="357"/>
      <c r="C640" s="315"/>
      <c r="D640" s="357"/>
      <c r="E640" s="357"/>
      <c r="F640" s="357"/>
      <c r="G640" s="312"/>
      <c r="J640" s="40"/>
      <c r="K640" s="314"/>
      <c r="L640" s="314">
        <f t="shared" si="39"/>
        <v>0</v>
      </c>
      <c r="M640" s="314">
        <f t="shared" si="40"/>
        <v>0</v>
      </c>
      <c r="N640" s="315"/>
      <c r="O640" s="321" t="s">
        <v>258</v>
      </c>
    </row>
    <row r="641" spans="1:23" s="321" customFormat="1" ht="257.3" customHeight="1" outlineLevel="1">
      <c r="A641" s="310">
        <v>11</v>
      </c>
      <c r="B641" s="357"/>
      <c r="C641" s="315" t="s">
        <v>213</v>
      </c>
      <c r="D641" s="358">
        <v>0</v>
      </c>
      <c r="E641" s="313" t="s">
        <v>180</v>
      </c>
      <c r="F641" s="357"/>
      <c r="G641" s="357"/>
      <c r="H641" s="313">
        <v>1</v>
      </c>
      <c r="I641" s="313" t="s">
        <v>180</v>
      </c>
      <c r="J641" s="359">
        <v>55000</v>
      </c>
      <c r="K641" s="314">
        <f>ROUND(H641*J641,0)</f>
        <v>55000</v>
      </c>
      <c r="L641" s="314">
        <f t="shared" si="39"/>
        <v>55000</v>
      </c>
      <c r="M641" s="314">
        <f t="shared" si="40"/>
        <v>0</v>
      </c>
      <c r="N641" s="315" t="s">
        <v>313</v>
      </c>
      <c r="O641" s="321" t="s">
        <v>258</v>
      </c>
    </row>
    <row r="642" spans="1:23" s="321" customFormat="1" outlineLevel="1">
      <c r="A642" s="310"/>
      <c r="B642" s="357"/>
      <c r="C642" s="342" t="s">
        <v>347</v>
      </c>
      <c r="D642" s="357"/>
      <c r="E642" s="357"/>
      <c r="F642" s="357"/>
      <c r="G642" s="312"/>
      <c r="J642" s="40"/>
      <c r="K642" s="314"/>
      <c r="L642" s="314">
        <f t="shared" si="39"/>
        <v>0</v>
      </c>
      <c r="M642" s="314">
        <f t="shared" si="40"/>
        <v>0</v>
      </c>
      <c r="N642" s="315"/>
      <c r="O642" s="321" t="s">
        <v>258</v>
      </c>
    </row>
    <row r="643" spans="1:23" s="321" customFormat="1" ht="12.1" customHeight="1" outlineLevel="1">
      <c r="A643" s="310"/>
      <c r="B643" s="357"/>
      <c r="C643" s="315"/>
      <c r="D643" s="357"/>
      <c r="E643" s="357"/>
      <c r="F643" s="357"/>
      <c r="G643" s="312"/>
      <c r="H643" s="313"/>
      <c r="I643" s="313"/>
      <c r="J643" s="40"/>
      <c r="K643" s="314"/>
      <c r="L643" s="314">
        <f t="shared" si="39"/>
        <v>0</v>
      </c>
      <c r="M643" s="314">
        <f t="shared" si="40"/>
        <v>0</v>
      </c>
      <c r="N643" s="315"/>
      <c r="O643" s="321" t="s">
        <v>258</v>
      </c>
    </row>
    <row r="644" spans="1:23" s="321" customFormat="1" ht="409.6" customHeight="1" outlineLevel="1">
      <c r="A644" s="303">
        <v>12</v>
      </c>
      <c r="B644" s="303"/>
      <c r="C644" s="332" t="s">
        <v>181</v>
      </c>
      <c r="D644" s="360">
        <v>0</v>
      </c>
      <c r="E644" s="339" t="s">
        <v>12</v>
      </c>
      <c r="F644" s="303"/>
      <c r="G644" s="303"/>
      <c r="H644" s="303">
        <v>32.08</v>
      </c>
      <c r="I644" s="339" t="s">
        <v>12</v>
      </c>
      <c r="J644" s="361">
        <v>9241</v>
      </c>
      <c r="K644" s="337">
        <f>ROUND(H644*J644,0)</f>
        <v>296451</v>
      </c>
      <c r="L644" s="337">
        <f t="shared" si="39"/>
        <v>296451</v>
      </c>
      <c r="M644" s="337">
        <f t="shared" si="40"/>
        <v>0</v>
      </c>
      <c r="N644" s="332" t="s">
        <v>316</v>
      </c>
      <c r="O644" s="321" t="s">
        <v>258</v>
      </c>
    </row>
    <row r="645" spans="1:23" s="321" customFormat="1" ht="41.95" customHeight="1" outlineLevel="1">
      <c r="A645" s="303"/>
      <c r="B645" s="303"/>
      <c r="C645" s="332"/>
      <c r="D645" s="360"/>
      <c r="E645" s="339"/>
      <c r="F645" s="303"/>
      <c r="G645" s="303"/>
      <c r="H645" s="303"/>
      <c r="I645" s="339"/>
      <c r="J645" s="361"/>
      <c r="K645" s="337"/>
      <c r="L645" s="337"/>
      <c r="M645" s="337"/>
      <c r="N645" s="332"/>
      <c r="O645" s="321" t="s">
        <v>258</v>
      </c>
    </row>
    <row r="646" spans="1:23" s="321" customFormat="1" outlineLevel="1">
      <c r="A646" s="310"/>
      <c r="B646" s="357"/>
      <c r="C646" s="342" t="s">
        <v>383</v>
      </c>
      <c r="D646" s="358"/>
      <c r="E646" s="313"/>
      <c r="F646" s="357"/>
      <c r="G646" s="357"/>
      <c r="H646" s="357"/>
      <c r="I646" s="313"/>
      <c r="J646" s="362"/>
      <c r="K646" s="314"/>
      <c r="L646" s="314"/>
      <c r="M646" s="314"/>
      <c r="N646" s="315"/>
      <c r="O646" s="321" t="s">
        <v>258</v>
      </c>
    </row>
    <row r="647" spans="1:23" s="321" customFormat="1" ht="12.1" customHeight="1" outlineLevel="1">
      <c r="A647" s="310"/>
      <c r="B647" s="357"/>
      <c r="C647" s="315"/>
      <c r="D647" s="358"/>
      <c r="E647" s="313"/>
      <c r="F647" s="357"/>
      <c r="G647" s="357"/>
      <c r="H647" s="357"/>
      <c r="I647" s="313"/>
      <c r="J647" s="362"/>
      <c r="K647" s="314"/>
      <c r="L647" s="314"/>
      <c r="M647" s="314"/>
      <c r="N647" s="315"/>
      <c r="O647" s="321" t="s">
        <v>258</v>
      </c>
    </row>
    <row r="648" spans="1:23" s="321" customFormat="1" ht="409.6" customHeight="1" outlineLevel="1">
      <c r="A648" s="303">
        <v>13</v>
      </c>
      <c r="B648" s="303"/>
      <c r="C648" s="335" t="s">
        <v>207</v>
      </c>
      <c r="D648" s="360">
        <v>0</v>
      </c>
      <c r="E648" s="303" t="s">
        <v>12</v>
      </c>
      <c r="F648" s="303"/>
      <c r="G648" s="339"/>
      <c r="H648" s="339">
        <v>9.2100000000000009</v>
      </c>
      <c r="I648" s="339" t="s">
        <v>12</v>
      </c>
      <c r="J648" s="361">
        <v>6734</v>
      </c>
      <c r="K648" s="363">
        <f>ROUND(H648*J648,0)</f>
        <v>62020</v>
      </c>
      <c r="L648" s="363">
        <f t="shared" si="39"/>
        <v>62020</v>
      </c>
      <c r="M648" s="337">
        <f t="shared" si="40"/>
        <v>0</v>
      </c>
      <c r="N648" s="332" t="s">
        <v>317</v>
      </c>
      <c r="O648" s="321" t="s">
        <v>258</v>
      </c>
    </row>
    <row r="649" spans="1:23" s="321" customFormat="1" ht="72.7" customHeight="1" outlineLevel="1">
      <c r="A649" s="303"/>
      <c r="B649" s="303"/>
      <c r="C649" s="335"/>
      <c r="D649" s="360"/>
      <c r="E649" s="303"/>
      <c r="F649" s="303"/>
      <c r="G649" s="339"/>
      <c r="H649" s="339"/>
      <c r="I649" s="339"/>
      <c r="J649" s="361"/>
      <c r="K649" s="363"/>
      <c r="L649" s="363"/>
      <c r="M649" s="337"/>
      <c r="N649" s="332"/>
      <c r="O649" s="321" t="s">
        <v>258</v>
      </c>
    </row>
    <row r="650" spans="1:23" s="321" customFormat="1" ht="12.1" customHeight="1" outlineLevel="1">
      <c r="A650" s="310"/>
      <c r="B650" s="357"/>
      <c r="C650" s="318"/>
      <c r="D650" s="357"/>
      <c r="E650" s="357"/>
      <c r="F650" s="357"/>
      <c r="G650" s="312"/>
      <c r="H650" s="313"/>
      <c r="I650" s="313"/>
      <c r="J650" s="359"/>
      <c r="K650" s="364"/>
      <c r="L650" s="364">
        <f t="shared" si="39"/>
        <v>0</v>
      </c>
      <c r="M650" s="314">
        <f t="shared" si="40"/>
        <v>0</v>
      </c>
      <c r="N650" s="315"/>
      <c r="O650" s="321" t="s">
        <v>258</v>
      </c>
    </row>
    <row r="651" spans="1:23" s="321" customFormat="1" ht="215.35" customHeight="1" outlineLevel="1">
      <c r="A651" s="310">
        <v>14</v>
      </c>
      <c r="B651" s="357"/>
      <c r="C651" s="318" t="s">
        <v>212</v>
      </c>
      <c r="D651" s="310">
        <v>0</v>
      </c>
      <c r="E651" s="310" t="s">
        <v>180</v>
      </c>
      <c r="F651" s="357"/>
      <c r="G651" s="312"/>
      <c r="H651" s="320">
        <v>1</v>
      </c>
      <c r="I651" s="313" t="s">
        <v>180</v>
      </c>
      <c r="J651" s="359">
        <v>75000</v>
      </c>
      <c r="K651" s="364">
        <f>ROUND(H651*J651,0)</f>
        <v>75000</v>
      </c>
      <c r="L651" s="364">
        <f t="shared" si="39"/>
        <v>75000</v>
      </c>
      <c r="M651" s="314">
        <f t="shared" si="40"/>
        <v>0</v>
      </c>
      <c r="N651" s="315" t="s">
        <v>415</v>
      </c>
      <c r="O651" s="321" t="s">
        <v>258</v>
      </c>
    </row>
    <row r="652" spans="1:23" s="321" customFormat="1" ht="196.5" customHeight="1" outlineLevel="1">
      <c r="A652" s="365">
        <f>A651+1</f>
        <v>15</v>
      </c>
      <c r="B652" s="365"/>
      <c r="C652" s="318" t="s">
        <v>395</v>
      </c>
      <c r="D652" s="319"/>
      <c r="E652" s="365"/>
      <c r="F652" s="366"/>
      <c r="G652" s="366"/>
      <c r="H652" s="367">
        <v>48</v>
      </c>
      <c r="I652" s="368" t="s">
        <v>12</v>
      </c>
      <c r="J652" s="54">
        <v>381</v>
      </c>
      <c r="K652" s="364">
        <f>ROUND(H652*J652,0)</f>
        <v>18288</v>
      </c>
      <c r="L652" s="364">
        <f>ROUND(IF(K652&gt;G652,K652-G652,0),0)</f>
        <v>18288</v>
      </c>
      <c r="M652" s="369"/>
      <c r="N652" s="130" t="s">
        <v>609</v>
      </c>
      <c r="O652" s="321" t="s">
        <v>258</v>
      </c>
      <c r="Q652" s="313"/>
      <c r="U652" s="370"/>
      <c r="V652" s="370"/>
      <c r="W652" s="370"/>
    </row>
    <row r="653" spans="1:23" s="321" customFormat="1" ht="81" customHeight="1" outlineLevel="1">
      <c r="A653" s="365">
        <f t="shared" ref="A653:A656" si="41">A652+1</f>
        <v>16</v>
      </c>
      <c r="B653" s="313"/>
      <c r="C653" s="318" t="s">
        <v>398</v>
      </c>
      <c r="D653" s="310"/>
      <c r="E653" s="313"/>
      <c r="F653" s="371"/>
      <c r="G653" s="371"/>
      <c r="H653" s="358">
        <v>15</v>
      </c>
      <c r="I653" s="372" t="s">
        <v>180</v>
      </c>
      <c r="J653" s="54">
        <v>2819</v>
      </c>
      <c r="K653" s="364">
        <f t="shared" ref="K653:K658" si="42">ROUND(H653*J653,0)</f>
        <v>42285</v>
      </c>
      <c r="L653" s="364">
        <f t="shared" ref="L653:L658" si="43">ROUND(IF(K653&gt;G653,K653-G653,0),0)</f>
        <v>42285</v>
      </c>
      <c r="M653" s="50"/>
      <c r="N653" s="130" t="s">
        <v>313</v>
      </c>
      <c r="O653" s="321" t="s">
        <v>258</v>
      </c>
      <c r="Q653" s="313"/>
      <c r="U653" s="370"/>
      <c r="V653" s="370"/>
      <c r="W653" s="370"/>
    </row>
    <row r="654" spans="1:23" s="321" customFormat="1" ht="85.6" customHeight="1" outlineLevel="1">
      <c r="A654" s="365">
        <f t="shared" si="41"/>
        <v>17</v>
      </c>
      <c r="B654" s="313"/>
      <c r="C654" s="318" t="s">
        <v>396</v>
      </c>
      <c r="D654" s="310"/>
      <c r="E654" s="313"/>
      <c r="F654" s="371"/>
      <c r="G654" s="371"/>
      <c r="H654" s="358">
        <v>5</v>
      </c>
      <c r="I654" s="372" t="s">
        <v>180</v>
      </c>
      <c r="J654" s="54">
        <v>510</v>
      </c>
      <c r="K654" s="364">
        <f t="shared" si="42"/>
        <v>2550</v>
      </c>
      <c r="L654" s="364">
        <f t="shared" si="43"/>
        <v>2550</v>
      </c>
      <c r="M654" s="50"/>
      <c r="N654" s="130" t="s">
        <v>313</v>
      </c>
      <c r="O654" s="321" t="s">
        <v>258</v>
      </c>
      <c r="Q654" s="313"/>
      <c r="U654" s="370"/>
      <c r="V654" s="370"/>
      <c r="W654" s="370"/>
    </row>
    <row r="655" spans="1:23" s="321" customFormat="1" ht="87.8" customHeight="1" outlineLevel="1">
      <c r="A655" s="365">
        <f t="shared" si="41"/>
        <v>18</v>
      </c>
      <c r="B655" s="313"/>
      <c r="C655" s="318" t="s">
        <v>397</v>
      </c>
      <c r="D655" s="310"/>
      <c r="E655" s="313"/>
      <c r="F655" s="371"/>
      <c r="G655" s="371"/>
      <c r="H655" s="358">
        <v>5</v>
      </c>
      <c r="I655" s="372" t="s">
        <v>180</v>
      </c>
      <c r="J655" s="54">
        <v>1775</v>
      </c>
      <c r="K655" s="364">
        <f t="shared" si="42"/>
        <v>8875</v>
      </c>
      <c r="L655" s="364">
        <f t="shared" si="43"/>
        <v>8875</v>
      </c>
      <c r="M655" s="50"/>
      <c r="N655" s="130" t="s">
        <v>313</v>
      </c>
      <c r="O655" s="321" t="s">
        <v>258</v>
      </c>
      <c r="Q655" s="313"/>
      <c r="U655" s="370"/>
      <c r="V655" s="370"/>
      <c r="W655" s="370"/>
    </row>
    <row r="656" spans="1:23" s="321" customFormat="1" ht="86.3" customHeight="1" outlineLevel="1">
      <c r="A656" s="365">
        <f t="shared" si="41"/>
        <v>19</v>
      </c>
      <c r="B656" s="313"/>
      <c r="C656" s="318" t="s">
        <v>399</v>
      </c>
      <c r="D656" s="310"/>
      <c r="E656" s="313"/>
      <c r="F656" s="371"/>
      <c r="G656" s="371"/>
      <c r="H656" s="358">
        <v>38</v>
      </c>
      <c r="I656" s="372" t="s">
        <v>180</v>
      </c>
      <c r="J656" s="54">
        <v>600</v>
      </c>
      <c r="K656" s="364">
        <f t="shared" si="42"/>
        <v>22800</v>
      </c>
      <c r="L656" s="364">
        <f t="shared" si="43"/>
        <v>22800</v>
      </c>
      <c r="M656" s="50"/>
      <c r="N656" s="130" t="s">
        <v>313</v>
      </c>
      <c r="O656" s="321" t="s">
        <v>258</v>
      </c>
      <c r="Q656" s="313"/>
      <c r="U656" s="370"/>
      <c r="V656" s="370"/>
      <c r="W656" s="370"/>
    </row>
    <row r="657" spans="1:30" s="321" customFormat="1" ht="126" customHeight="1" outlineLevel="1">
      <c r="A657" s="365">
        <f>A658+1</f>
        <v>21</v>
      </c>
      <c r="B657" s="373"/>
      <c r="C657" s="374" t="s">
        <v>490</v>
      </c>
      <c r="D657" s="375"/>
      <c r="E657" s="373"/>
      <c r="F657" s="376"/>
      <c r="G657" s="376"/>
      <c r="H657" s="377">
        <v>0.74</v>
      </c>
      <c r="I657" s="368" t="s">
        <v>12</v>
      </c>
      <c r="J657" s="54">
        <v>6473</v>
      </c>
      <c r="K657" s="364">
        <f>ROUND(H657*J657,0)</f>
        <v>4790</v>
      </c>
      <c r="L657" s="364">
        <f>ROUND(IF(K657&gt;G657,K657-G657,0),0)</f>
        <v>4790</v>
      </c>
      <c r="M657" s="50">
        <v>0</v>
      </c>
      <c r="N657" s="378" t="s">
        <v>318</v>
      </c>
      <c r="O657" s="321" t="s">
        <v>258</v>
      </c>
      <c r="Q657" s="373"/>
      <c r="R657" s="379"/>
      <c r="S657" s="379"/>
      <c r="T657" s="379"/>
      <c r="U657" s="380"/>
      <c r="V657" s="380"/>
      <c r="W657" s="380"/>
      <c r="X657" s="379"/>
      <c r="Y657" s="379"/>
      <c r="Z657" s="379"/>
      <c r="AA657" s="379"/>
      <c r="AB657" s="379"/>
      <c r="AC657" s="379"/>
      <c r="AD657" s="379"/>
    </row>
    <row r="658" spans="1:30" s="321" customFormat="1" ht="165.75" customHeight="1" outlineLevel="1">
      <c r="A658" s="365">
        <f>A656+1</f>
        <v>20</v>
      </c>
      <c r="B658" s="357"/>
      <c r="C658" s="318" t="s">
        <v>400</v>
      </c>
      <c r="D658" s="357"/>
      <c r="E658" s="357"/>
      <c r="F658" s="357"/>
      <c r="G658" s="312"/>
      <c r="H658" s="313">
        <v>1</v>
      </c>
      <c r="I658" s="372" t="s">
        <v>17</v>
      </c>
      <c r="J658" s="40">
        <v>300000</v>
      </c>
      <c r="K658" s="364">
        <f t="shared" si="42"/>
        <v>300000</v>
      </c>
      <c r="L658" s="364">
        <f t="shared" si="43"/>
        <v>300000</v>
      </c>
      <c r="M658" s="50"/>
      <c r="N658" s="315" t="s">
        <v>313</v>
      </c>
      <c r="O658" s="321" t="s">
        <v>258</v>
      </c>
    </row>
    <row r="659" spans="1:30" s="321" customFormat="1" ht="24.8" customHeight="1" outlineLevel="1">
      <c r="A659" s="313"/>
      <c r="B659" s="313"/>
      <c r="C659" s="346" t="s">
        <v>479</v>
      </c>
      <c r="D659" s="346"/>
      <c r="E659" s="346"/>
      <c r="F659" s="346"/>
      <c r="G659" s="346"/>
      <c r="H659" s="358"/>
      <c r="I659" s="372"/>
      <c r="J659" s="381"/>
      <c r="K659" s="314"/>
      <c r="L659" s="314"/>
      <c r="M659" s="50"/>
      <c r="N659" s="130"/>
      <c r="O659" s="321" t="s">
        <v>258</v>
      </c>
      <c r="Q659" s="313"/>
      <c r="U659" s="370"/>
      <c r="V659" s="370"/>
      <c r="W659" s="370"/>
    </row>
    <row r="660" spans="1:30" s="321" customFormat="1" ht="297.7" customHeight="1" outlineLevel="1">
      <c r="A660" s="313">
        <v>22</v>
      </c>
      <c r="C660" s="352" t="s">
        <v>248</v>
      </c>
      <c r="D660" s="382">
        <v>0</v>
      </c>
      <c r="E660" s="354" t="s">
        <v>13</v>
      </c>
      <c r="F660" s="354"/>
      <c r="G660" s="354"/>
      <c r="H660" s="354">
        <v>0.3</v>
      </c>
      <c r="I660" s="313" t="s">
        <v>13</v>
      </c>
      <c r="J660" s="40">
        <f>'Civil Data'!G23</f>
        <v>95386</v>
      </c>
      <c r="K660" s="314">
        <f>ROUND(H660*J660,0)</f>
        <v>28616</v>
      </c>
      <c r="L660" s="314">
        <f>ROUND(IF(K660&gt;G660,K660-G660,0),0)</f>
        <v>28616</v>
      </c>
      <c r="M660" s="314">
        <f>ROUND(IF(K660&lt;G660,G660-K660,0),0)</f>
        <v>0</v>
      </c>
      <c r="N660" s="315" t="s">
        <v>312</v>
      </c>
      <c r="O660" s="321" t="s">
        <v>258</v>
      </c>
    </row>
    <row r="661" spans="1:30" s="321" customFormat="1" outlineLevel="1">
      <c r="A661" s="313"/>
      <c r="C661" s="352" t="s">
        <v>332</v>
      </c>
      <c r="D661" s="382"/>
      <c r="E661" s="354"/>
      <c r="F661" s="354"/>
      <c r="G661" s="354"/>
      <c r="H661" s="354"/>
      <c r="I661" s="313"/>
      <c r="J661" s="40"/>
      <c r="K661" s="314"/>
      <c r="L661" s="314"/>
      <c r="M661" s="314"/>
      <c r="N661" s="315"/>
      <c r="O661" s="321" t="s">
        <v>258</v>
      </c>
    </row>
    <row r="662" spans="1:30" s="321" customFormat="1" ht="191.25" customHeight="1" outlineLevel="1">
      <c r="A662" s="313">
        <v>23</v>
      </c>
      <c r="B662" s="357"/>
      <c r="C662" s="383" t="s">
        <v>211</v>
      </c>
      <c r="D662" s="358">
        <v>0</v>
      </c>
      <c r="E662" s="310" t="s">
        <v>12</v>
      </c>
      <c r="F662" s="357"/>
      <c r="G662" s="312"/>
      <c r="H662" s="313">
        <v>39.78</v>
      </c>
      <c r="I662" s="313" t="s">
        <v>12</v>
      </c>
      <c r="J662" s="40">
        <f>'Civil Data'!I46</f>
        <v>1791</v>
      </c>
      <c r="K662" s="314">
        <f>ROUND(H662*J662,0)</f>
        <v>71246</v>
      </c>
      <c r="L662" s="314">
        <f>ROUND(IF(K662&gt;G662,K662-G662,0),0)</f>
        <v>71246</v>
      </c>
      <c r="M662" s="314">
        <f>ROUND(IF(K662&lt;G662,G662-K662,0),0)</f>
        <v>0</v>
      </c>
      <c r="N662" s="315" t="s">
        <v>318</v>
      </c>
      <c r="O662" s="321" t="s">
        <v>258</v>
      </c>
    </row>
    <row r="663" spans="1:30" s="321" customFormat="1" ht="312.45" outlineLevel="1">
      <c r="A663" s="310">
        <v>24</v>
      </c>
      <c r="C663" s="352" t="s">
        <v>484</v>
      </c>
      <c r="D663" s="382">
        <v>0</v>
      </c>
      <c r="E663" s="354" t="s">
        <v>11</v>
      </c>
      <c r="F663" s="354"/>
      <c r="G663" s="354"/>
      <c r="H663" s="354">
        <v>0.75</v>
      </c>
      <c r="I663" s="313" t="s">
        <v>11</v>
      </c>
      <c r="J663" s="40">
        <f>'Civil Data'!G81</f>
        <v>14683</v>
      </c>
      <c r="K663" s="314">
        <f>ROUND(H663*J663,0)</f>
        <v>11012</v>
      </c>
      <c r="L663" s="314">
        <f>ROUND(IF(K663&gt;G663,K663-G663,0),0)</f>
        <v>11012</v>
      </c>
      <c r="M663" s="314">
        <f>ROUND(IF(K663&lt;G663,G663-K663,0),0)</f>
        <v>0</v>
      </c>
      <c r="N663" s="315" t="s">
        <v>312</v>
      </c>
      <c r="O663" s="321" t="s">
        <v>258</v>
      </c>
    </row>
    <row r="664" spans="1:30" s="321" customFormat="1" outlineLevel="1">
      <c r="A664" s="313"/>
      <c r="C664" s="352" t="s">
        <v>332</v>
      </c>
      <c r="D664" s="382"/>
      <c r="E664" s="354"/>
      <c r="F664" s="354"/>
      <c r="G664" s="354"/>
      <c r="H664" s="354"/>
      <c r="I664" s="313"/>
      <c r="J664" s="40"/>
      <c r="K664" s="314"/>
      <c r="L664" s="314"/>
      <c r="M664" s="314"/>
      <c r="N664" s="315"/>
      <c r="O664" s="321" t="s">
        <v>258</v>
      </c>
    </row>
    <row r="665" spans="1:30" s="321" customFormat="1" ht="265.60000000000002" outlineLevel="1">
      <c r="A665" s="313">
        <v>25</v>
      </c>
      <c r="C665" s="383" t="s">
        <v>175</v>
      </c>
      <c r="D665" s="384">
        <v>0</v>
      </c>
      <c r="E665" s="355" t="s">
        <v>14</v>
      </c>
      <c r="F665" s="355"/>
      <c r="G665" s="355"/>
      <c r="H665" s="355">
        <v>174.5</v>
      </c>
      <c r="I665" s="313" t="s">
        <v>14</v>
      </c>
      <c r="J665" s="40">
        <f>'Civil Data'!G107</f>
        <v>151</v>
      </c>
      <c r="K665" s="314">
        <f>ROUND(H665*J665,0)</f>
        <v>26350</v>
      </c>
      <c r="L665" s="314">
        <f>ROUND(IF(K665&gt;G665,K665-G665,0),0)</f>
        <v>26350</v>
      </c>
      <c r="M665" s="314">
        <f>ROUND(IF(K665&lt;G665,G665-K665,0),0)</f>
        <v>0</v>
      </c>
      <c r="N665" s="315" t="s">
        <v>313</v>
      </c>
      <c r="O665" s="321" t="s">
        <v>258</v>
      </c>
    </row>
    <row r="666" spans="1:30" s="321" customFormat="1" outlineLevel="1">
      <c r="A666" s="313"/>
      <c r="C666" s="352" t="s">
        <v>335</v>
      </c>
      <c r="D666" s="384"/>
      <c r="E666" s="355"/>
      <c r="F666" s="355"/>
      <c r="G666" s="355"/>
      <c r="H666" s="355"/>
      <c r="I666" s="313"/>
      <c r="J666" s="40"/>
      <c r="K666" s="314"/>
      <c r="L666" s="314"/>
      <c r="M666" s="314"/>
      <c r="N666" s="315"/>
      <c r="O666" s="321" t="s">
        <v>258</v>
      </c>
    </row>
    <row r="667" spans="1:30" s="321" customFormat="1" ht="12.1" customHeight="1" outlineLevel="1">
      <c r="A667" s="313"/>
      <c r="F667" s="40"/>
      <c r="G667" s="312"/>
      <c r="H667" s="313"/>
      <c r="I667" s="313"/>
      <c r="J667" s="40"/>
      <c r="K667" s="314"/>
      <c r="L667" s="314">
        <f>ROUND(IF(K667&gt;G667,K667-G667,0),0)</f>
        <v>0</v>
      </c>
      <c r="M667" s="314">
        <f>ROUND(IF(K667&lt;G667,G667-K667,0),0)</f>
        <v>0</v>
      </c>
      <c r="N667" s="315"/>
      <c r="O667" s="321" t="s">
        <v>258</v>
      </c>
    </row>
    <row r="668" spans="1:30" s="321" customFormat="1" ht="30.1" customHeight="1">
      <c r="A668" s="310"/>
      <c r="B668" s="357"/>
      <c r="C668" s="318"/>
      <c r="D668" s="357"/>
      <c r="E668" s="357"/>
      <c r="F668" s="357"/>
      <c r="G668" s="312"/>
      <c r="H668" s="313"/>
      <c r="I668" s="313"/>
      <c r="J668" s="53" t="s">
        <v>206</v>
      </c>
      <c r="K668" s="45">
        <f>SUM(K629:K666)</f>
        <v>1156237</v>
      </c>
      <c r="L668" s="45">
        <f>SUM(L629:L666)</f>
        <v>1156237</v>
      </c>
      <c r="M668" s="45">
        <f>SUM(M629:M666)</f>
        <v>0</v>
      </c>
      <c r="N668" s="315"/>
    </row>
    <row r="669" spans="1:30" s="321" customFormat="1" ht="26.5" customHeight="1">
      <c r="A669" s="313"/>
      <c r="C669" s="346" t="s">
        <v>480</v>
      </c>
      <c r="D669" s="346"/>
      <c r="E669" s="346"/>
      <c r="F669" s="346"/>
      <c r="G669" s="346"/>
      <c r="H669" s="358"/>
      <c r="I669" s="348"/>
      <c r="J669" s="52"/>
      <c r="K669" s="46"/>
      <c r="L669" s="47"/>
      <c r="M669" s="46"/>
      <c r="N669" s="130"/>
    </row>
    <row r="670" spans="1:30" s="321" customFormat="1" ht="202.95" customHeight="1" outlineLevel="1">
      <c r="A670" s="313">
        <v>26</v>
      </c>
      <c r="C670" s="318" t="s">
        <v>416</v>
      </c>
      <c r="D670" s="358">
        <v>0</v>
      </c>
      <c r="E670" s="310" t="s">
        <v>14</v>
      </c>
      <c r="F670" s="371"/>
      <c r="G670" s="371"/>
      <c r="H670" s="367">
        <v>15</v>
      </c>
      <c r="I670" s="372" t="s">
        <v>14</v>
      </c>
      <c r="J670" s="381">
        <v>599</v>
      </c>
      <c r="K670" s="314">
        <f>ROUND(H670*J670,0)</f>
        <v>8985</v>
      </c>
      <c r="L670" s="314">
        <f>ROUND(IF(K670&gt;G670,K670-G670,0),0)</f>
        <v>8985</v>
      </c>
      <c r="M670" s="314">
        <f>ROUND(IF(K670&lt;G670,G670-K670,0),0)</f>
        <v>0</v>
      </c>
      <c r="N670" s="130" t="s">
        <v>319</v>
      </c>
      <c r="O670" s="321" t="s">
        <v>259</v>
      </c>
    </row>
    <row r="671" spans="1:30" s="321" customFormat="1" ht="24.8" customHeight="1">
      <c r="A671" s="313"/>
      <c r="C671" s="318"/>
      <c r="D671" s="358"/>
      <c r="E671" s="310"/>
      <c r="F671" s="371"/>
      <c r="G671" s="371"/>
      <c r="H671" s="385"/>
      <c r="I671" s="372"/>
      <c r="J671" s="53" t="s">
        <v>206</v>
      </c>
      <c r="K671" s="45">
        <f>SUM(K670:K670)</f>
        <v>8985</v>
      </c>
      <c r="L671" s="45">
        <f>SUM(L670:L670)</f>
        <v>8985</v>
      </c>
      <c r="M671" s="44"/>
      <c r="N671" s="130"/>
    </row>
    <row r="672" spans="1:30" s="321" customFormat="1" ht="23.95" customHeight="1">
      <c r="A672" s="313"/>
      <c r="C672" s="386" t="s">
        <v>481</v>
      </c>
      <c r="D672" s="387"/>
      <c r="E672" s="387"/>
      <c r="F672" s="387"/>
      <c r="G672" s="388"/>
      <c r="H672" s="313"/>
      <c r="I672" s="313"/>
      <c r="J672" s="40"/>
      <c r="M672" s="312"/>
      <c r="N672" s="315"/>
    </row>
    <row r="673" spans="1:15" s="321" customFormat="1" ht="158.94999999999999" customHeight="1" outlineLevel="1">
      <c r="A673" s="313">
        <v>27</v>
      </c>
      <c r="C673" s="389" t="s">
        <v>182</v>
      </c>
      <c r="D673" s="358">
        <v>0</v>
      </c>
      <c r="E673" s="390" t="s">
        <v>180</v>
      </c>
      <c r="F673" s="391"/>
      <c r="G673" s="391"/>
      <c r="H673" s="390">
        <v>12</v>
      </c>
      <c r="I673" s="390" t="s">
        <v>180</v>
      </c>
      <c r="J673" s="40">
        <v>17241</v>
      </c>
      <c r="K673" s="314">
        <f>ROUND(H673*J673,0)</f>
        <v>206892</v>
      </c>
      <c r="L673" s="314">
        <f>ROUND(IF(K673&gt;G673,K673-G673,0),0)</f>
        <v>206892</v>
      </c>
      <c r="M673" s="314">
        <f>ROUND(IF(K673&lt;G673,G673-K673,0),0)</f>
        <v>0</v>
      </c>
      <c r="N673" s="315" t="s">
        <v>405</v>
      </c>
      <c r="O673" s="321" t="s">
        <v>260</v>
      </c>
    </row>
    <row r="674" spans="1:15" s="321" customFormat="1" outlineLevel="1">
      <c r="A674" s="313"/>
      <c r="C674" s="392" t="s">
        <v>378</v>
      </c>
      <c r="D674" s="358"/>
      <c r="E674" s="390"/>
      <c r="F674" s="391"/>
      <c r="G674" s="391"/>
      <c r="H674" s="390"/>
      <c r="I674" s="390"/>
      <c r="J674" s="40"/>
      <c r="K674" s="314"/>
      <c r="L674" s="314"/>
      <c r="M674" s="314"/>
      <c r="N674" s="315"/>
      <c r="O674" s="321" t="s">
        <v>260</v>
      </c>
    </row>
    <row r="675" spans="1:15" s="321" customFormat="1" ht="12.1" customHeight="1" outlineLevel="1">
      <c r="A675" s="313"/>
      <c r="F675" s="40"/>
      <c r="G675" s="312"/>
      <c r="H675" s="313"/>
      <c r="I675" s="313"/>
      <c r="J675" s="40"/>
      <c r="K675" s="314"/>
      <c r="L675" s="314">
        <f t="shared" ref="L675:L702" si="44">ROUND(IF(K675&gt;G675,K675-G675,0),0)</f>
        <v>0</v>
      </c>
      <c r="M675" s="314">
        <f t="shared" ref="M675:M702" si="45">ROUND(IF(K675&lt;G675,G675-K675,0),0)</f>
        <v>0</v>
      </c>
      <c r="N675" s="315"/>
      <c r="O675" s="321" t="s">
        <v>260</v>
      </c>
    </row>
    <row r="676" spans="1:15" s="321" customFormat="1" ht="183.6" customHeight="1" outlineLevel="1">
      <c r="A676" s="313">
        <v>28</v>
      </c>
      <c r="C676" s="318" t="s">
        <v>183</v>
      </c>
      <c r="D676" s="358">
        <v>0</v>
      </c>
      <c r="E676" s="319" t="s">
        <v>180</v>
      </c>
      <c r="F676" s="393"/>
      <c r="G676" s="393"/>
      <c r="H676" s="319">
        <v>28</v>
      </c>
      <c r="I676" s="319" t="s">
        <v>180</v>
      </c>
      <c r="J676" s="40">
        <v>4317</v>
      </c>
      <c r="K676" s="314">
        <f>ROUND(H676*J676,0)</f>
        <v>120876</v>
      </c>
      <c r="L676" s="314">
        <f t="shared" si="44"/>
        <v>120876</v>
      </c>
      <c r="M676" s="314">
        <f t="shared" si="45"/>
        <v>0</v>
      </c>
      <c r="N676" s="315" t="s">
        <v>406</v>
      </c>
      <c r="O676" s="321" t="s">
        <v>260</v>
      </c>
    </row>
    <row r="677" spans="1:15" s="321" customFormat="1" outlineLevel="1">
      <c r="A677" s="313"/>
      <c r="C677" s="322" t="s">
        <v>379</v>
      </c>
      <c r="D677" s="358"/>
      <c r="E677" s="319"/>
      <c r="F677" s="393"/>
      <c r="G677" s="393"/>
      <c r="H677" s="319"/>
      <c r="I677" s="319"/>
      <c r="J677" s="40"/>
      <c r="K677" s="314"/>
      <c r="L677" s="314"/>
      <c r="M677" s="314"/>
      <c r="N677" s="315"/>
      <c r="O677" s="321" t="s">
        <v>260</v>
      </c>
    </row>
    <row r="678" spans="1:15" s="321" customFormat="1" ht="12.1" customHeight="1" outlineLevel="1">
      <c r="A678" s="313"/>
      <c r="F678" s="40"/>
      <c r="G678" s="312"/>
      <c r="H678" s="313"/>
      <c r="I678" s="313"/>
      <c r="J678" s="40"/>
      <c r="K678" s="314"/>
      <c r="L678" s="314">
        <f t="shared" si="44"/>
        <v>0</v>
      </c>
      <c r="M678" s="314">
        <f t="shared" si="45"/>
        <v>0</v>
      </c>
      <c r="N678" s="315"/>
      <c r="O678" s="321" t="s">
        <v>260</v>
      </c>
    </row>
    <row r="679" spans="1:15" s="321" customFormat="1" ht="123.8" customHeight="1" outlineLevel="1">
      <c r="A679" s="313">
        <v>29</v>
      </c>
      <c r="C679" s="318" t="s">
        <v>184</v>
      </c>
      <c r="D679" s="358">
        <v>0</v>
      </c>
      <c r="E679" s="319" t="s">
        <v>180</v>
      </c>
      <c r="F679" s="393"/>
      <c r="G679" s="393"/>
      <c r="H679" s="319">
        <v>28</v>
      </c>
      <c r="I679" s="319" t="s">
        <v>180</v>
      </c>
      <c r="J679" s="40">
        <v>185</v>
      </c>
      <c r="K679" s="314">
        <f>ROUND(H679*J679,0)</f>
        <v>5180</v>
      </c>
      <c r="L679" s="314">
        <f t="shared" si="44"/>
        <v>5180</v>
      </c>
      <c r="M679" s="314">
        <f t="shared" si="45"/>
        <v>0</v>
      </c>
      <c r="N679" s="315" t="s">
        <v>487</v>
      </c>
      <c r="O679" s="321" t="s">
        <v>260</v>
      </c>
    </row>
    <row r="680" spans="1:15" s="321" customFormat="1" outlineLevel="1">
      <c r="A680" s="313"/>
      <c r="C680" s="322" t="s">
        <v>380</v>
      </c>
      <c r="D680" s="358"/>
      <c r="E680" s="319"/>
      <c r="F680" s="393"/>
      <c r="G680" s="393"/>
      <c r="H680" s="319"/>
      <c r="I680" s="319"/>
      <c r="J680" s="40"/>
      <c r="K680" s="314"/>
      <c r="L680" s="314"/>
      <c r="M680" s="314"/>
      <c r="N680" s="315"/>
      <c r="O680" s="321" t="s">
        <v>260</v>
      </c>
    </row>
    <row r="681" spans="1:15" s="321" customFormat="1" ht="12.1" customHeight="1" outlineLevel="1">
      <c r="A681" s="313"/>
      <c r="F681" s="40"/>
      <c r="G681" s="312"/>
      <c r="H681" s="313"/>
      <c r="I681" s="313"/>
      <c r="J681" s="40"/>
      <c r="K681" s="314"/>
      <c r="L681" s="314">
        <f t="shared" si="44"/>
        <v>0</v>
      </c>
      <c r="M681" s="314">
        <f t="shared" si="45"/>
        <v>0</v>
      </c>
      <c r="N681" s="315"/>
      <c r="O681" s="321" t="s">
        <v>260</v>
      </c>
    </row>
    <row r="682" spans="1:15" s="321" customFormat="1" ht="75.599999999999994" customHeight="1" outlineLevel="1">
      <c r="A682" s="313">
        <v>30</v>
      </c>
      <c r="C682" s="389" t="s">
        <v>185</v>
      </c>
      <c r="D682" s="358">
        <v>0</v>
      </c>
      <c r="E682" s="319" t="s">
        <v>180</v>
      </c>
      <c r="F682" s="391"/>
      <c r="G682" s="391"/>
      <c r="H682" s="390">
        <v>20</v>
      </c>
      <c r="I682" s="390" t="s">
        <v>180</v>
      </c>
      <c r="J682" s="40">
        <v>1178</v>
      </c>
      <c r="K682" s="314">
        <f>ROUND(H682*J682,0)</f>
        <v>23560</v>
      </c>
      <c r="L682" s="314">
        <f t="shared" si="44"/>
        <v>23560</v>
      </c>
      <c r="M682" s="314">
        <f t="shared" si="45"/>
        <v>0</v>
      </c>
      <c r="N682" s="315" t="s">
        <v>320</v>
      </c>
      <c r="O682" s="321" t="s">
        <v>260</v>
      </c>
    </row>
    <row r="683" spans="1:15" s="321" customFormat="1" outlineLevel="1">
      <c r="A683" s="313"/>
      <c r="C683" s="392" t="s">
        <v>381</v>
      </c>
      <c r="D683" s="358"/>
      <c r="E683" s="319"/>
      <c r="F683" s="391"/>
      <c r="G683" s="391"/>
      <c r="H683" s="390"/>
      <c r="I683" s="390"/>
      <c r="J683" s="40"/>
      <c r="K683" s="314"/>
      <c r="L683" s="314"/>
      <c r="M683" s="314"/>
      <c r="N683" s="315"/>
      <c r="O683" s="321" t="s">
        <v>260</v>
      </c>
    </row>
    <row r="684" spans="1:15" s="321" customFormat="1" ht="12.1" customHeight="1" outlineLevel="1">
      <c r="A684" s="313"/>
      <c r="F684" s="40"/>
      <c r="G684" s="312"/>
      <c r="H684" s="313"/>
      <c r="I684" s="313"/>
      <c r="J684" s="40"/>
      <c r="K684" s="314"/>
      <c r="L684" s="314">
        <f t="shared" si="44"/>
        <v>0</v>
      </c>
      <c r="M684" s="314">
        <f t="shared" si="45"/>
        <v>0</v>
      </c>
      <c r="N684" s="315"/>
      <c r="O684" s="321" t="s">
        <v>260</v>
      </c>
    </row>
    <row r="685" spans="1:15" s="321" customFormat="1" ht="81" customHeight="1" outlineLevel="1">
      <c r="A685" s="313">
        <v>31</v>
      </c>
      <c r="C685" s="394" t="s">
        <v>186</v>
      </c>
      <c r="D685" s="358">
        <v>0</v>
      </c>
      <c r="E685" s="319" t="s">
        <v>180</v>
      </c>
      <c r="F685" s="395"/>
      <c r="G685" s="395"/>
      <c r="H685" s="396">
        <v>28</v>
      </c>
      <c r="I685" s="396" t="s">
        <v>180</v>
      </c>
      <c r="J685" s="40">
        <v>162</v>
      </c>
      <c r="K685" s="314">
        <f>ROUND(H685*J685,0)</f>
        <v>4536</v>
      </c>
      <c r="L685" s="314">
        <f t="shared" si="44"/>
        <v>4536</v>
      </c>
      <c r="M685" s="314">
        <f t="shared" si="45"/>
        <v>0</v>
      </c>
      <c r="N685" s="315" t="s">
        <v>321</v>
      </c>
      <c r="O685" s="321" t="s">
        <v>260</v>
      </c>
    </row>
    <row r="686" spans="1:15" s="321" customFormat="1" outlineLevel="1">
      <c r="A686" s="313"/>
      <c r="C686" s="397" t="s">
        <v>382</v>
      </c>
      <c r="D686" s="358"/>
      <c r="E686" s="319"/>
      <c r="F686" s="395"/>
      <c r="G686" s="395"/>
      <c r="H686" s="396"/>
      <c r="I686" s="396"/>
      <c r="J686" s="40"/>
      <c r="K686" s="314"/>
      <c r="L686" s="314"/>
      <c r="M686" s="314"/>
      <c r="N686" s="315"/>
      <c r="O686" s="321" t="s">
        <v>260</v>
      </c>
    </row>
    <row r="687" spans="1:15" s="321" customFormat="1" ht="12.1" customHeight="1" outlineLevel="1">
      <c r="A687" s="313"/>
      <c r="F687" s="40"/>
      <c r="G687" s="312"/>
      <c r="H687" s="313"/>
      <c r="I687" s="313"/>
      <c r="J687" s="40"/>
      <c r="K687" s="314"/>
      <c r="L687" s="314">
        <f t="shared" si="44"/>
        <v>0</v>
      </c>
      <c r="M687" s="314">
        <f t="shared" si="45"/>
        <v>0</v>
      </c>
      <c r="N687" s="315"/>
      <c r="O687" s="321" t="s">
        <v>260</v>
      </c>
    </row>
    <row r="688" spans="1:15" s="321" customFormat="1" ht="107.35" customHeight="1" outlineLevel="1">
      <c r="A688" s="313">
        <v>32</v>
      </c>
      <c r="C688" s="389" t="s">
        <v>187</v>
      </c>
      <c r="D688" s="358">
        <v>0</v>
      </c>
      <c r="E688" s="319" t="s">
        <v>180</v>
      </c>
      <c r="F688" s="391"/>
      <c r="G688" s="391"/>
      <c r="H688" s="390">
        <v>2</v>
      </c>
      <c r="I688" s="390" t="s">
        <v>180</v>
      </c>
      <c r="J688" s="40">
        <v>9444</v>
      </c>
      <c r="K688" s="314">
        <f>ROUND(H688*J688,0)</f>
        <v>18888</v>
      </c>
      <c r="L688" s="314">
        <f t="shared" si="44"/>
        <v>18888</v>
      </c>
      <c r="M688" s="314">
        <f t="shared" si="45"/>
        <v>0</v>
      </c>
      <c r="N688" s="315" t="s">
        <v>390</v>
      </c>
      <c r="O688" s="321" t="s">
        <v>260</v>
      </c>
    </row>
    <row r="689" spans="1:15" s="321" customFormat="1" outlineLevel="1">
      <c r="A689" s="313"/>
      <c r="C689" s="392" t="s">
        <v>382</v>
      </c>
      <c r="D689" s="358"/>
      <c r="E689" s="319"/>
      <c r="F689" s="391"/>
      <c r="G689" s="391"/>
      <c r="H689" s="390"/>
      <c r="I689" s="390"/>
      <c r="J689" s="40"/>
      <c r="K689" s="314"/>
      <c r="L689" s="314"/>
      <c r="M689" s="314"/>
      <c r="N689" s="315"/>
      <c r="O689" s="321" t="s">
        <v>260</v>
      </c>
    </row>
    <row r="690" spans="1:15" s="321" customFormat="1" ht="12.1" customHeight="1" outlineLevel="1">
      <c r="A690" s="313"/>
      <c r="F690" s="40"/>
      <c r="G690" s="312"/>
      <c r="H690" s="313"/>
      <c r="I690" s="313"/>
      <c r="J690" s="40"/>
      <c r="K690" s="314"/>
      <c r="L690" s="314">
        <f t="shared" si="44"/>
        <v>0</v>
      </c>
      <c r="M690" s="314">
        <f t="shared" si="45"/>
        <v>0</v>
      </c>
      <c r="N690" s="315"/>
      <c r="O690" s="321" t="s">
        <v>260</v>
      </c>
    </row>
    <row r="691" spans="1:15" s="321" customFormat="1" ht="92.25" customHeight="1" outlineLevel="1">
      <c r="A691" s="313">
        <v>33</v>
      </c>
      <c r="C691" s="398" t="s">
        <v>188</v>
      </c>
      <c r="D691" s="358">
        <v>0</v>
      </c>
      <c r="E691" s="319" t="s">
        <v>180</v>
      </c>
      <c r="F691" s="399"/>
      <c r="G691" s="399"/>
      <c r="H691" s="400">
        <v>8</v>
      </c>
      <c r="I691" s="400" t="s">
        <v>180</v>
      </c>
      <c r="J691" s="40">
        <v>5085</v>
      </c>
      <c r="K691" s="314">
        <f>ROUND(H691*J691,0)</f>
        <v>40680</v>
      </c>
      <c r="L691" s="314">
        <f t="shared" si="44"/>
        <v>40680</v>
      </c>
      <c r="M691" s="314">
        <f t="shared" si="45"/>
        <v>0</v>
      </c>
      <c r="N691" s="315" t="s">
        <v>322</v>
      </c>
      <c r="O691" s="321" t="s">
        <v>260</v>
      </c>
    </row>
    <row r="692" spans="1:15" s="321" customFormat="1" outlineLevel="1">
      <c r="A692" s="313"/>
      <c r="C692" s="401" t="s">
        <v>382</v>
      </c>
      <c r="D692" s="358"/>
      <c r="E692" s="319"/>
      <c r="F692" s="399"/>
      <c r="G692" s="399"/>
      <c r="H692" s="400"/>
      <c r="I692" s="400"/>
      <c r="J692" s="40"/>
      <c r="K692" s="314"/>
      <c r="L692" s="314"/>
      <c r="M692" s="314"/>
      <c r="N692" s="315"/>
      <c r="O692" s="321" t="s">
        <v>260</v>
      </c>
    </row>
    <row r="693" spans="1:15" s="321" customFormat="1" ht="12.1" customHeight="1" outlineLevel="1">
      <c r="A693" s="313"/>
      <c r="F693" s="40"/>
      <c r="G693" s="312"/>
      <c r="H693" s="313"/>
      <c r="I693" s="313"/>
      <c r="J693" s="40"/>
      <c r="K693" s="314"/>
      <c r="L693" s="314">
        <f t="shared" si="44"/>
        <v>0</v>
      </c>
      <c r="M693" s="314">
        <f t="shared" si="45"/>
        <v>0</v>
      </c>
      <c r="N693" s="315"/>
      <c r="O693" s="321" t="s">
        <v>260</v>
      </c>
    </row>
    <row r="694" spans="1:15" s="321" customFormat="1" ht="105.8" customHeight="1" outlineLevel="1">
      <c r="A694" s="313">
        <v>34</v>
      </c>
      <c r="C694" s="318" t="s">
        <v>189</v>
      </c>
      <c r="D694" s="358">
        <v>0</v>
      </c>
      <c r="E694" s="319" t="s">
        <v>180</v>
      </c>
      <c r="F694" s="393"/>
      <c r="G694" s="393"/>
      <c r="H694" s="319">
        <v>2</v>
      </c>
      <c r="I694" s="319" t="s">
        <v>180</v>
      </c>
      <c r="J694" s="40">
        <v>4203</v>
      </c>
      <c r="K694" s="314">
        <f>ROUND(H694*J694,0)</f>
        <v>8406</v>
      </c>
      <c r="L694" s="314">
        <f t="shared" si="44"/>
        <v>8406</v>
      </c>
      <c r="M694" s="314">
        <f t="shared" si="45"/>
        <v>0</v>
      </c>
      <c r="N694" s="315" t="s">
        <v>391</v>
      </c>
      <c r="O694" s="321" t="s">
        <v>260</v>
      </c>
    </row>
    <row r="695" spans="1:15" s="321" customFormat="1" outlineLevel="1">
      <c r="A695" s="313"/>
      <c r="C695" s="322" t="s">
        <v>382</v>
      </c>
      <c r="D695" s="358"/>
      <c r="E695" s="319"/>
      <c r="F695" s="393"/>
      <c r="G695" s="393"/>
      <c r="H695" s="319"/>
      <c r="I695" s="319"/>
      <c r="J695" s="40"/>
      <c r="K695" s="314"/>
      <c r="L695" s="314"/>
      <c r="M695" s="314"/>
      <c r="N695" s="315"/>
      <c r="O695" s="321" t="s">
        <v>260</v>
      </c>
    </row>
    <row r="696" spans="1:15" s="321" customFormat="1" ht="12.1" customHeight="1" outlineLevel="1">
      <c r="A696" s="313"/>
      <c r="C696" s="322"/>
      <c r="D696" s="358"/>
      <c r="E696" s="319"/>
      <c r="F696" s="393"/>
      <c r="G696" s="393"/>
      <c r="H696" s="319"/>
      <c r="I696" s="319"/>
      <c r="J696" s="40"/>
      <c r="K696" s="314"/>
      <c r="L696" s="314"/>
      <c r="M696" s="314"/>
      <c r="N696" s="315"/>
      <c r="O696" s="321" t="s">
        <v>260</v>
      </c>
    </row>
    <row r="697" spans="1:15" s="321" customFormat="1" ht="78.150000000000006" outlineLevel="1">
      <c r="A697" s="313">
        <v>35</v>
      </c>
      <c r="C697" s="318" t="s">
        <v>401</v>
      </c>
      <c r="D697" s="358"/>
      <c r="E697" s="319"/>
      <c r="F697" s="393"/>
      <c r="G697" s="393"/>
      <c r="H697" s="319">
        <v>210</v>
      </c>
      <c r="I697" s="319" t="s">
        <v>14</v>
      </c>
      <c r="J697" s="359">
        <v>130</v>
      </c>
      <c r="K697" s="314">
        <f>ROUND(H697*J697,0)</f>
        <v>27300</v>
      </c>
      <c r="L697" s="314">
        <f>ROUND(IF(K697&gt;G697,K697-G697,0),0)</f>
        <v>27300</v>
      </c>
      <c r="M697" s="314">
        <f>ROUND(IF(K697&lt;G697,G697-K697,0),0)</f>
        <v>0</v>
      </c>
      <c r="N697" s="315" t="s">
        <v>613</v>
      </c>
      <c r="O697" s="321" t="s">
        <v>260</v>
      </c>
    </row>
    <row r="698" spans="1:15" s="321" customFormat="1" outlineLevel="1">
      <c r="A698" s="313"/>
      <c r="C698" s="318"/>
      <c r="D698" s="358"/>
      <c r="E698" s="319"/>
      <c r="F698" s="393"/>
      <c r="G698" s="393"/>
      <c r="H698" s="319"/>
      <c r="I698" s="319"/>
      <c r="J698" s="359"/>
      <c r="K698" s="314"/>
      <c r="L698" s="314"/>
      <c r="M698" s="314"/>
      <c r="N698" s="315"/>
      <c r="O698" s="321" t="s">
        <v>260</v>
      </c>
    </row>
    <row r="699" spans="1:15" s="321" customFormat="1" ht="84.1" customHeight="1" outlineLevel="1">
      <c r="A699" s="313">
        <v>36</v>
      </c>
      <c r="C699" s="318" t="s">
        <v>407</v>
      </c>
      <c r="D699" s="358"/>
      <c r="E699" s="319"/>
      <c r="F699" s="393"/>
      <c r="G699" s="393"/>
      <c r="H699" s="319">
        <v>1</v>
      </c>
      <c r="I699" s="319" t="s">
        <v>17</v>
      </c>
      <c r="J699" s="359">
        <v>9600</v>
      </c>
      <c r="K699" s="314">
        <f>ROUND(H699*J699,0)</f>
        <v>9600</v>
      </c>
      <c r="L699" s="314">
        <f>ROUND(IF(K699&gt;G699,K699-G699,0),0)</f>
        <v>9600</v>
      </c>
      <c r="M699" s="314">
        <f>ROUND(IF(K699&lt;G699,G699-K699,0),0)</f>
        <v>0</v>
      </c>
      <c r="N699" s="315" t="s">
        <v>313</v>
      </c>
      <c r="O699" s="321" t="s">
        <v>260</v>
      </c>
    </row>
    <row r="700" spans="1:15" s="321" customFormat="1" ht="12.1" customHeight="1" outlineLevel="1">
      <c r="A700" s="313"/>
      <c r="F700" s="40"/>
      <c r="G700" s="312"/>
      <c r="H700" s="313"/>
      <c r="I700" s="313"/>
      <c r="J700" s="40"/>
      <c r="K700" s="314"/>
      <c r="L700" s="314">
        <f t="shared" si="44"/>
        <v>0</v>
      </c>
      <c r="M700" s="314">
        <f t="shared" si="45"/>
        <v>0</v>
      </c>
      <c r="N700" s="315"/>
      <c r="O700" s="321" t="s">
        <v>260</v>
      </c>
    </row>
    <row r="701" spans="1:15" s="321" customFormat="1" ht="24.65" customHeight="1" outlineLevel="1">
      <c r="B701" s="387"/>
      <c r="C701" s="386" t="s">
        <v>486</v>
      </c>
      <c r="D701" s="387"/>
      <c r="E701" s="387"/>
      <c r="F701" s="387"/>
      <c r="G701" s="388"/>
      <c r="H701" s="313"/>
      <c r="I701" s="313"/>
      <c r="J701" s="40"/>
      <c r="K701" s="314"/>
      <c r="L701" s="314"/>
      <c r="M701" s="314"/>
      <c r="N701" s="315"/>
      <c r="O701" s="321" t="s">
        <v>260</v>
      </c>
    </row>
    <row r="702" spans="1:15" s="321" customFormat="1" ht="220.6" customHeight="1" outlineLevel="1">
      <c r="A702" s="313">
        <v>37</v>
      </c>
      <c r="C702" s="318" t="s">
        <v>190</v>
      </c>
      <c r="D702" s="358">
        <v>0</v>
      </c>
      <c r="E702" s="319" t="s">
        <v>180</v>
      </c>
      <c r="F702" s="393"/>
      <c r="G702" s="393"/>
      <c r="H702" s="319">
        <v>1</v>
      </c>
      <c r="I702" s="319" t="s">
        <v>180</v>
      </c>
      <c r="J702" s="359">
        <f>'Civil Data'!I115</f>
        <v>30768</v>
      </c>
      <c r="K702" s="314">
        <f>ROUND(H702*J702,0)</f>
        <v>30768</v>
      </c>
      <c r="L702" s="314">
        <f t="shared" si="44"/>
        <v>30768</v>
      </c>
      <c r="M702" s="314">
        <f t="shared" si="45"/>
        <v>0</v>
      </c>
      <c r="N702" s="315" t="s">
        <v>392</v>
      </c>
      <c r="O702" s="321" t="s">
        <v>260</v>
      </c>
    </row>
    <row r="703" spans="1:15" s="321" customFormat="1" outlineLevel="1">
      <c r="A703" s="313"/>
      <c r="C703" s="322" t="s">
        <v>383</v>
      </c>
      <c r="D703" s="358"/>
      <c r="E703" s="319"/>
      <c r="F703" s="393"/>
      <c r="G703" s="393"/>
      <c r="H703" s="319"/>
      <c r="I703" s="319"/>
      <c r="J703" s="359"/>
      <c r="K703" s="314"/>
      <c r="L703" s="314"/>
      <c r="M703" s="314"/>
      <c r="N703" s="315"/>
    </row>
    <row r="704" spans="1:15" s="321" customFormat="1" ht="19.55" customHeight="1">
      <c r="A704" s="313"/>
      <c r="F704" s="40"/>
      <c r="G704" s="312"/>
      <c r="H704" s="313"/>
      <c r="I704" s="313"/>
      <c r="J704" s="53" t="s">
        <v>206</v>
      </c>
      <c r="K704" s="45">
        <f>SUM(K673:K703)</f>
        <v>496686</v>
      </c>
      <c r="L704" s="45">
        <f>SUM(L673:L703)</f>
        <v>496686</v>
      </c>
      <c r="M704" s="45">
        <f>SUM(M673:M703)</f>
        <v>0</v>
      </c>
      <c r="N704" s="315"/>
    </row>
    <row r="705" spans="1:17" s="321" customFormat="1" ht="12.1" customHeight="1">
      <c r="A705" s="402"/>
      <c r="B705" s="403"/>
      <c r="C705" s="403"/>
      <c r="D705" s="403"/>
      <c r="E705" s="403"/>
      <c r="F705" s="403"/>
      <c r="G705" s="403"/>
      <c r="H705" s="403"/>
      <c r="I705" s="403"/>
      <c r="J705" s="403"/>
      <c r="K705" s="403"/>
      <c r="L705" s="403"/>
      <c r="M705" s="403"/>
      <c r="N705" s="404"/>
    </row>
    <row r="706" spans="1:17" s="321" customFormat="1" ht="26.35" customHeight="1">
      <c r="B706" s="346"/>
      <c r="C706" s="346" t="s">
        <v>482</v>
      </c>
      <c r="D706" s="346"/>
      <c r="E706" s="346"/>
      <c r="F706" s="346"/>
      <c r="G706" s="346"/>
      <c r="H706" s="313"/>
      <c r="I706" s="313"/>
      <c r="J706" s="40"/>
      <c r="M706" s="312"/>
      <c r="N706" s="315"/>
    </row>
    <row r="707" spans="1:17" s="321" customFormat="1" ht="124.15" customHeight="1" outlineLevel="1">
      <c r="A707" s="313">
        <v>38</v>
      </c>
      <c r="C707" s="315" t="s">
        <v>177</v>
      </c>
      <c r="D707" s="358">
        <v>0</v>
      </c>
      <c r="E707" s="313" t="s">
        <v>370</v>
      </c>
      <c r="F707" s="357"/>
      <c r="G707" s="357"/>
      <c r="H707" s="310">
        <v>211.24</v>
      </c>
      <c r="I707" s="313" t="s">
        <v>370</v>
      </c>
      <c r="J707" s="40">
        <v>190</v>
      </c>
      <c r="K707" s="314">
        <f>ROUND(H707*J707,0)</f>
        <v>40136</v>
      </c>
      <c r="L707" s="314">
        <f>ROUND(IF(K707&gt;G707,K707-G707,0),0)</f>
        <v>40136</v>
      </c>
      <c r="M707" s="314">
        <f>ROUND(IF(K707&lt;G707,G707-K707,0),0)</f>
        <v>0</v>
      </c>
      <c r="N707" s="315" t="s">
        <v>314</v>
      </c>
      <c r="O707" s="321" t="s">
        <v>261</v>
      </c>
    </row>
    <row r="708" spans="1:17" s="321" customFormat="1" outlineLevel="1">
      <c r="A708" s="313"/>
      <c r="C708" s="342" t="s">
        <v>359</v>
      </c>
      <c r="D708" s="358"/>
      <c r="E708" s="310"/>
      <c r="F708" s="357"/>
      <c r="G708" s="357"/>
      <c r="H708" s="310"/>
      <c r="I708" s="313"/>
      <c r="J708" s="40"/>
      <c r="K708" s="314"/>
      <c r="L708" s="314"/>
      <c r="M708" s="314"/>
      <c r="N708" s="315"/>
      <c r="O708" s="321" t="s">
        <v>261</v>
      </c>
    </row>
    <row r="709" spans="1:17" s="321" customFormat="1" ht="12.1" customHeight="1" outlineLevel="1">
      <c r="A709" s="313"/>
      <c r="C709" s="315"/>
      <c r="D709" s="358"/>
      <c r="E709" s="310"/>
      <c r="F709" s="357"/>
      <c r="G709" s="357"/>
      <c r="H709" s="310"/>
      <c r="I709" s="313"/>
      <c r="J709" s="40"/>
      <c r="K709" s="314"/>
      <c r="L709" s="314"/>
      <c r="M709" s="314"/>
      <c r="N709" s="315"/>
      <c r="O709" s="321" t="s">
        <v>261</v>
      </c>
    </row>
    <row r="710" spans="1:17" s="321" customFormat="1" ht="131.94999999999999" customHeight="1" outlineLevel="1">
      <c r="A710" s="313">
        <v>39</v>
      </c>
      <c r="C710" s="315" t="s">
        <v>178</v>
      </c>
      <c r="D710" s="358">
        <v>0</v>
      </c>
      <c r="E710" s="313" t="s">
        <v>370</v>
      </c>
      <c r="F710" s="357"/>
      <c r="G710" s="357"/>
      <c r="H710" s="310">
        <v>74.25</v>
      </c>
      <c r="I710" s="313" t="s">
        <v>370</v>
      </c>
      <c r="J710" s="40">
        <v>190</v>
      </c>
      <c r="K710" s="314">
        <f>ROUND(H710*J710,0)</f>
        <v>14108</v>
      </c>
      <c r="L710" s="314">
        <f>ROUND(IF(K710&gt;G710,K710-G710,0),0)</f>
        <v>14108</v>
      </c>
      <c r="M710" s="314">
        <f>ROUND(IF(K710&lt;G710,G710-K710,0),0)</f>
        <v>0</v>
      </c>
      <c r="N710" s="315" t="s">
        <v>314</v>
      </c>
      <c r="O710" s="321" t="s">
        <v>261</v>
      </c>
    </row>
    <row r="711" spans="1:17" s="321" customFormat="1" outlineLevel="1">
      <c r="A711" s="313"/>
      <c r="C711" s="342" t="s">
        <v>369</v>
      </c>
      <c r="D711" s="358"/>
      <c r="E711" s="310"/>
      <c r="F711" s="357"/>
      <c r="G711" s="357"/>
      <c r="H711" s="310"/>
      <c r="I711" s="313"/>
      <c r="J711" s="40"/>
      <c r="K711" s="314"/>
      <c r="L711" s="314"/>
      <c r="M711" s="314"/>
      <c r="N711" s="315"/>
      <c r="O711" s="321" t="s">
        <v>261</v>
      </c>
    </row>
    <row r="712" spans="1:17" s="321" customFormat="1" outlineLevel="1">
      <c r="A712" s="313"/>
      <c r="C712" s="342"/>
      <c r="D712" s="358"/>
      <c r="E712" s="310"/>
      <c r="F712" s="357"/>
      <c r="G712" s="357"/>
      <c r="H712" s="310"/>
      <c r="I712" s="313"/>
      <c r="J712" s="40"/>
      <c r="K712" s="314"/>
      <c r="L712" s="314"/>
      <c r="M712" s="314"/>
      <c r="N712" s="315"/>
      <c r="O712" s="321" t="s">
        <v>261</v>
      </c>
    </row>
    <row r="713" spans="1:17" s="321" customFormat="1" ht="114.65" customHeight="1" outlineLevel="1">
      <c r="A713" s="313">
        <v>40</v>
      </c>
      <c r="C713" s="315" t="s">
        <v>488</v>
      </c>
      <c r="D713" s="358">
        <v>0</v>
      </c>
      <c r="E713" s="313" t="s">
        <v>180</v>
      </c>
      <c r="F713" s="357"/>
      <c r="G713" s="357"/>
      <c r="H713" s="310">
        <v>2</v>
      </c>
      <c r="I713" s="313" t="s">
        <v>180</v>
      </c>
      <c r="J713" s="40">
        <v>6500</v>
      </c>
      <c r="K713" s="314">
        <f>ROUND(H713*J713,0)</f>
        <v>13000</v>
      </c>
      <c r="L713" s="314">
        <f>ROUND(IF(K713&gt;G713,K713-G713,0),0)</f>
        <v>13000</v>
      </c>
      <c r="M713" s="314"/>
      <c r="N713" s="315" t="s">
        <v>489</v>
      </c>
      <c r="O713" s="321" t="s">
        <v>261</v>
      </c>
    </row>
    <row r="714" spans="1:17" s="321" customFormat="1" outlineLevel="1">
      <c r="A714" s="313"/>
      <c r="C714" s="342"/>
      <c r="D714" s="358"/>
      <c r="E714" s="310"/>
      <c r="F714" s="357"/>
      <c r="G714" s="357"/>
      <c r="H714" s="310"/>
      <c r="I714" s="313"/>
      <c r="J714" s="40"/>
      <c r="K714" s="314"/>
      <c r="L714" s="314"/>
      <c r="M714" s="314"/>
      <c r="N714" s="315"/>
      <c r="O714" s="321" t="s">
        <v>261</v>
      </c>
    </row>
    <row r="715" spans="1:17" s="321" customFormat="1" ht="25.15" customHeight="1" outlineLevel="1">
      <c r="B715" s="405"/>
      <c r="C715" s="406" t="s">
        <v>485</v>
      </c>
      <c r="D715" s="405"/>
      <c r="E715" s="405"/>
      <c r="F715" s="405"/>
      <c r="G715" s="407"/>
      <c r="H715" s="310"/>
      <c r="I715" s="313"/>
      <c r="J715" s="40"/>
      <c r="K715" s="314"/>
      <c r="L715" s="314"/>
      <c r="M715" s="314"/>
      <c r="N715" s="315"/>
      <c r="O715" s="321" t="s">
        <v>261</v>
      </c>
    </row>
    <row r="716" spans="1:17" s="321" customFormat="1" ht="387" customHeight="1" outlineLevel="1">
      <c r="A716" s="313">
        <v>41</v>
      </c>
      <c r="C716" s="318" t="s">
        <v>417</v>
      </c>
      <c r="D716" s="358">
        <v>0</v>
      </c>
      <c r="E716" s="313" t="s">
        <v>180</v>
      </c>
      <c r="F716" s="357"/>
      <c r="G716" s="357"/>
      <c r="H716" s="310">
        <v>1</v>
      </c>
      <c r="I716" s="313" t="s">
        <v>180</v>
      </c>
      <c r="J716" s="40">
        <v>446250</v>
      </c>
      <c r="K716" s="314">
        <f>ROUND(H716*J716,0)</f>
        <v>446250</v>
      </c>
      <c r="L716" s="314">
        <f>ROUND(IF(K716&gt;G716,K716-G716,0),0)</f>
        <v>446250</v>
      </c>
      <c r="M716" s="314">
        <f>ROUND(IF(K716&lt;G716,G716-K716,0),0)</f>
        <v>0</v>
      </c>
      <c r="N716" s="315" t="s">
        <v>324</v>
      </c>
      <c r="O716" s="321" t="s">
        <v>261</v>
      </c>
      <c r="Q716" s="408">
        <f>J716*0.9</f>
        <v>401625</v>
      </c>
    </row>
    <row r="717" spans="1:17" s="321" customFormat="1" outlineLevel="1">
      <c r="A717" s="313"/>
      <c r="C717" s="342" t="s">
        <v>345</v>
      </c>
      <c r="D717" s="358"/>
      <c r="E717" s="313"/>
      <c r="F717" s="357"/>
      <c r="G717" s="357"/>
      <c r="H717" s="310"/>
      <c r="I717" s="313"/>
      <c r="J717" s="40"/>
      <c r="K717" s="314"/>
      <c r="L717" s="314"/>
      <c r="M717" s="314"/>
      <c r="N717" s="315"/>
      <c r="O717" s="321" t="s">
        <v>261</v>
      </c>
    </row>
    <row r="718" spans="1:17" s="321" customFormat="1" ht="12.1" customHeight="1" outlineLevel="1">
      <c r="A718" s="313"/>
      <c r="F718" s="40"/>
      <c r="G718" s="312"/>
      <c r="H718" s="313"/>
      <c r="I718" s="313"/>
      <c r="J718" s="40"/>
      <c r="K718" s="314"/>
      <c r="L718" s="314">
        <f t="shared" ref="L718:L725" si="46">ROUND(IF(K718&gt;G718,K718-G718,0),0)</f>
        <v>0</v>
      </c>
      <c r="M718" s="314">
        <f t="shared" ref="M718:M725" si="47">ROUND(IF(K718&lt;G718,G718-K718,0),0)</f>
        <v>0</v>
      </c>
      <c r="N718" s="315"/>
      <c r="O718" s="321" t="s">
        <v>261</v>
      </c>
    </row>
    <row r="719" spans="1:17" s="321" customFormat="1" ht="181.9" customHeight="1" outlineLevel="1">
      <c r="A719" s="313">
        <v>42</v>
      </c>
      <c r="C719" s="315" t="s">
        <v>191</v>
      </c>
      <c r="D719" s="358">
        <v>0</v>
      </c>
      <c r="E719" s="357"/>
      <c r="F719" s="357"/>
      <c r="G719" s="357"/>
      <c r="H719" s="310">
        <v>2</v>
      </c>
      <c r="I719" s="313" t="s">
        <v>180</v>
      </c>
      <c r="J719" s="40">
        <v>45000</v>
      </c>
      <c r="K719" s="314">
        <f>ROUND(H719*J719,0)</f>
        <v>90000</v>
      </c>
      <c r="L719" s="314">
        <f t="shared" si="46"/>
        <v>90000</v>
      </c>
      <c r="M719" s="314">
        <f t="shared" si="47"/>
        <v>0</v>
      </c>
      <c r="N719" s="315" t="s">
        <v>325</v>
      </c>
      <c r="O719" s="321" t="s">
        <v>261</v>
      </c>
    </row>
    <row r="720" spans="1:17" s="321" customFormat="1" outlineLevel="1">
      <c r="A720" s="313"/>
      <c r="C720" s="342" t="s">
        <v>346</v>
      </c>
      <c r="D720" s="358"/>
      <c r="E720" s="357"/>
      <c r="F720" s="357"/>
      <c r="G720" s="357"/>
      <c r="H720" s="310"/>
      <c r="I720" s="313"/>
      <c r="J720" s="40"/>
      <c r="K720" s="314"/>
      <c r="L720" s="314"/>
      <c r="M720" s="314"/>
      <c r="N720" s="315"/>
      <c r="O720" s="321" t="s">
        <v>261</v>
      </c>
    </row>
    <row r="721" spans="1:16" s="321" customFormat="1" ht="12.1" customHeight="1" outlineLevel="1">
      <c r="A721" s="313"/>
      <c r="F721" s="40"/>
      <c r="G721" s="312"/>
      <c r="H721" s="313"/>
      <c r="I721" s="313"/>
      <c r="J721" s="40"/>
      <c r="K721" s="314"/>
      <c r="L721" s="314">
        <f t="shared" si="46"/>
        <v>0</v>
      </c>
      <c r="M721" s="314">
        <f t="shared" si="47"/>
        <v>0</v>
      </c>
      <c r="N721" s="315"/>
      <c r="O721" s="321" t="s">
        <v>261</v>
      </c>
    </row>
    <row r="722" spans="1:16" s="321" customFormat="1" ht="354.6" customHeight="1" outlineLevel="1">
      <c r="A722" s="313">
        <v>43</v>
      </c>
      <c r="C722" s="315" t="s">
        <v>192</v>
      </c>
      <c r="D722" s="358">
        <v>0</v>
      </c>
      <c r="E722" s="313" t="s">
        <v>180</v>
      </c>
      <c r="F722" s="357"/>
      <c r="G722" s="357"/>
      <c r="H722" s="310">
        <v>1</v>
      </c>
      <c r="I722" s="313" t="s">
        <v>180</v>
      </c>
      <c r="J722" s="40">
        <v>798500</v>
      </c>
      <c r="K722" s="314">
        <f>ROUND(H722*J722,0)</f>
        <v>798500</v>
      </c>
      <c r="L722" s="314">
        <f t="shared" si="46"/>
        <v>798500</v>
      </c>
      <c r="M722" s="314">
        <f t="shared" si="47"/>
        <v>0</v>
      </c>
      <c r="N722" s="315" t="s">
        <v>323</v>
      </c>
      <c r="O722" s="321" t="s">
        <v>261</v>
      </c>
      <c r="P722" s="321">
        <f>590000*120%</f>
        <v>708000</v>
      </c>
    </row>
    <row r="723" spans="1:16" s="321" customFormat="1" outlineLevel="1">
      <c r="A723" s="313"/>
      <c r="C723" s="342" t="s">
        <v>365</v>
      </c>
      <c r="D723" s="358"/>
      <c r="E723" s="313"/>
      <c r="F723" s="357"/>
      <c r="G723" s="357"/>
      <c r="H723" s="310"/>
      <c r="I723" s="313"/>
      <c r="J723" s="40"/>
      <c r="K723" s="314"/>
      <c r="L723" s="314"/>
      <c r="M723" s="314"/>
      <c r="N723" s="315"/>
      <c r="O723" s="321" t="s">
        <v>261</v>
      </c>
    </row>
    <row r="724" spans="1:16" s="321" customFormat="1" ht="12.1" customHeight="1" outlineLevel="1">
      <c r="A724" s="313"/>
      <c r="F724" s="40"/>
      <c r="G724" s="312"/>
      <c r="H724" s="313"/>
      <c r="I724" s="313"/>
      <c r="J724" s="40"/>
      <c r="K724" s="314"/>
      <c r="L724" s="314">
        <f t="shared" si="46"/>
        <v>0</v>
      </c>
      <c r="M724" s="314">
        <f t="shared" si="47"/>
        <v>0</v>
      </c>
      <c r="N724" s="315"/>
      <c r="O724" s="321" t="s">
        <v>261</v>
      </c>
    </row>
    <row r="725" spans="1:16" s="321" customFormat="1" ht="248.95" customHeight="1" outlineLevel="1">
      <c r="A725" s="313">
        <v>44</v>
      </c>
      <c r="C725" s="315" t="s">
        <v>193</v>
      </c>
      <c r="D725" s="358">
        <v>0</v>
      </c>
      <c r="E725" s="313" t="s">
        <v>180</v>
      </c>
      <c r="F725" s="357"/>
      <c r="G725" s="357"/>
      <c r="H725" s="310">
        <v>2</v>
      </c>
      <c r="I725" s="313" t="s">
        <v>180</v>
      </c>
      <c r="J725" s="40">
        <v>268750</v>
      </c>
      <c r="K725" s="314">
        <f>ROUND(H725*J725,0)</f>
        <v>537500</v>
      </c>
      <c r="L725" s="314">
        <f t="shared" si="46"/>
        <v>537500</v>
      </c>
      <c r="M725" s="314">
        <f t="shared" si="47"/>
        <v>0</v>
      </c>
      <c r="N725" s="315" t="s">
        <v>326</v>
      </c>
      <c r="O725" s="321" t="s">
        <v>261</v>
      </c>
      <c r="P725" s="321">
        <f>182000*120%</f>
        <v>218400</v>
      </c>
    </row>
    <row r="726" spans="1:16" s="321" customFormat="1" outlineLevel="1">
      <c r="A726" s="313"/>
      <c r="C726" s="342" t="s">
        <v>366</v>
      </c>
      <c r="D726" s="358"/>
      <c r="E726" s="313"/>
      <c r="F726" s="357"/>
      <c r="G726" s="357"/>
      <c r="H726" s="310"/>
      <c r="I726" s="313"/>
      <c r="J726" s="40"/>
      <c r="K726" s="314"/>
      <c r="L726" s="314"/>
      <c r="M726" s="314"/>
      <c r="N726" s="315"/>
      <c r="O726" s="321" t="s">
        <v>261</v>
      </c>
    </row>
    <row r="727" spans="1:16" s="321" customFormat="1" ht="21.75" customHeight="1">
      <c r="A727" s="313"/>
      <c r="F727" s="40"/>
      <c r="G727" s="312"/>
      <c r="H727" s="313"/>
      <c r="I727" s="313"/>
      <c r="J727" s="53" t="s">
        <v>206</v>
      </c>
      <c r="K727" s="48">
        <f>SUM(K707:K726)</f>
        <v>1939494</v>
      </c>
      <c r="L727" s="48">
        <f>SUM(L707:L726)</f>
        <v>1939494</v>
      </c>
      <c r="M727" s="48">
        <f>SUM(M716:M726)</f>
        <v>0</v>
      </c>
      <c r="N727" s="315"/>
    </row>
    <row r="728" spans="1:16" s="321" customFormat="1" ht="35" customHeight="1">
      <c r="A728" s="313"/>
      <c r="C728" s="346" t="s">
        <v>483</v>
      </c>
      <c r="D728" s="346"/>
      <c r="E728" s="346"/>
      <c r="F728" s="346"/>
      <c r="G728" s="346"/>
      <c r="H728" s="320"/>
      <c r="I728" s="409"/>
      <c r="J728" s="40"/>
      <c r="K728" s="49"/>
      <c r="L728" s="49"/>
      <c r="M728" s="49"/>
      <c r="N728" s="130"/>
    </row>
    <row r="729" spans="1:16" s="321" customFormat="1" ht="118.9" customHeight="1" outlineLevel="1">
      <c r="A729" s="313">
        <v>45</v>
      </c>
      <c r="C729" s="318" t="s">
        <v>195</v>
      </c>
      <c r="D729" s="313">
        <v>0</v>
      </c>
      <c r="E729" s="319" t="s">
        <v>18</v>
      </c>
      <c r="F729" s="312"/>
      <c r="G729" s="312"/>
      <c r="H729" s="320">
        <v>1</v>
      </c>
      <c r="I729" s="409" t="str">
        <f t="shared" ref="I729:I734" si="48">E729</f>
        <v>Set</v>
      </c>
      <c r="J729" s="40">
        <v>175180</v>
      </c>
      <c r="K729" s="314">
        <f t="shared" ref="K729:K738" si="49">ROUND(H729*J729,0)</f>
        <v>175180</v>
      </c>
      <c r="L729" s="314">
        <f>ROUND(IF(K729&gt;G729,K729-G729,0),0)</f>
        <v>175180</v>
      </c>
      <c r="M729" s="314">
        <f>ROUND(IF(K729&lt;G729,G729-K729,0),0)</f>
        <v>0</v>
      </c>
      <c r="N729" s="130" t="s">
        <v>327</v>
      </c>
      <c r="O729" s="321" t="s">
        <v>262</v>
      </c>
    </row>
    <row r="730" spans="1:16" s="321" customFormat="1" ht="118.9" customHeight="1" outlineLevel="1">
      <c r="A730" s="313">
        <v>46</v>
      </c>
      <c r="C730" s="318" t="s">
        <v>196</v>
      </c>
      <c r="D730" s="313">
        <v>0</v>
      </c>
      <c r="E730" s="319" t="s">
        <v>18</v>
      </c>
      <c r="F730" s="312"/>
      <c r="G730" s="312"/>
      <c r="H730" s="320">
        <v>1</v>
      </c>
      <c r="I730" s="409" t="str">
        <f t="shared" si="48"/>
        <v>Set</v>
      </c>
      <c r="J730" s="40">
        <v>9620</v>
      </c>
      <c r="K730" s="314">
        <f t="shared" si="49"/>
        <v>9620</v>
      </c>
      <c r="L730" s="314">
        <f t="shared" ref="L730:L738" si="50">ROUND(IF(K730&gt;G730,K730-G730,0),0)</f>
        <v>9620</v>
      </c>
      <c r="M730" s="314">
        <f t="shared" ref="M730:M738" si="51">ROUND(IF(K730&lt;G730,G730-K730,0),0)</f>
        <v>0</v>
      </c>
      <c r="N730" s="130" t="s">
        <v>327</v>
      </c>
      <c r="O730" s="321" t="s">
        <v>262</v>
      </c>
    </row>
    <row r="731" spans="1:16" s="321" customFormat="1" ht="118.9" customHeight="1" outlineLevel="1">
      <c r="A731" s="313">
        <f t="shared" ref="A731:A738" si="52">A730+1</f>
        <v>47</v>
      </c>
      <c r="C731" s="318" t="s">
        <v>197</v>
      </c>
      <c r="D731" s="313">
        <v>0</v>
      </c>
      <c r="E731" s="319" t="s">
        <v>18</v>
      </c>
      <c r="F731" s="312"/>
      <c r="G731" s="312"/>
      <c r="H731" s="320">
        <v>1</v>
      </c>
      <c r="I731" s="409" t="str">
        <f t="shared" si="48"/>
        <v>Set</v>
      </c>
      <c r="J731" s="40">
        <v>175180</v>
      </c>
      <c r="K731" s="314">
        <f t="shared" si="49"/>
        <v>175180</v>
      </c>
      <c r="L731" s="314">
        <f t="shared" si="50"/>
        <v>175180</v>
      </c>
      <c r="M731" s="314">
        <f t="shared" si="51"/>
        <v>0</v>
      </c>
      <c r="N731" s="130" t="s">
        <v>327</v>
      </c>
      <c r="O731" s="321" t="s">
        <v>262</v>
      </c>
    </row>
    <row r="732" spans="1:16" s="321" customFormat="1" ht="118.9" customHeight="1" outlineLevel="1">
      <c r="A732" s="313">
        <f t="shared" si="52"/>
        <v>48</v>
      </c>
      <c r="C732" s="318" t="s">
        <v>198</v>
      </c>
      <c r="D732" s="313">
        <v>0</v>
      </c>
      <c r="E732" s="319" t="s">
        <v>18</v>
      </c>
      <c r="F732" s="312"/>
      <c r="G732" s="312"/>
      <c r="H732" s="320">
        <v>1</v>
      </c>
      <c r="I732" s="409" t="str">
        <f t="shared" si="48"/>
        <v>Set</v>
      </c>
      <c r="J732" s="40">
        <v>175180</v>
      </c>
      <c r="K732" s="314">
        <f t="shared" si="49"/>
        <v>175180</v>
      </c>
      <c r="L732" s="314">
        <f t="shared" si="50"/>
        <v>175180</v>
      </c>
      <c r="M732" s="314">
        <f t="shared" si="51"/>
        <v>0</v>
      </c>
      <c r="N732" s="130" t="s">
        <v>327</v>
      </c>
      <c r="O732" s="321" t="s">
        <v>262</v>
      </c>
    </row>
    <row r="733" spans="1:16" s="321" customFormat="1" ht="118.9" customHeight="1" outlineLevel="1">
      <c r="A733" s="313">
        <f t="shared" si="52"/>
        <v>49</v>
      </c>
      <c r="C733" s="318" t="s">
        <v>199</v>
      </c>
      <c r="D733" s="313">
        <v>0</v>
      </c>
      <c r="E733" s="319" t="s">
        <v>180</v>
      </c>
      <c r="F733" s="312"/>
      <c r="G733" s="312"/>
      <c r="H733" s="320">
        <v>6</v>
      </c>
      <c r="I733" s="409" t="str">
        <f t="shared" si="48"/>
        <v>Nos</v>
      </c>
      <c r="J733" s="40">
        <v>12470</v>
      </c>
      <c r="K733" s="314">
        <f t="shared" si="49"/>
        <v>74820</v>
      </c>
      <c r="L733" s="314">
        <f t="shared" si="50"/>
        <v>74820</v>
      </c>
      <c r="M733" s="314">
        <f t="shared" si="51"/>
        <v>0</v>
      </c>
      <c r="N733" s="130" t="s">
        <v>327</v>
      </c>
      <c r="O733" s="321" t="s">
        <v>262</v>
      </c>
    </row>
    <row r="734" spans="1:16" s="321" customFormat="1" ht="113.95" customHeight="1" outlineLevel="1">
      <c r="A734" s="313">
        <f t="shared" si="52"/>
        <v>50</v>
      </c>
      <c r="C734" s="318" t="s">
        <v>200</v>
      </c>
      <c r="D734" s="313">
        <v>0</v>
      </c>
      <c r="E734" s="319" t="s">
        <v>201</v>
      </c>
      <c r="F734" s="312"/>
      <c r="G734" s="312"/>
      <c r="H734" s="320">
        <v>3</v>
      </c>
      <c r="I734" s="409" t="str">
        <f t="shared" si="48"/>
        <v>Nos.</v>
      </c>
      <c r="J734" s="40">
        <v>930</v>
      </c>
      <c r="K734" s="314">
        <f t="shared" si="49"/>
        <v>2790</v>
      </c>
      <c r="L734" s="314">
        <f t="shared" si="50"/>
        <v>2790</v>
      </c>
      <c r="M734" s="314">
        <f t="shared" si="51"/>
        <v>0</v>
      </c>
      <c r="N734" s="130" t="s">
        <v>327</v>
      </c>
      <c r="O734" s="321" t="s">
        <v>262</v>
      </c>
    </row>
    <row r="735" spans="1:16" s="321" customFormat="1" ht="274.10000000000002" customHeight="1" outlineLevel="1">
      <c r="A735" s="313">
        <f t="shared" si="52"/>
        <v>51</v>
      </c>
      <c r="C735" s="318" t="s">
        <v>202</v>
      </c>
      <c r="D735" s="313">
        <v>0</v>
      </c>
      <c r="E735" s="319" t="s">
        <v>201</v>
      </c>
      <c r="F735" s="349"/>
      <c r="G735" s="350"/>
      <c r="H735" s="347">
        <v>2</v>
      </c>
      <c r="I735" s="348" t="s">
        <v>180</v>
      </c>
      <c r="J735" s="40">
        <v>20850</v>
      </c>
      <c r="K735" s="314">
        <f t="shared" si="49"/>
        <v>41700</v>
      </c>
      <c r="L735" s="314">
        <f t="shared" si="50"/>
        <v>41700</v>
      </c>
      <c r="M735" s="314">
        <f t="shared" si="51"/>
        <v>0</v>
      </c>
      <c r="N735" s="130" t="s">
        <v>327</v>
      </c>
      <c r="O735" s="321" t="s">
        <v>262</v>
      </c>
    </row>
    <row r="736" spans="1:16" s="321" customFormat="1" ht="274.10000000000002" customHeight="1" outlineLevel="1">
      <c r="A736" s="313">
        <f t="shared" si="52"/>
        <v>52</v>
      </c>
      <c r="C736" s="318" t="s">
        <v>203</v>
      </c>
      <c r="D736" s="313">
        <v>0</v>
      </c>
      <c r="E736" s="319" t="s">
        <v>201</v>
      </c>
      <c r="F736" s="349"/>
      <c r="G736" s="350"/>
      <c r="H736" s="347">
        <v>2</v>
      </c>
      <c r="I736" s="348" t="s">
        <v>180</v>
      </c>
      <c r="J736" s="40">
        <v>17850</v>
      </c>
      <c r="K736" s="314">
        <f t="shared" si="49"/>
        <v>35700</v>
      </c>
      <c r="L736" s="314">
        <f t="shared" si="50"/>
        <v>35700</v>
      </c>
      <c r="M736" s="314">
        <f t="shared" si="51"/>
        <v>0</v>
      </c>
      <c r="N736" s="130" t="s">
        <v>327</v>
      </c>
      <c r="O736" s="321" t="s">
        <v>262</v>
      </c>
    </row>
    <row r="737" spans="1:17" s="321" customFormat="1" ht="274.10000000000002" customHeight="1" outlineLevel="1">
      <c r="A737" s="313">
        <f t="shared" si="52"/>
        <v>53</v>
      </c>
      <c r="C737" s="318" t="s">
        <v>204</v>
      </c>
      <c r="D737" s="313">
        <v>0</v>
      </c>
      <c r="E737" s="319" t="s">
        <v>201</v>
      </c>
      <c r="F737" s="349"/>
      <c r="G737" s="350"/>
      <c r="H737" s="347">
        <v>2</v>
      </c>
      <c r="I737" s="348" t="s">
        <v>180</v>
      </c>
      <c r="J737" s="40">
        <v>29250</v>
      </c>
      <c r="K737" s="314">
        <f t="shared" si="49"/>
        <v>58500</v>
      </c>
      <c r="L737" s="314">
        <f t="shared" si="50"/>
        <v>58500</v>
      </c>
      <c r="M737" s="314">
        <f t="shared" si="51"/>
        <v>0</v>
      </c>
      <c r="N737" s="130" t="s">
        <v>327</v>
      </c>
      <c r="O737" s="321" t="s">
        <v>262</v>
      </c>
    </row>
    <row r="738" spans="1:17" s="321" customFormat="1" ht="274.10000000000002" customHeight="1" outlineLevel="1">
      <c r="A738" s="313">
        <f t="shared" si="52"/>
        <v>54</v>
      </c>
      <c r="C738" s="318" t="s">
        <v>205</v>
      </c>
      <c r="D738" s="313">
        <v>0</v>
      </c>
      <c r="E738" s="319" t="s">
        <v>201</v>
      </c>
      <c r="F738" s="349"/>
      <c r="G738" s="350"/>
      <c r="H738" s="347">
        <v>2</v>
      </c>
      <c r="I738" s="348" t="s">
        <v>180</v>
      </c>
      <c r="J738" s="40">
        <v>33000</v>
      </c>
      <c r="K738" s="314">
        <f t="shared" si="49"/>
        <v>66000</v>
      </c>
      <c r="L738" s="314">
        <f t="shared" si="50"/>
        <v>66000</v>
      </c>
      <c r="M738" s="314">
        <f t="shared" si="51"/>
        <v>0</v>
      </c>
      <c r="N738" s="130" t="s">
        <v>327</v>
      </c>
      <c r="O738" s="321" t="s">
        <v>262</v>
      </c>
    </row>
    <row r="739" spans="1:17" s="321" customFormat="1" ht="18.350000000000001" outlineLevel="1">
      <c r="A739" s="313"/>
      <c r="C739" s="318"/>
      <c r="D739" s="313"/>
      <c r="E739" s="319"/>
      <c r="F739" s="349"/>
      <c r="G739" s="350"/>
      <c r="H739" s="347"/>
      <c r="I739" s="348"/>
      <c r="J739" s="42" t="s">
        <v>206</v>
      </c>
      <c r="K739" s="329">
        <f>SUM(K729:K738)</f>
        <v>814670</v>
      </c>
      <c r="L739" s="329">
        <f t="shared" ref="L739:M739" si="53">SUM(L729:L738)</f>
        <v>814670</v>
      </c>
      <c r="M739" s="410">
        <f t="shared" si="53"/>
        <v>0</v>
      </c>
      <c r="N739" s="130"/>
    </row>
    <row r="740" spans="1:17" s="321" customFormat="1" outlineLevel="1">
      <c r="A740" s="416"/>
      <c r="B740" s="417"/>
      <c r="C740" s="418" t="s">
        <v>663</v>
      </c>
      <c r="D740" s="416"/>
      <c r="E740" s="419"/>
      <c r="F740" s="420"/>
      <c r="G740" s="421"/>
      <c r="H740" s="422"/>
      <c r="I740" s="423"/>
      <c r="J740" s="424"/>
      <c r="K740" s="425"/>
      <c r="L740" s="425"/>
      <c r="M740" s="425"/>
      <c r="N740" s="426"/>
      <c r="P740" s="321" t="s">
        <v>688</v>
      </c>
      <c r="Q740" s="321" t="s">
        <v>689</v>
      </c>
    </row>
    <row r="741" spans="1:17" s="321" customFormat="1" ht="149.94999999999999" customHeight="1" outlineLevel="1">
      <c r="A741" s="423">
        <v>1</v>
      </c>
      <c r="B741" s="417"/>
      <c r="C741" s="427" t="s">
        <v>653</v>
      </c>
      <c r="D741" s="423">
        <v>0</v>
      </c>
      <c r="E741" s="419" t="s">
        <v>180</v>
      </c>
      <c r="F741" s="420" t="s">
        <v>40</v>
      </c>
      <c r="G741" s="421"/>
      <c r="H741" s="422">
        <v>5</v>
      </c>
      <c r="I741" s="423" t="s">
        <v>180</v>
      </c>
      <c r="J741" s="428">
        <v>39000</v>
      </c>
      <c r="K741" s="429">
        <f>ROUND(H741*J741,0)</f>
        <v>195000</v>
      </c>
      <c r="L741" s="430">
        <f>IF(K741&gt;G741,K741-G741,0)</f>
        <v>195000</v>
      </c>
      <c r="M741" s="429">
        <f>IF(G741&gt;K741,G741-K741,0)</f>
        <v>0</v>
      </c>
      <c r="N741" s="426" t="s">
        <v>654</v>
      </c>
      <c r="O741" s="321" t="s">
        <v>257</v>
      </c>
    </row>
    <row r="742" spans="1:17" s="321" customFormat="1" ht="80.5" customHeight="1" outlineLevel="1">
      <c r="A742" s="423">
        <v>2</v>
      </c>
      <c r="B742" s="417"/>
      <c r="C742" s="427" t="s">
        <v>655</v>
      </c>
      <c r="D742" s="423">
        <v>0</v>
      </c>
      <c r="E742" s="419" t="s">
        <v>180</v>
      </c>
      <c r="F742" s="420"/>
      <c r="G742" s="421"/>
      <c r="H742" s="422">
        <v>5</v>
      </c>
      <c r="I742" s="423" t="s">
        <v>180</v>
      </c>
      <c r="J742" s="428">
        <v>9000</v>
      </c>
      <c r="K742" s="429">
        <f t="shared" ref="K742:K749" si="54">ROUND(H742*J742,0)</f>
        <v>45000</v>
      </c>
      <c r="L742" s="430">
        <f t="shared" ref="L742:L748" si="55">IF(K742&gt;G742,K742-G742,0)</f>
        <v>45000</v>
      </c>
      <c r="M742" s="429">
        <f t="shared" ref="M742:M748" si="56">IF(G742&gt;K742,G742-K742,0)</f>
        <v>0</v>
      </c>
      <c r="N742" s="426" t="s">
        <v>654</v>
      </c>
      <c r="O742" s="321" t="s">
        <v>257</v>
      </c>
    </row>
    <row r="743" spans="1:17" s="321" customFormat="1" ht="80.5" customHeight="1" outlineLevel="1">
      <c r="A743" s="423">
        <v>3</v>
      </c>
      <c r="B743" s="417"/>
      <c r="C743" s="427" t="s">
        <v>656</v>
      </c>
      <c r="D743" s="423">
        <v>0</v>
      </c>
      <c r="E743" s="419" t="s">
        <v>180</v>
      </c>
      <c r="F743" s="420"/>
      <c r="G743" s="421"/>
      <c r="H743" s="422">
        <v>1</v>
      </c>
      <c r="I743" s="423" t="s">
        <v>180</v>
      </c>
      <c r="J743" s="428">
        <v>8400</v>
      </c>
      <c r="K743" s="429">
        <f t="shared" si="54"/>
        <v>8400</v>
      </c>
      <c r="L743" s="430">
        <f t="shared" si="55"/>
        <v>8400</v>
      </c>
      <c r="M743" s="429">
        <f t="shared" si="56"/>
        <v>0</v>
      </c>
      <c r="N743" s="426" t="s">
        <v>654</v>
      </c>
      <c r="O743" s="321" t="s">
        <v>257</v>
      </c>
    </row>
    <row r="744" spans="1:17" s="321" customFormat="1" ht="80.5" customHeight="1" outlineLevel="1">
      <c r="A744" s="423">
        <v>4</v>
      </c>
      <c r="B744" s="417"/>
      <c r="C744" s="427" t="s">
        <v>657</v>
      </c>
      <c r="D744" s="423">
        <v>0</v>
      </c>
      <c r="E744" s="419" t="s">
        <v>180</v>
      </c>
      <c r="F744" s="420"/>
      <c r="G744" s="421"/>
      <c r="H744" s="422">
        <v>1</v>
      </c>
      <c r="I744" s="423" t="s">
        <v>180</v>
      </c>
      <c r="J744" s="428">
        <v>9300</v>
      </c>
      <c r="K744" s="429">
        <f t="shared" si="54"/>
        <v>9300</v>
      </c>
      <c r="L744" s="430">
        <f t="shared" si="55"/>
        <v>9300</v>
      </c>
      <c r="M744" s="429">
        <f t="shared" si="56"/>
        <v>0</v>
      </c>
      <c r="N744" s="426" t="s">
        <v>654</v>
      </c>
      <c r="O744" s="321" t="s">
        <v>257</v>
      </c>
    </row>
    <row r="745" spans="1:17" s="321" customFormat="1" ht="80.5" customHeight="1" outlineLevel="1">
      <c r="A745" s="423">
        <v>5</v>
      </c>
      <c r="B745" s="417"/>
      <c r="C745" s="427" t="s">
        <v>658</v>
      </c>
      <c r="D745" s="423">
        <v>0</v>
      </c>
      <c r="E745" s="419" t="s">
        <v>180</v>
      </c>
      <c r="F745" s="420"/>
      <c r="G745" s="421"/>
      <c r="H745" s="422">
        <v>1</v>
      </c>
      <c r="I745" s="423" t="s">
        <v>180</v>
      </c>
      <c r="J745" s="428">
        <v>4200</v>
      </c>
      <c r="K745" s="429">
        <f t="shared" si="54"/>
        <v>4200</v>
      </c>
      <c r="L745" s="430">
        <f t="shared" si="55"/>
        <v>4200</v>
      </c>
      <c r="M745" s="429">
        <f t="shared" si="56"/>
        <v>0</v>
      </c>
      <c r="N745" s="426" t="s">
        <v>654</v>
      </c>
      <c r="O745" s="321" t="s">
        <v>257</v>
      </c>
    </row>
    <row r="746" spans="1:17" s="321" customFormat="1" ht="138.75" customHeight="1" outlineLevel="1">
      <c r="A746" s="423">
        <v>6</v>
      </c>
      <c r="B746" s="417"/>
      <c r="C746" s="427" t="s">
        <v>659</v>
      </c>
      <c r="D746" s="423">
        <v>0</v>
      </c>
      <c r="E746" s="419" t="s">
        <v>180</v>
      </c>
      <c r="F746" s="420"/>
      <c r="G746" s="421"/>
      <c r="H746" s="422">
        <v>1</v>
      </c>
      <c r="I746" s="423" t="s">
        <v>180</v>
      </c>
      <c r="J746" s="428">
        <v>16200</v>
      </c>
      <c r="K746" s="429">
        <f>ROUND(H746*J746,0)</f>
        <v>16200</v>
      </c>
      <c r="L746" s="430">
        <f>IF(K746&gt;G746,K746-G746,0)</f>
        <v>16200</v>
      </c>
      <c r="M746" s="429">
        <f>IF(G746&gt;K746,G746-K746,0)</f>
        <v>0</v>
      </c>
      <c r="N746" s="426" t="s">
        <v>660</v>
      </c>
      <c r="O746" s="321" t="s">
        <v>257</v>
      </c>
    </row>
    <row r="747" spans="1:17" s="321" customFormat="1" ht="78.150000000000006" outlineLevel="1">
      <c r="A747" s="423">
        <v>7</v>
      </c>
      <c r="B747" s="417"/>
      <c r="C747" s="427" t="s">
        <v>661</v>
      </c>
      <c r="D747" s="423">
        <v>0</v>
      </c>
      <c r="E747" s="419" t="s">
        <v>180</v>
      </c>
      <c r="F747" s="420"/>
      <c r="G747" s="421"/>
      <c r="H747" s="422">
        <v>1</v>
      </c>
      <c r="I747" s="423" t="s">
        <v>180</v>
      </c>
      <c r="J747" s="428">
        <v>32000</v>
      </c>
      <c r="K747" s="429">
        <f t="shared" si="54"/>
        <v>32000</v>
      </c>
      <c r="L747" s="430">
        <f t="shared" si="55"/>
        <v>32000</v>
      </c>
      <c r="M747" s="429">
        <f t="shared" si="56"/>
        <v>0</v>
      </c>
      <c r="N747" s="426" t="s">
        <v>654</v>
      </c>
      <c r="O747" s="321" t="s">
        <v>257</v>
      </c>
    </row>
    <row r="748" spans="1:17" s="321" customFormat="1" ht="225" customHeight="1" outlineLevel="1">
      <c r="A748" s="423">
        <v>8</v>
      </c>
      <c r="B748" s="417"/>
      <c r="C748" s="427" t="s">
        <v>662</v>
      </c>
      <c r="D748" s="423">
        <v>0</v>
      </c>
      <c r="E748" s="419" t="s">
        <v>180</v>
      </c>
      <c r="F748" s="420"/>
      <c r="G748" s="421"/>
      <c r="H748" s="422">
        <v>1</v>
      </c>
      <c r="I748" s="423" t="s">
        <v>180</v>
      </c>
      <c r="J748" s="428">
        <v>29000</v>
      </c>
      <c r="K748" s="429">
        <f t="shared" si="54"/>
        <v>29000</v>
      </c>
      <c r="L748" s="430">
        <f t="shared" si="55"/>
        <v>29000</v>
      </c>
      <c r="M748" s="429">
        <f t="shared" si="56"/>
        <v>0</v>
      </c>
      <c r="N748" s="426" t="s">
        <v>654</v>
      </c>
      <c r="O748" s="321" t="s">
        <v>257</v>
      </c>
    </row>
    <row r="749" spans="1:17" s="321" customFormat="1" ht="165.1" customHeight="1" outlineLevel="1">
      <c r="A749" s="423">
        <v>9</v>
      </c>
      <c r="B749" s="417"/>
      <c r="C749" s="427" t="s">
        <v>664</v>
      </c>
      <c r="D749" s="423">
        <v>0</v>
      </c>
      <c r="E749" s="419" t="s">
        <v>180</v>
      </c>
      <c r="F749" s="420"/>
      <c r="G749" s="421"/>
      <c r="H749" s="422">
        <v>1</v>
      </c>
      <c r="I749" s="423" t="s">
        <v>180</v>
      </c>
      <c r="J749" s="428">
        <v>2100</v>
      </c>
      <c r="K749" s="425">
        <f t="shared" si="54"/>
        <v>2100</v>
      </c>
      <c r="L749" s="425">
        <f t="shared" ref="L749" si="57">ROUND(IF(K749&gt;G749,K749-G749,0),0)</f>
        <v>2100</v>
      </c>
      <c r="M749" s="425">
        <f t="shared" ref="M749" si="58">ROUND(IF(K749&lt;G749,G749-K749,0),0)</f>
        <v>0</v>
      </c>
      <c r="N749" s="431" t="s">
        <v>665</v>
      </c>
      <c r="O749" s="321" t="s">
        <v>257</v>
      </c>
    </row>
    <row r="750" spans="1:17" s="321" customFormat="1" ht="88.15" customHeight="1" outlineLevel="1" collapsed="1">
      <c r="A750" s="423">
        <v>10</v>
      </c>
      <c r="B750" s="417"/>
      <c r="C750" s="427" t="s">
        <v>666</v>
      </c>
      <c r="D750" s="423">
        <v>0</v>
      </c>
      <c r="E750" s="419" t="s">
        <v>180</v>
      </c>
      <c r="F750" s="420"/>
      <c r="G750" s="421"/>
      <c r="H750" s="422">
        <v>2</v>
      </c>
      <c r="I750" s="423" t="s">
        <v>180</v>
      </c>
      <c r="J750" s="428">
        <v>14500</v>
      </c>
      <c r="K750" s="429">
        <f>ROUND(H750*J750,0)</f>
        <v>29000</v>
      </c>
      <c r="L750" s="430">
        <f>IF(K750&gt;G750,K750-G750,0)</f>
        <v>29000</v>
      </c>
      <c r="M750" s="429">
        <f>IF(G750&gt;K750,G750-K750,0)</f>
        <v>0</v>
      </c>
      <c r="N750" s="426" t="s">
        <v>667</v>
      </c>
      <c r="O750" s="321" t="s">
        <v>257</v>
      </c>
    </row>
    <row r="751" spans="1:17" s="321" customFormat="1" ht="181.55" customHeight="1" outlineLevel="1">
      <c r="A751" s="423">
        <v>11</v>
      </c>
      <c r="B751" s="417"/>
      <c r="C751" s="427" t="s">
        <v>668</v>
      </c>
      <c r="D751" s="423">
        <v>0</v>
      </c>
      <c r="E751" s="419" t="s">
        <v>180</v>
      </c>
      <c r="F751" s="432"/>
      <c r="G751" s="432"/>
      <c r="H751" s="433">
        <v>1</v>
      </c>
      <c r="I751" s="423" t="s">
        <v>180</v>
      </c>
      <c r="J751" s="428">
        <v>80000</v>
      </c>
      <c r="K751" s="425">
        <f t="shared" ref="K751:K758" si="59">ROUND(H751*J751,0)</f>
        <v>80000</v>
      </c>
      <c r="L751" s="425">
        <f t="shared" ref="L751:L758" si="60">ROUND(IF(K751&gt;G751,K751-G751,0),0)</f>
        <v>80000</v>
      </c>
      <c r="M751" s="425">
        <f t="shared" ref="M751:M753" si="61">ROUND(IF(K751&lt;G751,G751-K751,0),0)</f>
        <v>0</v>
      </c>
      <c r="N751" s="431" t="s">
        <v>669</v>
      </c>
      <c r="O751" s="321" t="s">
        <v>257</v>
      </c>
    </row>
    <row r="752" spans="1:17" s="321" customFormat="1" ht="367.5" customHeight="1" outlineLevel="1">
      <c r="A752" s="423">
        <v>12</v>
      </c>
      <c r="B752" s="417"/>
      <c r="C752" s="427" t="s">
        <v>670</v>
      </c>
      <c r="D752" s="423"/>
      <c r="E752" s="419"/>
      <c r="F752" s="432"/>
      <c r="G752" s="432"/>
      <c r="H752" s="433">
        <v>1</v>
      </c>
      <c r="I752" s="423" t="s">
        <v>180</v>
      </c>
      <c r="J752" s="428">
        <v>210000</v>
      </c>
      <c r="K752" s="425">
        <f t="shared" si="59"/>
        <v>210000</v>
      </c>
      <c r="L752" s="425">
        <f t="shared" si="60"/>
        <v>210000</v>
      </c>
      <c r="M752" s="425">
        <f t="shared" si="61"/>
        <v>0</v>
      </c>
      <c r="N752" s="431" t="s">
        <v>671</v>
      </c>
      <c r="O752" s="321" t="s">
        <v>257</v>
      </c>
    </row>
    <row r="753" spans="1:23" s="321" customFormat="1" ht="144" customHeight="1" outlineLevel="1">
      <c r="A753" s="423">
        <v>13</v>
      </c>
      <c r="B753" s="417"/>
      <c r="C753" s="427" t="s">
        <v>672</v>
      </c>
      <c r="D753" s="423"/>
      <c r="E753" s="419"/>
      <c r="F753" s="432"/>
      <c r="G753" s="432"/>
      <c r="H753" s="433">
        <v>2</v>
      </c>
      <c r="I753" s="423" t="s">
        <v>180</v>
      </c>
      <c r="J753" s="434">
        <v>16000</v>
      </c>
      <c r="K753" s="435">
        <f t="shared" si="59"/>
        <v>32000</v>
      </c>
      <c r="L753" s="425">
        <f t="shared" si="60"/>
        <v>32000</v>
      </c>
      <c r="M753" s="425">
        <f t="shared" si="61"/>
        <v>0</v>
      </c>
      <c r="N753" s="431" t="s">
        <v>673</v>
      </c>
    </row>
    <row r="754" spans="1:23" s="321" customFormat="1" ht="195.8" customHeight="1" outlineLevel="1">
      <c r="A754" s="423">
        <v>14</v>
      </c>
      <c r="B754" s="416"/>
      <c r="C754" s="427" t="s">
        <v>674</v>
      </c>
      <c r="D754" s="436"/>
      <c r="E754" s="416"/>
      <c r="F754" s="437"/>
      <c r="G754" s="437"/>
      <c r="H754" s="438">
        <v>15</v>
      </c>
      <c r="I754" s="439" t="s">
        <v>12</v>
      </c>
      <c r="J754" s="440">
        <v>2187</v>
      </c>
      <c r="K754" s="435">
        <f t="shared" si="59"/>
        <v>32805</v>
      </c>
      <c r="L754" s="435">
        <f t="shared" si="60"/>
        <v>32805</v>
      </c>
      <c r="M754" s="441"/>
      <c r="N754" s="442" t="s">
        <v>675</v>
      </c>
      <c r="O754" s="313"/>
      <c r="Q754" s="313"/>
      <c r="U754" s="370"/>
      <c r="V754" s="370"/>
      <c r="W754" s="370"/>
    </row>
    <row r="755" spans="1:23" s="321" customFormat="1" ht="135" customHeight="1" outlineLevel="1">
      <c r="A755" s="423">
        <v>15</v>
      </c>
      <c r="B755" s="416"/>
      <c r="C755" s="427" t="s">
        <v>676</v>
      </c>
      <c r="D755" s="436"/>
      <c r="E755" s="416"/>
      <c r="F755" s="437"/>
      <c r="G755" s="437"/>
      <c r="H755" s="443">
        <v>13</v>
      </c>
      <c r="I755" s="439" t="s">
        <v>180</v>
      </c>
      <c r="J755" s="440">
        <v>9000</v>
      </c>
      <c r="K755" s="435">
        <f t="shared" si="59"/>
        <v>117000</v>
      </c>
      <c r="L755" s="435">
        <f t="shared" si="60"/>
        <v>117000</v>
      </c>
      <c r="M755" s="441"/>
      <c r="N755" s="426" t="s">
        <v>677</v>
      </c>
      <c r="O755" s="313" t="s">
        <v>258</v>
      </c>
      <c r="Q755" s="313"/>
      <c r="U755" s="370"/>
      <c r="V755" s="370"/>
      <c r="W755" s="370"/>
    </row>
    <row r="756" spans="1:23" s="321" customFormat="1" ht="133.5" customHeight="1" outlineLevel="1">
      <c r="A756" s="423">
        <v>17</v>
      </c>
      <c r="B756" s="416"/>
      <c r="C756" s="427" t="s">
        <v>678</v>
      </c>
      <c r="D756" s="436"/>
      <c r="E756" s="416"/>
      <c r="F756" s="437"/>
      <c r="G756" s="437"/>
      <c r="H756" s="443">
        <v>4.6500000000000004</v>
      </c>
      <c r="I756" s="439" t="s">
        <v>12</v>
      </c>
      <c r="J756" s="444">
        <v>11012</v>
      </c>
      <c r="K756" s="425">
        <f t="shared" si="59"/>
        <v>51206</v>
      </c>
      <c r="L756" s="425">
        <f t="shared" si="60"/>
        <v>51206</v>
      </c>
      <c r="M756" s="441">
        <v>0</v>
      </c>
      <c r="N756" s="426" t="s">
        <v>318</v>
      </c>
      <c r="O756" s="313" t="s">
        <v>258</v>
      </c>
      <c r="Q756" s="313"/>
      <c r="U756" s="370"/>
      <c r="V756" s="370"/>
      <c r="W756" s="370"/>
    </row>
    <row r="757" spans="1:23" s="321" customFormat="1" ht="137.25" customHeight="1" outlineLevel="1">
      <c r="A757" s="423">
        <v>18</v>
      </c>
      <c r="B757" s="445"/>
      <c r="C757" s="427" t="s">
        <v>679</v>
      </c>
      <c r="D757" s="419"/>
      <c r="E757" s="419"/>
      <c r="F757" s="445"/>
      <c r="G757" s="446"/>
      <c r="H757" s="447">
        <v>8.17</v>
      </c>
      <c r="I757" s="448" t="s">
        <v>12</v>
      </c>
      <c r="J757" s="449">
        <v>9250</v>
      </c>
      <c r="K757" s="435">
        <f t="shared" si="59"/>
        <v>75573</v>
      </c>
      <c r="L757" s="435">
        <f t="shared" si="60"/>
        <v>75573</v>
      </c>
      <c r="M757" s="435"/>
      <c r="N757" s="427" t="s">
        <v>677</v>
      </c>
      <c r="O757" s="321" t="s">
        <v>258</v>
      </c>
    </row>
    <row r="758" spans="1:23" s="321" customFormat="1" ht="141.80000000000001" customHeight="1" outlineLevel="1">
      <c r="A758" s="423">
        <v>19</v>
      </c>
      <c r="B758" s="448"/>
      <c r="C758" s="427" t="s">
        <v>680</v>
      </c>
      <c r="D758" s="419"/>
      <c r="E758" s="448"/>
      <c r="F758" s="450"/>
      <c r="G758" s="450"/>
      <c r="H758" s="451">
        <v>1</v>
      </c>
      <c r="I758" s="452" t="s">
        <v>180</v>
      </c>
      <c r="J758" s="440">
        <v>56500</v>
      </c>
      <c r="K758" s="435">
        <f t="shared" si="59"/>
        <v>56500</v>
      </c>
      <c r="L758" s="435">
        <f t="shared" si="60"/>
        <v>56500</v>
      </c>
      <c r="M758" s="453">
        <v>0</v>
      </c>
      <c r="N758" s="442" t="s">
        <v>318</v>
      </c>
      <c r="O758" s="313" t="s">
        <v>258</v>
      </c>
      <c r="Q758" s="313"/>
      <c r="U758" s="370"/>
      <c r="V758" s="370"/>
      <c r="W758" s="370"/>
    </row>
    <row r="759" spans="1:23" s="321" customFormat="1" ht="137.25" customHeight="1" outlineLevel="1">
      <c r="A759" s="423">
        <v>20</v>
      </c>
      <c r="B759" s="448"/>
      <c r="C759" s="427" t="s">
        <v>681</v>
      </c>
      <c r="D759" s="419"/>
      <c r="E759" s="448"/>
      <c r="F759" s="450"/>
      <c r="G759" s="450"/>
      <c r="H759" s="451">
        <v>3</v>
      </c>
      <c r="I759" s="452" t="s">
        <v>12</v>
      </c>
      <c r="J759" s="440">
        <v>9580</v>
      </c>
      <c r="K759" s="435">
        <f>ROUND(H759*J759,0)</f>
        <v>28740</v>
      </c>
      <c r="L759" s="435">
        <f>ROUND(IF(K759&gt;G759,K759-G759,0),0)</f>
        <v>28740</v>
      </c>
      <c r="M759" s="453"/>
      <c r="N759" s="442" t="s">
        <v>677</v>
      </c>
      <c r="O759" s="313" t="s">
        <v>258</v>
      </c>
      <c r="Q759" s="313"/>
      <c r="U759" s="370"/>
      <c r="V759" s="370"/>
      <c r="W759" s="370"/>
    </row>
    <row r="760" spans="1:23" s="321" customFormat="1" ht="87.8" customHeight="1" outlineLevel="1">
      <c r="A760" s="423">
        <v>21</v>
      </c>
      <c r="B760" s="417"/>
      <c r="C760" s="431" t="s">
        <v>682</v>
      </c>
      <c r="D760" s="417"/>
      <c r="E760" s="417"/>
      <c r="F760" s="424"/>
      <c r="G760" s="432"/>
      <c r="H760" s="416">
        <v>1</v>
      </c>
      <c r="I760" s="416" t="s">
        <v>180</v>
      </c>
      <c r="J760" s="424">
        <v>6000</v>
      </c>
      <c r="K760" s="425">
        <f>ROUND(H760*J760,0)</f>
        <v>6000</v>
      </c>
      <c r="L760" s="425">
        <f>ROUND(IF(K760&gt;G760,K760-G760,0),0)</f>
        <v>6000</v>
      </c>
      <c r="M760" s="425">
        <f>ROUND(IF(K760&lt;G760,G760-K760,0),0)</f>
        <v>0</v>
      </c>
      <c r="N760" s="431" t="s">
        <v>313</v>
      </c>
      <c r="O760" s="321" t="s">
        <v>258</v>
      </c>
    </row>
    <row r="761" spans="1:23" s="321" customFormat="1" ht="87.8" customHeight="1" outlineLevel="1">
      <c r="A761" s="423">
        <v>22</v>
      </c>
      <c r="B761" s="417"/>
      <c r="C761" s="431" t="s">
        <v>683</v>
      </c>
      <c r="D761" s="417"/>
      <c r="E761" s="417"/>
      <c r="F761" s="424"/>
      <c r="G761" s="432"/>
      <c r="H761" s="416">
        <v>2</v>
      </c>
      <c r="I761" s="416" t="s">
        <v>180</v>
      </c>
      <c r="J761" s="424">
        <v>2800</v>
      </c>
      <c r="K761" s="425">
        <f>ROUND(H761*J761,0)</f>
        <v>5600</v>
      </c>
      <c r="L761" s="425">
        <f>ROUND(IF(K761&gt;G761,K761-G761,0),0)</f>
        <v>5600</v>
      </c>
      <c r="M761" s="425">
        <f>ROUND(IF(K761&lt;G761,G761-K761,0),0)</f>
        <v>0</v>
      </c>
      <c r="N761" s="431" t="s">
        <v>313</v>
      </c>
      <c r="O761" s="321" t="s">
        <v>258</v>
      </c>
      <c r="P761" s="321">
        <f>2.5*1.5</f>
        <v>3.75</v>
      </c>
    </row>
    <row r="762" spans="1:23" s="321" customFormat="1" ht="87.8" customHeight="1" outlineLevel="1">
      <c r="A762" s="423">
        <v>23</v>
      </c>
      <c r="B762" s="417"/>
      <c r="C762" s="431" t="s">
        <v>684</v>
      </c>
      <c r="D762" s="417"/>
      <c r="E762" s="417"/>
      <c r="F762" s="424"/>
      <c r="G762" s="432"/>
      <c r="H762" s="416">
        <v>2</v>
      </c>
      <c r="I762" s="416" t="s">
        <v>180</v>
      </c>
      <c r="J762" s="424">
        <v>3200</v>
      </c>
      <c r="K762" s="425">
        <f>ROUND(H762*J762,0)</f>
        <v>6400</v>
      </c>
      <c r="L762" s="425">
        <f>ROUND(IF(K762&gt;G762,K762-G762,0),0)</f>
        <v>6400</v>
      </c>
      <c r="M762" s="425">
        <f>ROUND(IF(K762&lt;G762,G762-K762,0),0)</f>
        <v>0</v>
      </c>
      <c r="N762" s="431" t="s">
        <v>313</v>
      </c>
      <c r="O762" s="321" t="s">
        <v>258</v>
      </c>
      <c r="P762" s="321">
        <f>4*1.5</f>
        <v>6</v>
      </c>
    </row>
    <row r="763" spans="1:23" s="321" customFormat="1" ht="291.10000000000002" customHeight="1" outlineLevel="1">
      <c r="A763" s="423">
        <v>25</v>
      </c>
      <c r="B763" s="417"/>
      <c r="C763" s="427" t="s">
        <v>685</v>
      </c>
      <c r="D763" s="443">
        <v>0</v>
      </c>
      <c r="E763" s="436" t="s">
        <v>180</v>
      </c>
      <c r="F763" s="437"/>
      <c r="G763" s="437"/>
      <c r="H763" s="443">
        <v>1</v>
      </c>
      <c r="I763" s="439" t="s">
        <v>180</v>
      </c>
      <c r="J763" s="444">
        <v>291366</v>
      </c>
      <c r="K763" s="425">
        <f t="shared" ref="K763:K764" si="62">ROUND(H763*J763,0)</f>
        <v>291366</v>
      </c>
      <c r="L763" s="425">
        <f t="shared" ref="L763:L764" si="63">ROUND(IF(K763&gt;G763,K763-G763,0),0)</f>
        <v>291366</v>
      </c>
      <c r="M763" s="425">
        <f t="shared" ref="M763" si="64">ROUND(IF(K763&lt;G763,G763-K763,0),0)</f>
        <v>0</v>
      </c>
      <c r="N763" s="426" t="s">
        <v>686</v>
      </c>
      <c r="O763" s="321" t="s">
        <v>687</v>
      </c>
    </row>
    <row r="764" spans="1:23" s="321" customFormat="1" ht="114.65" customHeight="1" outlineLevel="1">
      <c r="A764" s="423">
        <v>26</v>
      </c>
      <c r="B764" s="417"/>
      <c r="C764" s="431" t="s">
        <v>488</v>
      </c>
      <c r="D764" s="443">
        <v>0</v>
      </c>
      <c r="E764" s="416" t="s">
        <v>180</v>
      </c>
      <c r="F764" s="454"/>
      <c r="G764" s="454"/>
      <c r="H764" s="436">
        <v>2</v>
      </c>
      <c r="I764" s="416" t="s">
        <v>180</v>
      </c>
      <c r="J764" s="424">
        <v>6500</v>
      </c>
      <c r="K764" s="425">
        <f t="shared" si="62"/>
        <v>13000</v>
      </c>
      <c r="L764" s="425">
        <f t="shared" si="63"/>
        <v>13000</v>
      </c>
      <c r="M764" s="425"/>
      <c r="N764" s="431" t="s">
        <v>489</v>
      </c>
    </row>
    <row r="765" spans="1:23" s="321" customFormat="1" outlineLevel="1">
      <c r="A765" s="313"/>
      <c r="C765" s="318"/>
      <c r="D765" s="313"/>
      <c r="E765" s="319"/>
      <c r="F765" s="349"/>
      <c r="G765" s="350"/>
      <c r="H765" s="347"/>
      <c r="I765" s="348"/>
      <c r="J765" s="42" t="s">
        <v>301</v>
      </c>
      <c r="K765" s="329">
        <f>SUM(K741:K764)</f>
        <v>1376390</v>
      </c>
      <c r="L765" s="329">
        <f>SUM(L741:L764)</f>
        <v>1376390</v>
      </c>
      <c r="M765" s="329">
        <f>SUM(M741:M764)</f>
        <v>0</v>
      </c>
      <c r="N765" s="130"/>
    </row>
    <row r="766" spans="1:23" s="321" customFormat="1" ht="24.65" customHeight="1">
      <c r="A766" s="313"/>
      <c r="C766" s="411"/>
      <c r="F766" s="42" t="s">
        <v>209</v>
      </c>
      <c r="G766" s="412">
        <f>0</f>
        <v>0</v>
      </c>
      <c r="H766" s="313"/>
      <c r="I766" s="313"/>
      <c r="J766" s="40"/>
      <c r="K766" s="330">
        <f>K765+K739+K727+K704+K671+K668+K627</f>
        <v>6013462</v>
      </c>
      <c r="L766" s="330">
        <f>K766</f>
        <v>6013462</v>
      </c>
      <c r="M766" s="44"/>
      <c r="N766" s="315"/>
    </row>
    <row r="767" spans="1:23" s="321" customFormat="1" ht="24.65" customHeight="1">
      <c r="A767" s="313"/>
      <c r="C767" s="322" t="s">
        <v>210</v>
      </c>
      <c r="G767" s="413">
        <f>G766+G619</f>
        <v>42405299</v>
      </c>
      <c r="H767" s="313"/>
      <c r="I767" s="313"/>
      <c r="J767" s="40"/>
      <c r="K767" s="414">
        <f>K766+K619</f>
        <v>50396902</v>
      </c>
      <c r="L767" s="414">
        <f>L766+L619</f>
        <v>10761037</v>
      </c>
      <c r="M767" s="414">
        <f>M766+M619</f>
        <v>2769434</v>
      </c>
      <c r="N767" s="315"/>
    </row>
    <row r="768" spans="1:23" s="321" customFormat="1" ht="24.65" customHeight="1">
      <c r="A768" s="313"/>
      <c r="F768" s="40"/>
      <c r="G768" s="312"/>
      <c r="H768" s="409"/>
      <c r="I768" s="409"/>
      <c r="J768" s="42" t="s">
        <v>208</v>
      </c>
      <c r="K768" s="414">
        <f>K767-G767</f>
        <v>7991603</v>
      </c>
      <c r="L768" s="312"/>
      <c r="M768" s="312"/>
      <c r="N768" s="315"/>
    </row>
    <row r="769" spans="3:13">
      <c r="M769" s="415"/>
    </row>
    <row r="770" spans="3:13">
      <c r="L770" s="415">
        <f>L767-M767</f>
        <v>7991603</v>
      </c>
    </row>
    <row r="771" spans="3:13">
      <c r="C771" s="321">
        <f>130071234*1.18</f>
        <v>153484056.12</v>
      </c>
      <c r="K771" s="314">
        <f>K767*1.18</f>
        <v>59468344.359999999</v>
      </c>
    </row>
  </sheetData>
  <mergeCells count="85">
    <mergeCell ref="N127:N128"/>
    <mergeCell ref="N130:N131"/>
    <mergeCell ref="M648:M649"/>
    <mergeCell ref="N648:N649"/>
    <mergeCell ref="A644:A645"/>
    <mergeCell ref="B644:B645"/>
    <mergeCell ref="C644:C645"/>
    <mergeCell ref="D644:D645"/>
    <mergeCell ref="E644:E645"/>
    <mergeCell ref="F644:F645"/>
    <mergeCell ref="G644:G645"/>
    <mergeCell ref="H644:H645"/>
    <mergeCell ref="B648:B649"/>
    <mergeCell ref="A648:A649"/>
    <mergeCell ref="G648:G649"/>
    <mergeCell ref="F648:F649"/>
    <mergeCell ref="D648:D649"/>
    <mergeCell ref="E648:E649"/>
    <mergeCell ref="C648:C649"/>
    <mergeCell ref="N644:N645"/>
    <mergeCell ref="H648:H649"/>
    <mergeCell ref="I648:I649"/>
    <mergeCell ref="J648:J649"/>
    <mergeCell ref="K648:K649"/>
    <mergeCell ref="L648:L649"/>
    <mergeCell ref="I644:I645"/>
    <mergeCell ref="J644:J645"/>
    <mergeCell ref="K644:K645"/>
    <mergeCell ref="L644:L645"/>
    <mergeCell ref="M644:M645"/>
    <mergeCell ref="N555:N556"/>
    <mergeCell ref="N580:N581"/>
    <mergeCell ref="N306:N307"/>
    <mergeCell ref="N474:N475"/>
    <mergeCell ref="N517:N518"/>
    <mergeCell ref="N529:N530"/>
    <mergeCell ref="N533:N534"/>
    <mergeCell ref="N521:N522"/>
    <mergeCell ref="N388:N389"/>
    <mergeCell ref="N255:N256"/>
    <mergeCell ref="N294:N295"/>
    <mergeCell ref="N302:N303"/>
    <mergeCell ref="N542:N543"/>
    <mergeCell ref="N546:N547"/>
    <mergeCell ref="N150:N151"/>
    <mergeCell ref="N154:N155"/>
    <mergeCell ref="N162:N163"/>
    <mergeCell ref="N166:N167"/>
    <mergeCell ref="N175:N176"/>
    <mergeCell ref="N160:N161"/>
    <mergeCell ref="A1:N1"/>
    <mergeCell ref="A2:A3"/>
    <mergeCell ref="C2:C3"/>
    <mergeCell ref="D2:G2"/>
    <mergeCell ref="H2:K2"/>
    <mergeCell ref="L2:L3"/>
    <mergeCell ref="M2:M3"/>
    <mergeCell ref="N2:N3"/>
    <mergeCell ref="B2:B3"/>
    <mergeCell ref="A181:A182"/>
    <mergeCell ref="B181:B182"/>
    <mergeCell ref="C181:C182"/>
    <mergeCell ref="D181:D182"/>
    <mergeCell ref="E181:E182"/>
    <mergeCell ref="F181:F182"/>
    <mergeCell ref="G181:G182"/>
    <mergeCell ref="H181:H182"/>
    <mergeCell ref="I181:I182"/>
    <mergeCell ref="J181:J182"/>
    <mergeCell ref="K181:K182"/>
    <mergeCell ref="L181:L182"/>
    <mergeCell ref="M181:M182"/>
    <mergeCell ref="N181:N182"/>
    <mergeCell ref="N298:N300"/>
    <mergeCell ref="N184:N185"/>
    <mergeCell ref="N198:N199"/>
    <mergeCell ref="N202:N203"/>
    <mergeCell ref="N206:N207"/>
    <mergeCell ref="N210:N211"/>
    <mergeCell ref="N216:N217"/>
    <mergeCell ref="N225:N226"/>
    <mergeCell ref="N229:N230"/>
    <mergeCell ref="N233:N234"/>
    <mergeCell ref="N237:N238"/>
    <mergeCell ref="N241:N242"/>
  </mergeCells>
  <pageMargins left="0.23622047244094491" right="0.23622047244094491" top="0.51181102362204722" bottom="0.39370078740157483" header="0.31496062992125984" footer="0.31496062992125984"/>
  <pageSetup paperSize="9" scale="63" fitToHeight="60" orientation="landscape" verticalDpi="300" r:id="rId1"/>
  <headerFooter>
    <oddFooter>Page &amp;P of &amp;N</oddFooter>
  </headerFooter>
  <rowBreaks count="27" manualBreakCount="27">
    <brk id="26" min="2" max="13" man="1"/>
    <brk id="50" max="13" man="1"/>
    <brk id="76" min="2" max="13" man="1"/>
    <brk id="101" max="13" man="1"/>
    <brk id="126" max="13" man="1"/>
    <brk id="145" min="2" max="13" man="1"/>
    <brk id="173" min="2" max="13" man="1"/>
    <brk id="180" max="13" man="1"/>
    <brk id="235" min="2" max="13" man="1"/>
    <brk id="251" min="2" max="13" man="1"/>
    <brk id="270" max="13" man="1"/>
    <brk id="276" max="13" man="1"/>
    <brk id="292" max="13" man="1"/>
    <brk id="441" max="13" man="1"/>
    <brk id="452" min="2" max="13" man="1"/>
    <brk id="472" min="2" max="13" man="1"/>
    <brk id="531" min="2" max="13" man="1"/>
    <brk id="557" min="2" max="13" man="1"/>
    <brk id="563" max="13" man="1"/>
    <brk id="619" max="13" man="1"/>
    <brk id="627" min="2" max="13" man="1"/>
    <brk id="657" max="13" man="1"/>
    <brk id="662" max="13" man="1"/>
    <brk id="668" max="13" man="1"/>
    <brk id="693" max="13" man="1"/>
    <brk id="704" max="13" man="1"/>
    <brk id="727" max="13" man="1"/>
  </rowBreaks>
  <ignoredErrors>
    <ignoredError sqref="J16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M42"/>
  <sheetViews>
    <sheetView zoomScaleNormal="100" workbookViewId="0">
      <pane ySplit="3" topLeftCell="A4" activePane="bottomLeft" state="frozen"/>
      <selection pane="bottomLeft" activeCell="G4" sqref="G4"/>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2" width="9.28515625" style="7"/>
    <col min="13" max="13" width="20" style="7" customWidth="1"/>
    <col min="14" max="16384" width="9.28515625" style="7"/>
  </cols>
  <sheetData>
    <row r="1" spans="2:13" ht="45.7" customHeight="1">
      <c r="B1" s="258" t="s">
        <v>245</v>
      </c>
      <c r="C1" s="259"/>
      <c r="D1" s="259"/>
      <c r="E1" s="259"/>
      <c r="F1" s="259"/>
      <c r="G1" s="259"/>
      <c r="H1" s="259"/>
      <c r="I1" s="260"/>
    </row>
    <row r="2" spans="2:13" ht="17" customHeight="1">
      <c r="B2" s="257" t="s">
        <v>649</v>
      </c>
      <c r="C2" s="257"/>
      <c r="D2" s="257"/>
      <c r="E2" s="257"/>
      <c r="F2" s="257"/>
      <c r="G2" s="257"/>
      <c r="H2" s="257"/>
      <c r="I2" s="257"/>
    </row>
    <row r="3" spans="2:13" ht="28.55">
      <c r="B3" s="23" t="s">
        <v>244</v>
      </c>
      <c r="C3" s="22" t="s">
        <v>243</v>
      </c>
      <c r="D3" s="22"/>
      <c r="E3" s="22" t="s">
        <v>242</v>
      </c>
      <c r="F3" s="22" t="s">
        <v>241</v>
      </c>
      <c r="G3" s="22" t="s">
        <v>240</v>
      </c>
      <c r="H3" s="22" t="s">
        <v>239</v>
      </c>
      <c r="I3" s="22" t="s">
        <v>648</v>
      </c>
      <c r="J3" s="12"/>
    </row>
    <row r="4" spans="2:13" s="12" customFormat="1" ht="16.5" customHeight="1">
      <c r="B4" s="10">
        <v>1</v>
      </c>
      <c r="C4" s="13" t="s">
        <v>238</v>
      </c>
      <c r="D4" s="13"/>
      <c r="E4" s="14">
        <f>RE!Q6</f>
        <v>26020475</v>
      </c>
      <c r="F4" s="14">
        <f>RE!R6</f>
        <v>26162975</v>
      </c>
      <c r="G4" s="14">
        <f>RE!S6</f>
        <v>142500</v>
      </c>
      <c r="H4" s="14">
        <f>RE!T6</f>
        <v>0</v>
      </c>
      <c r="I4" s="13"/>
    </row>
    <row r="5" spans="2:13" s="12" customFormat="1" ht="16.5" customHeight="1">
      <c r="B5" s="10">
        <v>2</v>
      </c>
      <c r="C5" s="13" t="s">
        <v>33</v>
      </c>
      <c r="D5" s="13"/>
      <c r="E5" s="14">
        <f>RE!Q7</f>
        <v>5915529</v>
      </c>
      <c r="F5" s="14">
        <f>RE!R7</f>
        <v>7012631</v>
      </c>
      <c r="G5" s="14">
        <f>RE!S7</f>
        <v>1910379</v>
      </c>
      <c r="H5" s="14">
        <f>RE!T7</f>
        <v>813277</v>
      </c>
      <c r="I5" s="13"/>
    </row>
    <row r="6" spans="2:13" s="12" customFormat="1" ht="16.5" customHeight="1">
      <c r="B6" s="10">
        <v>3</v>
      </c>
      <c r="C6" s="13" t="s">
        <v>237</v>
      </c>
      <c r="D6" s="13"/>
      <c r="E6" s="14">
        <f>RE!Q8</f>
        <v>215122</v>
      </c>
      <c r="F6" s="14">
        <f>RE!R8</f>
        <v>136973</v>
      </c>
      <c r="G6" s="14">
        <f>RE!S8</f>
        <v>7086</v>
      </c>
      <c r="H6" s="14">
        <f>RE!T8</f>
        <v>85235</v>
      </c>
      <c r="I6" s="13"/>
    </row>
    <row r="7" spans="2:13" s="12" customFormat="1" ht="16.5" customHeight="1">
      <c r="B7" s="10">
        <v>4</v>
      </c>
      <c r="C7" s="13" t="s">
        <v>236</v>
      </c>
      <c r="D7" s="13"/>
      <c r="E7" s="14">
        <f>RE!Q9</f>
        <v>3719411</v>
      </c>
      <c r="F7" s="14">
        <f>RE!R9</f>
        <v>5641335</v>
      </c>
      <c r="G7" s="14">
        <f>RE!S9</f>
        <v>2169638</v>
      </c>
      <c r="H7" s="14">
        <f>RE!T9</f>
        <v>247714</v>
      </c>
      <c r="I7" s="13"/>
    </row>
    <row r="8" spans="2:13" s="12" customFormat="1" ht="16.5" customHeight="1">
      <c r="B8" s="10">
        <v>5</v>
      </c>
      <c r="C8" s="13" t="s">
        <v>235</v>
      </c>
      <c r="D8" s="13"/>
      <c r="E8" s="14">
        <f>RE!Q10</f>
        <v>689000</v>
      </c>
      <c r="F8" s="14">
        <f>RE!R10</f>
        <v>689000</v>
      </c>
      <c r="G8" s="14">
        <f>RE!S10</f>
        <v>0</v>
      </c>
      <c r="H8" s="14">
        <f>RE!T10</f>
        <v>0</v>
      </c>
      <c r="I8" s="13"/>
    </row>
    <row r="9" spans="2:13" s="12" customFormat="1" ht="16.5" customHeight="1">
      <c r="B9" s="10">
        <v>6</v>
      </c>
      <c r="C9" s="13" t="s">
        <v>234</v>
      </c>
      <c r="D9" s="13"/>
      <c r="E9" s="14">
        <f>RE!Q11</f>
        <v>873880</v>
      </c>
      <c r="F9" s="14">
        <f>RE!R11</f>
        <v>873880</v>
      </c>
      <c r="G9" s="14">
        <f>RE!S11</f>
        <v>0</v>
      </c>
      <c r="H9" s="14">
        <f>RE!T11</f>
        <v>0</v>
      </c>
      <c r="I9" s="13"/>
    </row>
    <row r="10" spans="2:13" s="12" customFormat="1" ht="16.5" customHeight="1">
      <c r="B10" s="10">
        <v>7</v>
      </c>
      <c r="C10" s="13" t="s">
        <v>233</v>
      </c>
      <c r="D10" s="13"/>
      <c r="E10" s="14">
        <f>RE!Q12</f>
        <v>3946060</v>
      </c>
      <c r="F10" s="14">
        <f>RE!R12</f>
        <v>2725391</v>
      </c>
      <c r="G10" s="14">
        <f>RE!S12</f>
        <v>374548</v>
      </c>
      <c r="H10" s="14">
        <f>RE!T12</f>
        <v>1595217</v>
      </c>
      <c r="I10" s="13"/>
    </row>
    <row r="11" spans="2:13" s="12" customFormat="1" ht="16.5" customHeight="1">
      <c r="B11" s="10">
        <v>8</v>
      </c>
      <c r="C11" s="13" t="s">
        <v>232</v>
      </c>
      <c r="D11" s="13"/>
      <c r="E11" s="14">
        <f>RE!Q13</f>
        <v>1025822</v>
      </c>
      <c r="F11" s="14">
        <f>RE!R13</f>
        <v>1141255</v>
      </c>
      <c r="G11" s="14">
        <f>RE!S13</f>
        <v>143424</v>
      </c>
      <c r="H11" s="14">
        <f>RE!T13</f>
        <v>27991</v>
      </c>
      <c r="I11" s="13"/>
      <c r="M11" s="12">
        <f>913200-221000</f>
        <v>692200</v>
      </c>
    </row>
    <row r="12" spans="2:13" s="12" customFormat="1" ht="16.5" customHeight="1">
      <c r="B12" s="10"/>
      <c r="C12" s="21" t="s">
        <v>231</v>
      </c>
      <c r="D12" s="21"/>
      <c r="E12" s="19">
        <f>SUM(E4:E11)</f>
        <v>42405299</v>
      </c>
      <c r="F12" s="19">
        <f>SUM(F4:F11)</f>
        <v>44383440</v>
      </c>
      <c r="G12" s="19">
        <f>SUM(G4:G11)</f>
        <v>4747575</v>
      </c>
      <c r="H12" s="19">
        <f>SUM(H4:H11)</f>
        <v>2769434</v>
      </c>
      <c r="I12" s="13"/>
      <c r="M12" s="12">
        <f>1615062-1156237</f>
        <v>458825</v>
      </c>
    </row>
    <row r="13" spans="2:13" s="12" customFormat="1" ht="16.5" customHeight="1">
      <c r="B13" s="10">
        <v>9</v>
      </c>
      <c r="C13" s="13" t="s">
        <v>230</v>
      </c>
      <c r="D13" s="13"/>
      <c r="E13" s="14">
        <f>RE!Q14</f>
        <v>0</v>
      </c>
      <c r="F13" s="14">
        <f>RE!R14</f>
        <v>221000</v>
      </c>
      <c r="G13" s="14">
        <f>RE!S14</f>
        <v>221000</v>
      </c>
      <c r="H13" s="14">
        <f>RE!T14</f>
        <v>0</v>
      </c>
      <c r="I13" s="13"/>
      <c r="M13" s="12">
        <f>1872250-1939494</f>
        <v>-67244</v>
      </c>
    </row>
    <row r="14" spans="2:13" s="12" customFormat="1" ht="16.5" customHeight="1">
      <c r="B14" s="10">
        <v>10</v>
      </c>
      <c r="C14" s="13" t="s">
        <v>229</v>
      </c>
      <c r="D14" s="13"/>
      <c r="E14" s="14">
        <f>RE!Q15</f>
        <v>0</v>
      </c>
      <c r="F14" s="14">
        <f>RE!R15</f>
        <v>1156237</v>
      </c>
      <c r="G14" s="14">
        <f>RE!S15</f>
        <v>1156237</v>
      </c>
      <c r="H14" s="14">
        <f>RE!T15</f>
        <v>0</v>
      </c>
      <c r="I14" s="13"/>
    </row>
    <row r="15" spans="2:13" s="12" customFormat="1" ht="16.5" customHeight="1">
      <c r="B15" s="10">
        <v>11</v>
      </c>
      <c r="C15" s="13" t="s">
        <v>228</v>
      </c>
      <c r="D15" s="13"/>
      <c r="E15" s="14">
        <f>RE!Q16</f>
        <v>0</v>
      </c>
      <c r="F15" s="14">
        <f>RE!R16</f>
        <v>8985</v>
      </c>
      <c r="G15" s="14">
        <f>RE!S16</f>
        <v>8985</v>
      </c>
      <c r="H15" s="14">
        <f>RE!T16</f>
        <v>0</v>
      </c>
      <c r="I15" s="13"/>
    </row>
    <row r="16" spans="2:13" s="12" customFormat="1" ht="16.5" customHeight="1">
      <c r="B16" s="10">
        <v>12</v>
      </c>
      <c r="C16" s="13" t="s">
        <v>227</v>
      </c>
      <c r="D16" s="13"/>
      <c r="E16" s="14">
        <f>RE!Q17</f>
        <v>0</v>
      </c>
      <c r="F16" s="14">
        <f>RE!R17</f>
        <v>496686</v>
      </c>
      <c r="G16" s="14">
        <f>RE!S17</f>
        <v>496686</v>
      </c>
      <c r="H16" s="14">
        <f>RE!T17</f>
        <v>0</v>
      </c>
      <c r="I16" s="13"/>
      <c r="M16" s="255">
        <f>F13+469700</f>
        <v>690700</v>
      </c>
    </row>
    <row r="17" spans="2:9" s="12" customFormat="1" ht="16.5" customHeight="1">
      <c r="B17" s="10">
        <v>14</v>
      </c>
      <c r="C17" s="13" t="s">
        <v>226</v>
      </c>
      <c r="D17" s="13"/>
      <c r="E17" s="14">
        <f>RE!Q18</f>
        <v>0</v>
      </c>
      <c r="F17" s="14">
        <f>RE!R18</f>
        <v>1939494</v>
      </c>
      <c r="G17" s="14">
        <f>RE!S18</f>
        <v>1939494</v>
      </c>
      <c r="H17" s="14">
        <f>RE!T18</f>
        <v>0</v>
      </c>
      <c r="I17" s="13"/>
    </row>
    <row r="18" spans="2:9" s="12" customFormat="1" ht="16.5" customHeight="1">
      <c r="B18" s="10">
        <v>15</v>
      </c>
      <c r="C18" s="13" t="s">
        <v>225</v>
      </c>
      <c r="D18" s="13"/>
      <c r="E18" s="14">
        <f>RE!Q19</f>
        <v>0</v>
      </c>
      <c r="F18" s="14">
        <f>RE!R19</f>
        <v>814670</v>
      </c>
      <c r="G18" s="14">
        <f>RE!S19</f>
        <v>814670</v>
      </c>
      <c r="H18" s="14">
        <f>RE!T19</f>
        <v>0</v>
      </c>
      <c r="I18" s="13"/>
    </row>
    <row r="19" spans="2:9" s="12" customFormat="1" ht="16.5" customHeight="1">
      <c r="B19" s="10"/>
      <c r="C19" s="13" t="s">
        <v>690</v>
      </c>
      <c r="D19" s="13"/>
      <c r="E19" s="14"/>
      <c r="F19" s="14">
        <f>RE!K765</f>
        <v>1376390</v>
      </c>
      <c r="G19" s="14">
        <f>RE!L765</f>
        <v>1376390</v>
      </c>
      <c r="H19" s="14">
        <f>RE!M765</f>
        <v>0</v>
      </c>
      <c r="I19" s="13"/>
    </row>
    <row r="20" spans="2:9" s="12" customFormat="1" ht="16.5" customHeight="1">
      <c r="B20" s="10"/>
      <c r="C20" s="21" t="s">
        <v>224</v>
      </c>
      <c r="D20" s="21"/>
      <c r="E20" s="19">
        <f>SUM(E13:E18)</f>
        <v>0</v>
      </c>
      <c r="F20" s="19">
        <f>SUM(F13:F19)</f>
        <v>6013462</v>
      </c>
      <c r="G20" s="19">
        <f t="shared" ref="G20:H20" si="0">SUM(G13:G19)</f>
        <v>6013462</v>
      </c>
      <c r="H20" s="19">
        <f t="shared" si="0"/>
        <v>0</v>
      </c>
      <c r="I20" s="13"/>
    </row>
    <row r="21" spans="2:9" s="12" customFormat="1" ht="16.5" customHeight="1">
      <c r="B21" s="10"/>
      <c r="C21" s="20" t="s">
        <v>223</v>
      </c>
      <c r="D21" s="20"/>
      <c r="E21" s="19">
        <f>SUM(E20,E12)</f>
        <v>42405299</v>
      </c>
      <c r="F21" s="19">
        <f>SUM(F20,F12)</f>
        <v>50396902</v>
      </c>
      <c r="G21" s="19">
        <f>SUM(G20,G12)</f>
        <v>10761037</v>
      </c>
      <c r="H21" s="19">
        <f>SUM(H20,H12)</f>
        <v>2769434</v>
      </c>
      <c r="I21" s="14">
        <f>G21-H21</f>
        <v>7991603</v>
      </c>
    </row>
    <row r="22" spans="2:9" s="12" customFormat="1" ht="40.75">
      <c r="B22" s="10">
        <v>16</v>
      </c>
      <c r="C22" s="15" t="s">
        <v>214</v>
      </c>
      <c r="D22" s="16">
        <v>0.04</v>
      </c>
      <c r="E22" s="236">
        <f>ROUND((D22*E21),0)</f>
        <v>1696212</v>
      </c>
      <c r="F22" s="236">
        <f>ROUND((D22*F21),0)</f>
        <v>2015876</v>
      </c>
      <c r="G22" s="14">
        <f>ROUND(IF(F22&gt;E22,F22-E22,0),0)</f>
        <v>319664</v>
      </c>
      <c r="H22" s="14">
        <f>ROUND(IF(F22&lt;E22,E22-F22,0),0)</f>
        <v>0</v>
      </c>
      <c r="I22" s="13"/>
    </row>
    <row r="23" spans="2:9" s="12" customFormat="1" ht="16.5" customHeight="1">
      <c r="B23" s="10"/>
      <c r="C23" s="20" t="s">
        <v>222</v>
      </c>
      <c r="D23" s="20"/>
      <c r="E23" s="14">
        <f>E21*18%</f>
        <v>7632953.8199999994</v>
      </c>
      <c r="F23" s="14">
        <f>F21*18%</f>
        <v>9071442.3599999994</v>
      </c>
      <c r="G23" s="14">
        <f>ROUND(IF(F23&gt;E23,F23-E23,0),0)</f>
        <v>1438489</v>
      </c>
      <c r="H23" s="14">
        <f>ROUND(IF(F23&lt;E23,E23-F23,0),0)</f>
        <v>0</v>
      </c>
      <c r="I23" s="13"/>
    </row>
    <row r="24" spans="2:9" s="12" customFormat="1" ht="16.5" customHeight="1">
      <c r="B24" s="10"/>
      <c r="C24" s="20"/>
      <c r="D24" s="20"/>
      <c r="E24" s="19">
        <f>ROUND((SUM(E21:E23)),0)</f>
        <v>51734465</v>
      </c>
      <c r="F24" s="19">
        <f>SUM(F21:F23)</f>
        <v>61484220.359999999</v>
      </c>
      <c r="G24" s="19">
        <f t="shared" ref="G24" si="1">SUM(G21:G23)</f>
        <v>12519190</v>
      </c>
      <c r="H24" s="19">
        <f>ROUND((SUM(H21:H23)),0)</f>
        <v>2769434</v>
      </c>
      <c r="I24" s="13"/>
    </row>
    <row r="25" spans="2:9" s="12" customFormat="1" ht="27.2">
      <c r="B25" s="10">
        <v>17</v>
      </c>
      <c r="C25" s="15" t="s">
        <v>221</v>
      </c>
      <c r="D25" s="16">
        <v>0.01</v>
      </c>
      <c r="E25" s="14"/>
      <c r="F25" s="14">
        <f>F21*D25</f>
        <v>503969.02</v>
      </c>
      <c r="G25" s="14">
        <f t="shared" ref="G25:G30" si="2">ROUND(IF(F25&gt;E25,F25-E25,0),0)</f>
        <v>503969</v>
      </c>
      <c r="H25" s="14">
        <f>ROUND(IF(F25&lt;E25,E25-F25,0),0)</f>
        <v>0</v>
      </c>
      <c r="I25" s="13"/>
    </row>
    <row r="26" spans="2:9" s="12" customFormat="1" ht="27.2">
      <c r="B26" s="10">
        <v>18</v>
      </c>
      <c r="C26" s="15" t="s">
        <v>220</v>
      </c>
      <c r="D26" s="18">
        <v>1E-3</v>
      </c>
      <c r="E26" s="14"/>
      <c r="F26" s="14">
        <f>F21*D26</f>
        <v>50396.902000000002</v>
      </c>
      <c r="G26" s="14">
        <f t="shared" si="2"/>
        <v>50397</v>
      </c>
      <c r="H26" s="14">
        <f t="shared" ref="H26:H33" si="3">ROUND(IF(F26&lt;E26,E26-F26,0),0)</f>
        <v>0</v>
      </c>
      <c r="I26" s="13"/>
    </row>
    <row r="27" spans="2:9" s="12" customFormat="1" ht="27.2">
      <c r="B27" s="10">
        <v>19</v>
      </c>
      <c r="C27" s="15" t="s">
        <v>219</v>
      </c>
      <c r="D27" s="17"/>
      <c r="E27" s="14"/>
      <c r="F27" s="14">
        <f>SEIGNORAGE!Q10</f>
        <v>448</v>
      </c>
      <c r="G27" s="14">
        <f t="shared" si="2"/>
        <v>448</v>
      </c>
      <c r="H27" s="14">
        <f t="shared" si="3"/>
        <v>0</v>
      </c>
      <c r="I27" s="13"/>
    </row>
    <row r="28" spans="2:9" s="12" customFormat="1" ht="27.2">
      <c r="B28" s="10">
        <v>20</v>
      </c>
      <c r="C28" s="15" t="s">
        <v>218</v>
      </c>
      <c r="D28" s="16">
        <v>0.3</v>
      </c>
      <c r="E28" s="14"/>
      <c r="F28" s="14">
        <f>F27*D28</f>
        <v>134.4</v>
      </c>
      <c r="G28" s="14">
        <f t="shared" si="2"/>
        <v>134</v>
      </c>
      <c r="H28" s="14">
        <f t="shared" si="3"/>
        <v>0</v>
      </c>
      <c r="I28" s="13"/>
    </row>
    <row r="29" spans="2:9" s="12" customFormat="1" ht="27.2">
      <c r="B29" s="10">
        <v>21</v>
      </c>
      <c r="C29" s="15" t="s">
        <v>217</v>
      </c>
      <c r="D29" s="16">
        <v>0.02</v>
      </c>
      <c r="E29" s="14"/>
      <c r="F29" s="14">
        <f>F27*D29</f>
        <v>8.9600000000000009</v>
      </c>
      <c r="G29" s="14">
        <f t="shared" si="2"/>
        <v>9</v>
      </c>
      <c r="H29" s="14">
        <f t="shared" si="3"/>
        <v>0</v>
      </c>
      <c r="I29" s="13"/>
    </row>
    <row r="30" spans="2:9" s="12" customFormat="1">
      <c r="B30" s="10">
        <v>22</v>
      </c>
      <c r="C30" s="15" t="s">
        <v>216</v>
      </c>
      <c r="D30" s="18">
        <v>1E-4</v>
      </c>
      <c r="E30" s="14"/>
      <c r="F30" s="14">
        <f>F21*D30</f>
        <v>5039.6902</v>
      </c>
      <c r="G30" s="14">
        <f t="shared" si="2"/>
        <v>5040</v>
      </c>
      <c r="H30" s="14">
        <f>ROUND(IF(F30&lt;E30,E30-F30,0),0)</f>
        <v>0</v>
      </c>
      <c r="I30" s="13"/>
    </row>
    <row r="31" spans="2:9" s="12" customFormat="1">
      <c r="B31" s="10">
        <v>23</v>
      </c>
      <c r="C31" s="11" t="s">
        <v>643</v>
      </c>
      <c r="D31" s="17"/>
      <c r="E31" s="14"/>
      <c r="F31" s="14">
        <f>ROUND(SUM(F25:F30),0)</f>
        <v>559997</v>
      </c>
      <c r="G31" s="14">
        <f t="shared" ref="G31:G33" si="4">ROUND(IF(F31&gt;E31,F31-E31,0),0)</f>
        <v>559997</v>
      </c>
      <c r="H31" s="14">
        <f t="shared" si="3"/>
        <v>0</v>
      </c>
      <c r="I31" s="13"/>
    </row>
    <row r="32" spans="2:9" s="12" customFormat="1" ht="27.2">
      <c r="B32" s="10">
        <v>24</v>
      </c>
      <c r="C32" s="15" t="s">
        <v>215</v>
      </c>
      <c r="D32" s="16">
        <v>0.18</v>
      </c>
      <c r="E32" s="14"/>
      <c r="F32" s="14">
        <f>F31*D32</f>
        <v>100799.45999999999</v>
      </c>
      <c r="G32" s="14">
        <f t="shared" si="4"/>
        <v>100799</v>
      </c>
      <c r="H32" s="14">
        <f t="shared" si="3"/>
        <v>0</v>
      </c>
      <c r="I32" s="13"/>
    </row>
    <row r="33" spans="2:9" s="12" customFormat="1" ht="27.2">
      <c r="B33" s="10">
        <v>25</v>
      </c>
      <c r="C33" s="15" t="s">
        <v>625</v>
      </c>
      <c r="D33" s="15"/>
      <c r="E33" s="14">
        <v>3265535</v>
      </c>
      <c r="F33" s="14">
        <v>910280</v>
      </c>
      <c r="G33" s="14">
        <f t="shared" si="4"/>
        <v>0</v>
      </c>
      <c r="H33" s="14">
        <f t="shared" si="3"/>
        <v>2355255</v>
      </c>
      <c r="I33" s="13"/>
    </row>
    <row r="34" spans="2:9" s="12" customFormat="1" ht="22.1" customHeight="1">
      <c r="B34" s="10"/>
      <c r="C34" s="11" t="s">
        <v>644</v>
      </c>
      <c r="D34" s="13"/>
      <c r="E34" s="14"/>
      <c r="F34" s="14">
        <f>SUM(F31:F33)</f>
        <v>1571076.46</v>
      </c>
      <c r="G34" s="14">
        <f>SUM(G31:G33)</f>
        <v>660796</v>
      </c>
      <c r="H34" s="14">
        <f>SUM(H31:H33)</f>
        <v>2355255</v>
      </c>
      <c r="I34" s="13"/>
    </row>
    <row r="35" spans="2:9" s="12" customFormat="1" ht="16.5" customHeight="1">
      <c r="B35" s="10"/>
      <c r="C35" s="13"/>
      <c r="D35" s="13"/>
      <c r="E35" s="19">
        <f>SUM(E24:E34)</f>
        <v>55000000</v>
      </c>
      <c r="F35" s="19">
        <f>F34+F24</f>
        <v>63055296.82</v>
      </c>
      <c r="G35" s="19">
        <f>G34+G24</f>
        <v>13179986</v>
      </c>
      <c r="H35" s="19">
        <f>H34+H24</f>
        <v>5124689</v>
      </c>
      <c r="I35" s="14">
        <f>G35-H35</f>
        <v>8055297</v>
      </c>
    </row>
    <row r="36" spans="2:9" ht="16.5" customHeight="1">
      <c r="B36" s="8"/>
      <c r="E36" s="9"/>
      <c r="F36" s="9"/>
      <c r="G36" s="9"/>
      <c r="H36" s="9"/>
    </row>
    <row r="37" spans="2:9" ht="16.5" customHeight="1">
      <c r="B37" s="8"/>
      <c r="C37" s="237" t="s">
        <v>645</v>
      </c>
      <c r="D37" s="237"/>
      <c r="E37" s="9"/>
      <c r="F37" s="229">
        <v>55000000</v>
      </c>
      <c r="G37" s="238" t="s">
        <v>240</v>
      </c>
      <c r="H37" s="229">
        <f>G35</f>
        <v>13179986</v>
      </c>
    </row>
    <row r="38" spans="2:9" ht="16.5" customHeight="1">
      <c r="B38" s="8"/>
      <c r="C38" s="239" t="s">
        <v>646</v>
      </c>
      <c r="D38" s="240"/>
      <c r="E38" s="240"/>
      <c r="F38" s="241">
        <f>F35</f>
        <v>63055296.82</v>
      </c>
      <c r="G38" s="239" t="s">
        <v>239</v>
      </c>
      <c r="H38" s="241">
        <f>H35</f>
        <v>5124689</v>
      </c>
      <c r="I38" s="240"/>
    </row>
    <row r="39" spans="2:9" s="12" customFormat="1" ht="19.55" customHeight="1" thickBot="1">
      <c r="B39" s="8"/>
      <c r="C39" s="242" t="s">
        <v>647</v>
      </c>
      <c r="D39" s="243"/>
      <c r="E39" s="243"/>
      <c r="F39" s="244">
        <f>F38-F37</f>
        <v>8055296.8200000003</v>
      </c>
      <c r="G39" s="242" t="s">
        <v>647</v>
      </c>
      <c r="H39" s="244">
        <f>H37-H38</f>
        <v>8055297</v>
      </c>
      <c r="I39" s="245"/>
    </row>
    <row r="40" spans="2:9" ht="16.5" customHeight="1" thickTop="1">
      <c r="B40" s="8"/>
    </row>
    <row r="41" spans="2:9" ht="16.5" customHeight="1">
      <c r="B41" s="8"/>
    </row>
    <row r="42"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2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261" t="s">
        <v>244</v>
      </c>
      <c r="B1" s="261" t="s">
        <v>300</v>
      </c>
      <c r="C1" s="261" t="s">
        <v>265</v>
      </c>
      <c r="D1" s="264" t="s">
        <v>0</v>
      </c>
      <c r="E1" s="262" t="s">
        <v>0</v>
      </c>
      <c r="F1" s="262"/>
      <c r="G1" s="262"/>
      <c r="H1" s="262" t="s">
        <v>299</v>
      </c>
      <c r="I1" s="262"/>
      <c r="J1" s="262"/>
      <c r="K1" s="262" t="s">
        <v>298</v>
      </c>
      <c r="L1" s="262"/>
      <c r="M1" s="262"/>
      <c r="N1" s="262" t="s">
        <v>297</v>
      </c>
      <c r="O1" s="262"/>
      <c r="P1" s="262"/>
      <c r="Q1" s="261" t="s">
        <v>296</v>
      </c>
    </row>
    <row r="2" spans="1:17" s="27" customFormat="1" ht="14.95" customHeight="1">
      <c r="A2" s="261"/>
      <c r="B2" s="261"/>
      <c r="C2" s="261"/>
      <c r="D2" s="264"/>
      <c r="E2" s="263" t="s">
        <v>295</v>
      </c>
      <c r="F2" s="263" t="s">
        <v>294</v>
      </c>
      <c r="G2" s="263" t="s">
        <v>293</v>
      </c>
      <c r="H2" s="263" t="s">
        <v>292</v>
      </c>
      <c r="I2" s="263" t="s">
        <v>291</v>
      </c>
      <c r="J2" s="263" t="s">
        <v>290</v>
      </c>
      <c r="K2" s="263" t="s">
        <v>289</v>
      </c>
      <c r="L2" s="263" t="s">
        <v>288</v>
      </c>
      <c r="M2" s="263" t="s">
        <v>287</v>
      </c>
      <c r="N2" s="263" t="s">
        <v>286</v>
      </c>
      <c r="O2" s="263" t="s">
        <v>285</v>
      </c>
      <c r="P2" s="263" t="s">
        <v>284</v>
      </c>
      <c r="Q2" s="261"/>
    </row>
    <row r="3" spans="1:17" s="27" customFormat="1" ht="14.95" customHeight="1">
      <c r="A3" s="261"/>
      <c r="B3" s="261"/>
      <c r="C3" s="261"/>
      <c r="D3" s="264"/>
      <c r="E3" s="263"/>
      <c r="F3" s="263"/>
      <c r="G3" s="263"/>
      <c r="H3" s="263"/>
      <c r="I3" s="263"/>
      <c r="J3" s="263"/>
      <c r="K3" s="263"/>
      <c r="L3" s="263"/>
      <c r="M3" s="263"/>
      <c r="N3" s="263"/>
      <c r="O3" s="263"/>
      <c r="P3" s="263"/>
      <c r="Q3" s="261"/>
    </row>
    <row r="4" spans="1:17" ht="171.85">
      <c r="A4" s="1">
        <v>252</v>
      </c>
      <c r="B4" s="2" t="s">
        <v>93</v>
      </c>
      <c r="C4" s="4">
        <v>20.079999999999998</v>
      </c>
      <c r="D4" s="3" t="s">
        <v>11</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21</v>
      </c>
      <c r="C5" s="4">
        <v>227.17</v>
      </c>
      <c r="D5" s="3" t="s">
        <v>12</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94</v>
      </c>
      <c r="C6" s="4">
        <v>0</v>
      </c>
      <c r="D6" s="3" t="s">
        <v>13</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95</v>
      </c>
      <c r="C7" s="4">
        <v>39.56</v>
      </c>
      <c r="D7" s="3" t="s">
        <v>12</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96</v>
      </c>
      <c r="C8" s="4">
        <v>905.88</v>
      </c>
      <c r="D8" s="3" t="s">
        <v>12</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7</v>
      </c>
      <c r="C9" s="4">
        <v>0</v>
      </c>
      <c r="D9" s="3" t="s">
        <v>12</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301</v>
      </c>
      <c r="Q10" s="34">
        <f>SUM(Q4:Q9)</f>
        <v>448</v>
      </c>
    </row>
    <row r="12" spans="1:17" ht="14.3">
      <c r="F12" s="24" t="s">
        <v>266</v>
      </c>
      <c r="G12" s="24"/>
      <c r="H12" s="25" t="s">
        <v>267</v>
      </c>
      <c r="I12" s="25"/>
      <c r="J12" s="24" t="s">
        <v>268</v>
      </c>
      <c r="K12" s="24"/>
      <c r="L12" s="26" t="s">
        <v>269</v>
      </c>
      <c r="M12" s="26"/>
    </row>
    <row r="13" spans="1:17" ht="14.3">
      <c r="F13" s="27" t="s">
        <v>270</v>
      </c>
      <c r="G13" s="28">
        <v>4.7222222222222221E-2</v>
      </c>
      <c r="H13" s="29"/>
      <c r="I13" s="27">
        <v>227.17</v>
      </c>
      <c r="J13" s="29" t="s">
        <v>0</v>
      </c>
      <c r="K13" s="27">
        <v>39.56</v>
      </c>
      <c r="L13" s="29" t="s">
        <v>271</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272</v>
      </c>
      <c r="G15" s="27">
        <f>0.61*0.21*0.11</f>
        <v>1.4090999999999999E-2</v>
      </c>
      <c r="H15" s="29" t="s">
        <v>273</v>
      </c>
      <c r="I15" s="28">
        <v>4.4444444444444446E-2</v>
      </c>
      <c r="J15" s="29" t="s">
        <v>274</v>
      </c>
      <c r="K15" s="27">
        <f>K14*1.33</f>
        <v>0.84183680000000016</v>
      </c>
      <c r="L15" s="29" t="s">
        <v>274</v>
      </c>
      <c r="M15" s="27">
        <f>M14*1.33</f>
        <v>9.6385632000000001</v>
      </c>
    </row>
    <row r="16" spans="1:17" ht="14.3">
      <c r="F16" s="27" t="s">
        <v>275</v>
      </c>
      <c r="G16" s="30">
        <f>G14/G15</f>
        <v>1425.0230643673267</v>
      </c>
      <c r="H16" s="29" t="s">
        <v>272</v>
      </c>
      <c r="I16" s="27">
        <f>0.61*0.21*0.11</f>
        <v>1.4090999999999999E-2</v>
      </c>
      <c r="J16" s="29" t="s">
        <v>273</v>
      </c>
      <c r="K16" s="28">
        <v>4.5833333333333337E-2</v>
      </c>
      <c r="L16" s="29" t="s">
        <v>273</v>
      </c>
      <c r="M16" s="28">
        <v>4.5833333333333337E-2</v>
      </c>
    </row>
    <row r="17" spans="6:13" ht="14.3">
      <c r="F17" s="27" t="s">
        <v>276</v>
      </c>
      <c r="G17" s="27">
        <f>0.6*0.2*0.1</f>
        <v>1.2E-2</v>
      </c>
      <c r="H17" s="29" t="s">
        <v>275</v>
      </c>
      <c r="I17" s="30">
        <f>I14/I16</f>
        <v>1612.1637924916613</v>
      </c>
      <c r="J17" s="29" t="s">
        <v>277</v>
      </c>
      <c r="K17" s="27">
        <f>(1/7)*K15</f>
        <v>0.12026240000000002</v>
      </c>
      <c r="L17" s="29" t="s">
        <v>277</v>
      </c>
      <c r="M17" s="27">
        <f>(1/7)*M15</f>
        <v>1.3769376</v>
      </c>
    </row>
    <row r="18" spans="6:13" ht="14.3">
      <c r="F18" s="27" t="s">
        <v>278</v>
      </c>
      <c r="G18" s="27">
        <f>G16*G17</f>
        <v>17.10027677240792</v>
      </c>
      <c r="H18" s="29" t="s">
        <v>276</v>
      </c>
      <c r="I18" s="27">
        <f>0.6*0.2*0.1</f>
        <v>1.2E-2</v>
      </c>
      <c r="J18" s="29" t="s">
        <v>279</v>
      </c>
      <c r="K18" s="31">
        <f>(6/7)*K15</f>
        <v>0.72157440000000006</v>
      </c>
      <c r="L18" s="29" t="s">
        <v>279</v>
      </c>
      <c r="M18" s="31">
        <f>(6/7)*M15</f>
        <v>8.2616256000000003</v>
      </c>
    </row>
    <row r="19" spans="6:13" ht="14.3">
      <c r="F19" s="27" t="s">
        <v>280</v>
      </c>
      <c r="G19" s="27">
        <f>G14-G18</f>
        <v>2.9797232275920784</v>
      </c>
      <c r="H19" s="29" t="s">
        <v>278</v>
      </c>
      <c r="I19" s="27">
        <f>I18*I17</f>
        <v>19.345965509899937</v>
      </c>
      <c r="J19" s="29" t="s">
        <v>273</v>
      </c>
      <c r="K19" s="28">
        <v>4.4444444444444446E-2</v>
      </c>
      <c r="L19" s="29" t="s">
        <v>273</v>
      </c>
      <c r="M19" s="28">
        <v>4.4444444444444446E-2</v>
      </c>
    </row>
    <row r="20" spans="6:13" ht="14.3">
      <c r="F20" s="27" t="s">
        <v>274</v>
      </c>
      <c r="G20" s="27">
        <f>G19*1.33</f>
        <v>3.9630318926974644</v>
      </c>
      <c r="H20" s="29" t="s">
        <v>280</v>
      </c>
      <c r="I20" s="27">
        <f>I14-I19</f>
        <v>3.3710344901000617</v>
      </c>
      <c r="J20" s="29"/>
      <c r="K20" s="27">
        <f>K13*0.004</f>
        <v>0.15824000000000002</v>
      </c>
      <c r="L20" s="29"/>
      <c r="M20" s="27">
        <f>M13*0.004</f>
        <v>3.6235200000000001</v>
      </c>
    </row>
    <row r="21" spans="6:13" ht="14.3">
      <c r="F21" s="27" t="s">
        <v>281</v>
      </c>
      <c r="G21" s="27">
        <f>(1/9)*G20</f>
        <v>0.4403368769663849</v>
      </c>
      <c r="H21" s="29" t="s">
        <v>274</v>
      </c>
      <c r="I21" s="27">
        <f>I20*1.33</f>
        <v>4.4834758718330825</v>
      </c>
      <c r="J21" s="27" t="s">
        <v>274</v>
      </c>
      <c r="K21" s="27">
        <f>K20*1.33</f>
        <v>0.21045920000000004</v>
      </c>
      <c r="L21" s="29" t="s">
        <v>274</v>
      </c>
      <c r="M21" s="27">
        <f>M20*1.33</f>
        <v>4.8192816000000001</v>
      </c>
    </row>
    <row r="22" spans="6:13" ht="14.3">
      <c r="F22" s="27" t="s">
        <v>282</v>
      </c>
      <c r="G22" s="30">
        <f>(8/9)*G20</f>
        <v>3.5226950157310792</v>
      </c>
      <c r="H22" s="29" t="s">
        <v>281</v>
      </c>
      <c r="I22" s="27">
        <f>(1/5)*I21</f>
        <v>0.8966951743666165</v>
      </c>
      <c r="J22" s="29" t="s">
        <v>277</v>
      </c>
      <c r="K22" s="27">
        <f>K21*(1/5)</f>
        <v>4.2091840000000012E-2</v>
      </c>
      <c r="L22" s="29" t="s">
        <v>277</v>
      </c>
      <c r="M22" s="27">
        <f>(1/5)*M21</f>
        <v>0.9638563200000001</v>
      </c>
    </row>
    <row r="23" spans="6:13" ht="14.3">
      <c r="F23" s="27"/>
      <c r="G23" s="27"/>
      <c r="H23" s="29" t="s">
        <v>282</v>
      </c>
      <c r="I23" s="30">
        <f>(4/5)*I21</f>
        <v>3.586780697466466</v>
      </c>
      <c r="J23" s="29" t="s">
        <v>279</v>
      </c>
      <c r="K23" s="31">
        <f>(4/5)*K21</f>
        <v>0.16836736000000005</v>
      </c>
      <c r="L23" s="29" t="s">
        <v>279</v>
      </c>
      <c r="M23" s="31">
        <f>(4/5)*M21</f>
        <v>3.8554252800000004</v>
      </c>
    </row>
    <row r="24" spans="6:13" ht="14.3">
      <c r="F24" s="27"/>
      <c r="G24" s="27"/>
      <c r="H24" s="27"/>
      <c r="I24" s="27"/>
      <c r="J24" s="27" t="s">
        <v>283</v>
      </c>
      <c r="K24" s="30">
        <f>K23+K18</f>
        <v>0.88994176000000014</v>
      </c>
      <c r="L24" s="29" t="s">
        <v>283</v>
      </c>
      <c r="M24" s="30">
        <f>M23+M18</f>
        <v>12.117050880000001</v>
      </c>
    </row>
  </sheetData>
  <mergeCells count="21">
    <mergeCell ref="A1:A3"/>
    <mergeCell ref="C1:C3"/>
    <mergeCell ref="D1:D3"/>
    <mergeCell ref="H1:J1"/>
    <mergeCell ref="H2:H3"/>
    <mergeCell ref="I2:I3"/>
    <mergeCell ref="J2:J3"/>
    <mergeCell ref="B1:B3"/>
    <mergeCell ref="E1:G1"/>
    <mergeCell ref="E2:E3"/>
    <mergeCell ref="F2:F3"/>
    <mergeCell ref="G2:G3"/>
    <mergeCell ref="Q1:Q3"/>
    <mergeCell ref="K1:M1"/>
    <mergeCell ref="K2:K3"/>
    <mergeCell ref="L2:L3"/>
    <mergeCell ref="M2:M3"/>
    <mergeCell ref="N1:P1"/>
    <mergeCell ref="N2:N3"/>
    <mergeCell ref="O2:O3"/>
    <mergeCell ref="P2: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55"/>
    <col min="2" max="2" width="5.140625" style="131" customWidth="1"/>
    <col min="3" max="3" width="34.28515625" style="55" customWidth="1"/>
    <col min="4" max="5" width="11.28515625" style="55" bestFit="1" customWidth="1"/>
    <col min="6" max="6" width="12.7109375" style="55" bestFit="1" customWidth="1"/>
    <col min="7" max="8" width="11.28515625" style="55" bestFit="1" customWidth="1"/>
    <col min="9" max="9" width="12.42578125" style="55" customWidth="1"/>
    <col min="10" max="11" width="10.85546875" style="55"/>
    <col min="12" max="12" width="29.42578125" style="55" customWidth="1"/>
    <col min="13" max="14" width="10.85546875" style="55"/>
    <col min="15" max="15" width="16" style="55" bestFit="1" customWidth="1"/>
    <col min="16" max="16384" width="10.85546875" style="55"/>
  </cols>
  <sheetData>
    <row r="2" spans="2:9" ht="17" customHeight="1">
      <c r="B2" s="275" t="s">
        <v>492</v>
      </c>
      <c r="C2" s="275"/>
      <c r="D2" s="275"/>
      <c r="E2" s="275"/>
      <c r="F2" s="275"/>
      <c r="G2" s="275"/>
      <c r="H2" s="275"/>
      <c r="I2" s="275"/>
    </row>
    <row r="3" spans="2:9" ht="172.55" customHeight="1">
      <c r="B3" s="266">
        <v>42</v>
      </c>
      <c r="C3" s="286" t="s">
        <v>620</v>
      </c>
      <c r="D3" s="286"/>
      <c r="E3" s="286"/>
      <c r="F3" s="286"/>
      <c r="G3" s="286"/>
      <c r="H3" s="286"/>
      <c r="I3" s="286"/>
    </row>
    <row r="4" spans="2:9" ht="16.149999999999999" customHeight="1">
      <c r="B4" s="266"/>
      <c r="C4" s="137" t="s">
        <v>570</v>
      </c>
      <c r="D4" s="138"/>
      <c r="E4" s="138"/>
      <c r="F4" s="139"/>
      <c r="G4" s="138"/>
      <c r="H4" s="138"/>
      <c r="I4" s="140"/>
    </row>
    <row r="5" spans="2:9">
      <c r="B5" s="266"/>
      <c r="C5" s="138" t="s">
        <v>571</v>
      </c>
      <c r="D5" s="138"/>
      <c r="E5" s="138"/>
      <c r="F5" s="139"/>
      <c r="G5" s="138"/>
      <c r="H5" s="138"/>
      <c r="I5" s="140"/>
    </row>
    <row r="6" spans="2:9">
      <c r="B6" s="266"/>
      <c r="C6" s="138" t="s">
        <v>572</v>
      </c>
      <c r="D6" s="138"/>
      <c r="E6" s="138"/>
      <c r="F6" s="139"/>
      <c r="G6" s="138"/>
      <c r="H6" s="138"/>
      <c r="I6" s="140"/>
    </row>
    <row r="7" spans="2:9" ht="27.2">
      <c r="B7" s="266"/>
      <c r="C7" s="141" t="s">
        <v>573</v>
      </c>
      <c r="D7" s="142">
        <v>1.05</v>
      </c>
      <c r="E7" s="143" t="s">
        <v>13</v>
      </c>
      <c r="F7" s="144">
        <f>[1]LEAD!$N$7</f>
        <v>60000</v>
      </c>
      <c r="G7" s="145">
        <v>1</v>
      </c>
      <c r="H7" s="143" t="str">
        <f>IF(E7="","",IF(E7="No.","Each",IF(E7="Nos.","Each",E7)))</f>
        <v>MT</v>
      </c>
      <c r="I7" s="144">
        <f>IF(G7="",D7*F7,(D7*F7/G7))</f>
        <v>63000</v>
      </c>
    </row>
    <row r="8" spans="2:9" ht="13.6">
      <c r="B8" s="266"/>
      <c r="C8" s="141" t="s">
        <v>574</v>
      </c>
      <c r="D8" s="142">
        <v>6</v>
      </c>
      <c r="E8" s="143" t="s">
        <v>500</v>
      </c>
      <c r="F8" s="144">
        <f>'[1]Civil-SOR'!$G$309</f>
        <v>71</v>
      </c>
      <c r="G8" s="145">
        <v>1</v>
      </c>
      <c r="H8" s="143" t="str">
        <f>IF(E8="","",IF(E8="No.","Each",IF(E8="Nos.","Each",E8)))</f>
        <v>Kgs</v>
      </c>
      <c r="I8" s="144">
        <f>IF(G8="",D8*F8,(D8*F8/G8))</f>
        <v>426</v>
      </c>
    </row>
    <row r="9" spans="2:9" ht="41.45">
      <c r="B9" s="266"/>
      <c r="C9" s="138" t="s">
        <v>621</v>
      </c>
      <c r="D9" s="146"/>
      <c r="E9" s="147"/>
      <c r="F9" s="148"/>
      <c r="G9" s="149"/>
      <c r="H9" s="147"/>
      <c r="I9" s="148"/>
    </row>
    <row r="10" spans="2:9" ht="27.2">
      <c r="B10" s="266"/>
      <c r="C10" s="141" t="s">
        <v>575</v>
      </c>
      <c r="D10" s="150">
        <v>3</v>
      </c>
      <c r="E10" s="151" t="s">
        <v>201</v>
      </c>
      <c r="F10" s="144">
        <f>'[1]Civil-SOR'!$G$288</f>
        <v>685</v>
      </c>
      <c r="G10" s="152">
        <v>1</v>
      </c>
      <c r="H10" s="153" t="str">
        <f>IF(E10="","",IF(E10="No.","Each",IF(E10="Nos.","Each",E10)))</f>
        <v>Each</v>
      </c>
      <c r="I10" s="144">
        <f>IF(G10="",D10*F10,(D10*F10/G10))</f>
        <v>2055</v>
      </c>
    </row>
    <row r="11" spans="2:9" ht="27.2">
      <c r="B11" s="266"/>
      <c r="C11" s="141" t="s">
        <v>576</v>
      </c>
      <c r="D11" s="150">
        <v>7</v>
      </c>
      <c r="E11" s="151" t="s">
        <v>201</v>
      </c>
      <c r="F11" s="144">
        <f>'[1]Civil-SOR'!$G$289</f>
        <v>575</v>
      </c>
      <c r="G11" s="152">
        <v>1</v>
      </c>
      <c r="H11" s="153" t="str">
        <f>IF(E11="","",IF(E11="No.","Each",IF(E11="Nos.","Each",E11)))</f>
        <v>Each</v>
      </c>
      <c r="I11" s="144">
        <f>IF(G11="",D11*F11,(D11*F11/G11))</f>
        <v>4025</v>
      </c>
    </row>
    <row r="12" spans="2:9" ht="13.6">
      <c r="B12" s="266"/>
      <c r="C12" s="141" t="s">
        <v>577</v>
      </c>
      <c r="D12" s="150">
        <v>10</v>
      </c>
      <c r="E12" s="151" t="s">
        <v>201</v>
      </c>
      <c r="F12" s="144">
        <f>'[1]Civil-SOR'!$G$307</f>
        <v>520</v>
      </c>
      <c r="G12" s="152">
        <v>1</v>
      </c>
      <c r="H12" s="153" t="str">
        <f>IF(E12="","",IF(E12="No.","Each",IF(E12="Nos.","Each",E12)))</f>
        <v>Each</v>
      </c>
      <c r="I12" s="144">
        <f>IF(G12="",D12*F12,(D12*F12/G12))</f>
        <v>5200</v>
      </c>
    </row>
    <row r="13" spans="2:9" ht="13.6">
      <c r="B13" s="266"/>
      <c r="C13" s="141" t="str">
        <f>[1]Input!$C$48</f>
        <v>Add for MA @ 40%</v>
      </c>
      <c r="D13" s="150">
        <f>[1]Input!$D$48</f>
        <v>0.4</v>
      </c>
      <c r="E13" s="151"/>
      <c r="F13" s="144">
        <f>SUM(I10:I12)</f>
        <v>11280</v>
      </c>
      <c r="G13" s="152"/>
      <c r="H13" s="153"/>
      <c r="I13" s="144">
        <f>IF(G13="",D13*F13,(D13*F13/G13))</f>
        <v>4512</v>
      </c>
    </row>
    <row r="14" spans="2:9">
      <c r="B14" s="266"/>
      <c r="C14" s="154"/>
      <c r="D14" s="154"/>
      <c r="E14" s="154"/>
      <c r="F14" s="155"/>
      <c r="G14" s="154"/>
      <c r="H14" s="154"/>
      <c r="I14" s="156">
        <f>SUM(I7:I13)</f>
        <v>79218</v>
      </c>
    </row>
    <row r="15" spans="2:9">
      <c r="B15" s="266"/>
      <c r="C15" s="138"/>
      <c r="D15" s="138"/>
      <c r="E15" s="138"/>
      <c r="F15" s="139"/>
      <c r="G15" s="138"/>
      <c r="H15" s="138"/>
      <c r="I15" s="140"/>
    </row>
    <row r="16" spans="2:9">
      <c r="B16" s="266"/>
      <c r="C16" s="138" t="s">
        <v>510</v>
      </c>
      <c r="D16" s="157" t="s">
        <v>511</v>
      </c>
      <c r="E16" s="158" t="s">
        <v>512</v>
      </c>
      <c r="F16" s="159" t="s">
        <v>513</v>
      </c>
      <c r="G16" s="159" t="s">
        <v>514</v>
      </c>
      <c r="H16" s="159" t="s">
        <v>515</v>
      </c>
      <c r="I16" s="157" t="s">
        <v>516</v>
      </c>
    </row>
    <row r="17" spans="1:18" ht="13.6">
      <c r="B17" s="266"/>
      <c r="C17" s="141" t="s">
        <v>517</v>
      </c>
      <c r="D17" s="160">
        <f>I14</f>
        <v>79218</v>
      </c>
      <c r="E17" s="160">
        <f>I14</f>
        <v>79218</v>
      </c>
      <c r="F17" s="160">
        <f>I14</f>
        <v>79218</v>
      </c>
      <c r="G17" s="160">
        <f>I14</f>
        <v>79218</v>
      </c>
      <c r="H17" s="160">
        <f>I14</f>
        <v>79218</v>
      </c>
      <c r="I17" s="160">
        <f>I14</f>
        <v>79218</v>
      </c>
    </row>
    <row r="18" spans="1:18" ht="27.2">
      <c r="B18" s="266"/>
      <c r="C18" s="141" t="s">
        <v>578</v>
      </c>
      <c r="D18" s="160">
        <v>0</v>
      </c>
      <c r="E18" s="160">
        <v>1128</v>
      </c>
      <c r="F18" s="160">
        <v>2256</v>
      </c>
      <c r="G18" s="160">
        <v>3384</v>
      </c>
      <c r="H18" s="160">
        <v>4512</v>
      </c>
      <c r="I18" s="160">
        <v>5640</v>
      </c>
    </row>
    <row r="19" spans="1:18" ht="13.6">
      <c r="B19" s="266"/>
      <c r="C19" s="141" t="str">
        <f>[1]Input!$C$48</f>
        <v>Add for MA @ 40%</v>
      </c>
      <c r="D19" s="160">
        <f>D18*[1]Input!$D$48</f>
        <v>0</v>
      </c>
      <c r="E19" s="160">
        <f>E18*[1]Input!$D$48</f>
        <v>451.20000000000005</v>
      </c>
      <c r="F19" s="160">
        <f>F18*[1]Input!$D$48</f>
        <v>902.40000000000009</v>
      </c>
      <c r="G19" s="160">
        <f>G18*[1]Input!$D$48</f>
        <v>1353.6000000000001</v>
      </c>
      <c r="H19" s="160">
        <f>H18*[1]Input!$D$48</f>
        <v>1804.8000000000002</v>
      </c>
      <c r="I19" s="160">
        <f>I18*[1]Input!$D$48</f>
        <v>2256</v>
      </c>
    </row>
    <row r="20" spans="1:18">
      <c r="B20" s="266"/>
      <c r="C20" s="138" t="s">
        <v>579</v>
      </c>
      <c r="D20" s="160">
        <f t="shared" ref="D20:I20" si="0">SUM(D17:D19)</f>
        <v>79218</v>
      </c>
      <c r="E20" s="160">
        <f t="shared" si="0"/>
        <v>80797.2</v>
      </c>
      <c r="F20" s="160">
        <f t="shared" si="0"/>
        <v>82376.399999999994</v>
      </c>
      <c r="G20" s="160">
        <f t="shared" si="0"/>
        <v>83955.6</v>
      </c>
      <c r="H20" s="160">
        <f t="shared" si="0"/>
        <v>85534.8</v>
      </c>
      <c r="I20" s="160">
        <f t="shared" si="0"/>
        <v>87114</v>
      </c>
    </row>
    <row r="21" spans="1:18" ht="27.2">
      <c r="B21" s="266"/>
      <c r="C21" s="141" t="str">
        <f>[1]Input!$C$49</f>
        <v>Overheads &amp; Contractors Profit @ 13.615%</v>
      </c>
      <c r="D21" s="161">
        <f>ROUND(D20*[1]Input!$D$49,2)</f>
        <v>10785.53</v>
      </c>
      <c r="E21" s="161">
        <f>ROUND(E20*[1]Input!$D$49,2)</f>
        <v>11000.54</v>
      </c>
      <c r="F21" s="161">
        <f>ROUND(F20*[1]Input!$D$49,2)</f>
        <v>11215.55</v>
      </c>
      <c r="G21" s="161">
        <f>ROUND(G20*[1]Input!$D$49,2)</f>
        <v>11430.55</v>
      </c>
      <c r="H21" s="161">
        <f>ROUND(H20*[1]Input!$D$49,2)</f>
        <v>11645.56</v>
      </c>
      <c r="I21" s="161">
        <f>ROUND(I20*[1]Input!$D$49,2)</f>
        <v>11860.57</v>
      </c>
    </row>
    <row r="22" spans="1:18">
      <c r="B22" s="266"/>
      <c r="C22" s="154" t="s">
        <v>579</v>
      </c>
      <c r="D22" s="162">
        <f t="shared" ref="D22:I22" si="1">SUM(D20:D21)</f>
        <v>90003.53</v>
      </c>
      <c r="E22" s="162">
        <f t="shared" si="1"/>
        <v>91797.739999999991</v>
      </c>
      <c r="F22" s="162">
        <f t="shared" si="1"/>
        <v>93591.95</v>
      </c>
      <c r="G22" s="162">
        <f t="shared" si="1"/>
        <v>95386.150000000009</v>
      </c>
      <c r="H22" s="162">
        <f t="shared" si="1"/>
        <v>97180.36</v>
      </c>
      <c r="I22" s="162">
        <f t="shared" si="1"/>
        <v>98974.57</v>
      </c>
    </row>
    <row r="23" spans="1:18">
      <c r="B23" s="266"/>
      <c r="C23" s="163" t="s">
        <v>521</v>
      </c>
      <c r="D23" s="164">
        <f t="shared" ref="D23:I23" si="2">ROUND(D22,0)</f>
        <v>90004</v>
      </c>
      <c r="E23" s="164">
        <f t="shared" si="2"/>
        <v>91798</v>
      </c>
      <c r="F23" s="164">
        <f t="shared" si="2"/>
        <v>93592</v>
      </c>
      <c r="G23" s="165">
        <f t="shared" si="2"/>
        <v>95386</v>
      </c>
      <c r="H23" s="164">
        <f t="shared" si="2"/>
        <v>97180</v>
      </c>
      <c r="I23" s="164">
        <f t="shared" si="2"/>
        <v>98975</v>
      </c>
    </row>
    <row r="24" spans="1:18">
      <c r="B24" s="268"/>
      <c r="C24" s="269"/>
      <c r="D24" s="269"/>
      <c r="E24" s="269"/>
      <c r="F24" s="269"/>
      <c r="G24" s="269"/>
      <c r="H24" s="269"/>
      <c r="I24" s="270"/>
    </row>
    <row r="25" spans="1:18" ht="102.75" customHeight="1">
      <c r="A25" s="77"/>
      <c r="B25" s="287">
        <v>44</v>
      </c>
      <c r="C25" s="289" t="s">
        <v>211</v>
      </c>
      <c r="D25" s="289"/>
      <c r="E25" s="289"/>
      <c r="F25" s="289"/>
      <c r="G25" s="289"/>
      <c r="H25" s="289"/>
      <c r="I25" s="290"/>
    </row>
    <row r="26" spans="1:18" ht="18" customHeight="1">
      <c r="A26" s="77"/>
      <c r="B26" s="288"/>
      <c r="C26" s="78" t="s">
        <v>552</v>
      </c>
      <c r="D26" s="128">
        <f>1.8*1.8</f>
        <v>3.24</v>
      </c>
      <c r="E26" s="79" t="s">
        <v>12</v>
      </c>
      <c r="F26" s="128"/>
      <c r="G26" s="128"/>
      <c r="H26" s="128"/>
      <c r="I26" s="213"/>
    </row>
    <row r="27" spans="1:18" ht="18" customHeight="1">
      <c r="A27" s="77"/>
      <c r="B27" s="288"/>
      <c r="C27" s="78" t="s">
        <v>553</v>
      </c>
      <c r="D27" s="128"/>
      <c r="E27" s="79"/>
      <c r="F27" s="128"/>
      <c r="G27" s="128"/>
      <c r="H27" s="128"/>
      <c r="I27" s="213"/>
      <c r="M27" s="80"/>
    </row>
    <row r="28" spans="1:18" ht="27" customHeight="1">
      <c r="A28" s="77"/>
      <c r="B28" s="288"/>
      <c r="C28" s="81" t="s">
        <v>554</v>
      </c>
      <c r="D28" s="291" t="s">
        <v>555</v>
      </c>
      <c r="E28" s="291"/>
      <c r="F28" s="291"/>
      <c r="G28" s="82"/>
      <c r="H28" s="83">
        <f>2*(1.8+1.8)</f>
        <v>7.2</v>
      </c>
      <c r="I28" s="214" t="s">
        <v>522</v>
      </c>
      <c r="L28" s="84"/>
      <c r="M28" s="292"/>
      <c r="N28" s="292"/>
      <c r="O28" s="292"/>
      <c r="P28" s="85"/>
      <c r="Q28" s="86"/>
      <c r="R28" s="85"/>
    </row>
    <row r="29" spans="1:18" ht="18" customHeight="1">
      <c r="A29" s="77"/>
      <c r="B29" s="288"/>
      <c r="C29" s="81"/>
      <c r="D29" s="291" t="s">
        <v>556</v>
      </c>
      <c r="E29" s="291"/>
      <c r="F29" s="291"/>
      <c r="G29" s="82"/>
      <c r="H29" s="87">
        <f>7.2*1.8</f>
        <v>12.96</v>
      </c>
      <c r="I29" s="215" t="s">
        <v>500</v>
      </c>
      <c r="L29" s="84"/>
      <c r="M29" s="292"/>
      <c r="N29" s="292"/>
      <c r="O29" s="292"/>
      <c r="P29" s="85"/>
      <c r="Q29" s="88"/>
      <c r="R29" s="89"/>
    </row>
    <row r="30" spans="1:18" ht="27" customHeight="1">
      <c r="A30" s="77"/>
      <c r="B30" s="288"/>
      <c r="C30" s="127" t="s">
        <v>557</v>
      </c>
      <c r="D30" s="82"/>
      <c r="E30" s="82"/>
      <c r="F30" s="83"/>
      <c r="G30" s="82"/>
      <c r="H30" s="82"/>
      <c r="I30" s="216"/>
      <c r="L30" s="90"/>
      <c r="M30" s="85"/>
      <c r="N30" s="85"/>
      <c r="O30" s="86"/>
      <c r="P30" s="85"/>
      <c r="Q30" s="85"/>
      <c r="R30" s="91"/>
    </row>
    <row r="31" spans="1:18" ht="18" customHeight="1">
      <c r="A31" s="77"/>
      <c r="B31" s="288"/>
      <c r="C31" s="92" t="s">
        <v>558</v>
      </c>
      <c r="D31" s="293" t="s">
        <v>559</v>
      </c>
      <c r="E31" s="293"/>
      <c r="F31" s="129">
        <f>6*1.8</f>
        <v>10.8</v>
      </c>
      <c r="G31" s="82"/>
      <c r="H31" s="82"/>
      <c r="I31" s="216"/>
      <c r="L31" s="93"/>
      <c r="M31" s="294"/>
      <c r="N31" s="294"/>
      <c r="O31" s="93"/>
      <c r="P31" s="85"/>
      <c r="Q31" s="85"/>
      <c r="R31" s="91"/>
    </row>
    <row r="32" spans="1:18" ht="18" customHeight="1">
      <c r="A32" s="77"/>
      <c r="B32" s="288"/>
      <c r="C32" s="92" t="s">
        <v>560</v>
      </c>
      <c r="D32" s="293" t="s">
        <v>561</v>
      </c>
      <c r="E32" s="293"/>
      <c r="F32" s="129">
        <f>16*1.8</f>
        <v>28.8</v>
      </c>
      <c r="G32" s="82"/>
      <c r="H32" s="82"/>
      <c r="I32" s="216"/>
      <c r="L32" s="93"/>
      <c r="M32" s="294"/>
      <c r="N32" s="294"/>
      <c r="O32" s="93"/>
      <c r="P32" s="85"/>
      <c r="Q32" s="85"/>
      <c r="R32" s="91"/>
    </row>
    <row r="33" spans="1:18" ht="18" customHeight="1">
      <c r="A33" s="77"/>
      <c r="B33" s="288"/>
      <c r="C33" s="81"/>
      <c r="D33" s="82"/>
      <c r="E33" s="82"/>
      <c r="F33" s="128">
        <f>SUM(F31:F32)</f>
        <v>39.6</v>
      </c>
      <c r="G33" s="94" t="s">
        <v>522</v>
      </c>
      <c r="H33" s="128">
        <f>F33*0.785</f>
        <v>31.086000000000002</v>
      </c>
      <c r="I33" s="215" t="s">
        <v>500</v>
      </c>
      <c r="L33" s="84"/>
      <c r="M33" s="85"/>
      <c r="N33" s="85"/>
      <c r="O33" s="80"/>
      <c r="P33" s="95"/>
      <c r="Q33" s="80"/>
      <c r="R33" s="89"/>
    </row>
    <row r="34" spans="1:18" ht="18" customHeight="1">
      <c r="A34" s="77"/>
      <c r="B34" s="288"/>
      <c r="C34" s="81"/>
      <c r="D34" s="82"/>
      <c r="E34" s="82"/>
      <c r="F34" s="83"/>
      <c r="G34" s="82"/>
      <c r="H34" s="96">
        <f>SUM(H29:H33)</f>
        <v>44.046000000000006</v>
      </c>
      <c r="I34" s="215" t="s">
        <v>500</v>
      </c>
      <c r="L34" s="84"/>
      <c r="M34" s="85"/>
      <c r="N34" s="85"/>
      <c r="O34" s="86"/>
      <c r="P34" s="85"/>
      <c r="Q34" s="97"/>
      <c r="R34" s="89"/>
    </row>
    <row r="35" spans="1:18" ht="18" customHeight="1">
      <c r="A35" s="77"/>
      <c r="B35" s="288"/>
      <c r="C35" s="78" t="s">
        <v>562</v>
      </c>
      <c r="D35" s="82"/>
      <c r="E35" s="82"/>
      <c r="F35" s="83"/>
      <c r="G35" s="82"/>
      <c r="H35" s="87"/>
      <c r="I35" s="217"/>
      <c r="L35" s="98"/>
      <c r="M35" s="85"/>
      <c r="N35" s="85"/>
      <c r="O35" s="86"/>
      <c r="P35" s="85"/>
      <c r="Q35" s="88"/>
      <c r="R35" s="80"/>
    </row>
    <row r="36" spans="1:18" s="77" customFormat="1" ht="27" customHeight="1">
      <c r="B36" s="288"/>
      <c r="C36" s="81" t="s">
        <v>563</v>
      </c>
      <c r="D36" s="83">
        <f>H33</f>
        <v>31.086000000000002</v>
      </c>
      <c r="E36" s="99" t="s">
        <v>500</v>
      </c>
      <c r="F36" s="83">
        <f>[2]LEAD!$N$10</f>
        <v>61000</v>
      </c>
      <c r="G36" s="100">
        <v>1000</v>
      </c>
      <c r="H36" s="99" t="s">
        <v>500</v>
      </c>
      <c r="I36" s="213">
        <f t="shared" ref="I36:I41" si="3">IF(G36="",D36*F36,(D36*F36/G36))</f>
        <v>1896.2460000000003</v>
      </c>
      <c r="L36" s="84"/>
      <c r="M36" s="86"/>
      <c r="N36" s="101"/>
      <c r="O36" s="86"/>
      <c r="P36" s="102"/>
      <c r="Q36" s="101"/>
      <c r="R36" s="103"/>
    </row>
    <row r="37" spans="1:18" s="77" customFormat="1" ht="27" customHeight="1">
      <c r="B37" s="288"/>
      <c r="C37" s="81" t="s">
        <v>564</v>
      </c>
      <c r="D37" s="104">
        <f>H29</f>
        <v>12.96</v>
      </c>
      <c r="E37" s="99" t="s">
        <v>500</v>
      </c>
      <c r="F37" s="83">
        <f>[2]LEAD!$N$11</f>
        <v>62000</v>
      </c>
      <c r="G37" s="100">
        <v>1000</v>
      </c>
      <c r="H37" s="99" t="s">
        <v>500</v>
      </c>
      <c r="I37" s="213">
        <f t="shared" si="3"/>
        <v>803.52</v>
      </c>
      <c r="L37" s="84"/>
      <c r="M37" s="105"/>
      <c r="N37" s="101"/>
      <c r="O37" s="86"/>
      <c r="P37" s="102"/>
      <c r="Q37" s="101"/>
      <c r="R37" s="103"/>
    </row>
    <row r="38" spans="1:18" s="77" customFormat="1" ht="18" customHeight="1">
      <c r="B38" s="288"/>
      <c r="C38" s="106" t="s">
        <v>565</v>
      </c>
      <c r="D38" s="128">
        <v>4</v>
      </c>
      <c r="E38" s="128" t="s">
        <v>201</v>
      </c>
      <c r="F38" s="83">
        <f>'[2]Civil-SOR'!$G$385</f>
        <v>37</v>
      </c>
      <c r="G38" s="128"/>
      <c r="H38" s="128" t="s">
        <v>505</v>
      </c>
      <c r="I38" s="218">
        <f t="shared" si="3"/>
        <v>148</v>
      </c>
      <c r="L38" s="80"/>
      <c r="M38" s="80"/>
      <c r="N38" s="80"/>
      <c r="O38" s="86"/>
      <c r="P38" s="80"/>
      <c r="Q38" s="80"/>
      <c r="R38" s="107"/>
    </row>
    <row r="39" spans="1:18" s="77" customFormat="1" ht="27" customHeight="1">
      <c r="B39" s="288"/>
      <c r="C39" s="81" t="s">
        <v>566</v>
      </c>
      <c r="D39" s="104">
        <f>H34</f>
        <v>44.046000000000006</v>
      </c>
      <c r="E39" s="99" t="s">
        <v>500</v>
      </c>
      <c r="F39" s="128">
        <f>'[2]Civil-SOR'!$G$202</f>
        <v>37</v>
      </c>
      <c r="G39" s="100">
        <v>1</v>
      </c>
      <c r="H39" s="99" t="s">
        <v>370</v>
      </c>
      <c r="I39" s="213">
        <f t="shared" si="3"/>
        <v>1629.7020000000002</v>
      </c>
      <c r="L39" s="84"/>
      <c r="M39" s="105"/>
      <c r="N39" s="101"/>
      <c r="O39" s="80"/>
      <c r="P39" s="102"/>
      <c r="Q39" s="101"/>
      <c r="R39" s="103"/>
    </row>
    <row r="40" spans="1:18" s="77" customFormat="1" ht="27" customHeight="1">
      <c r="B40" s="288"/>
      <c r="C40" s="81" t="s">
        <v>567</v>
      </c>
      <c r="D40" s="108">
        <f>H34</f>
        <v>44.046000000000006</v>
      </c>
      <c r="E40" s="99"/>
      <c r="F40" s="128">
        <f>'[2]Civil-SOR'!$G$203</f>
        <v>6</v>
      </c>
      <c r="G40" s="100"/>
      <c r="H40" s="109"/>
      <c r="I40" s="213">
        <f t="shared" si="3"/>
        <v>264.27600000000007</v>
      </c>
      <c r="L40" s="84"/>
      <c r="M40" s="110"/>
      <c r="N40" s="101"/>
      <c r="O40" s="80"/>
      <c r="P40" s="102"/>
      <c r="Q40" s="111"/>
      <c r="R40" s="103"/>
    </row>
    <row r="41" spans="1:18" s="77" customFormat="1" ht="18" customHeight="1">
      <c r="B41" s="288"/>
      <c r="C41" s="81" t="str">
        <f>[2]Input!$C$47</f>
        <v>Add for MA @ 40%</v>
      </c>
      <c r="D41" s="108">
        <f>[2]Input!$D$47</f>
        <v>0.4</v>
      </c>
      <c r="E41" s="112"/>
      <c r="F41" s="128">
        <f>I39*40%+I40</f>
        <v>916.1568000000002</v>
      </c>
      <c r="G41" s="113"/>
      <c r="H41" s="114"/>
      <c r="I41" s="213">
        <f t="shared" si="3"/>
        <v>366.4627200000001</v>
      </c>
      <c r="L41" s="84"/>
      <c r="M41" s="110"/>
      <c r="N41" s="115"/>
      <c r="O41" s="80"/>
      <c r="P41" s="116"/>
      <c r="Q41" s="90"/>
      <c r="R41" s="103"/>
    </row>
    <row r="42" spans="1:18" s="77" customFormat="1" ht="18" customHeight="1">
      <c r="B42" s="288"/>
      <c r="C42" s="117" t="s">
        <v>568</v>
      </c>
      <c r="D42" s="118"/>
      <c r="E42" s="112"/>
      <c r="F42" s="128"/>
      <c r="G42" s="100"/>
      <c r="H42" s="128"/>
      <c r="I42" s="219">
        <f>SUM(I36:I41)</f>
        <v>5108.206720000001</v>
      </c>
      <c r="L42" s="89"/>
      <c r="M42" s="119"/>
      <c r="N42" s="115"/>
      <c r="O42" s="80"/>
      <c r="P42" s="102"/>
      <c r="Q42" s="80"/>
      <c r="R42" s="120"/>
    </row>
    <row r="43" spans="1:18" s="77" customFormat="1" ht="18" customHeight="1">
      <c r="B43" s="288"/>
      <c r="C43" s="121"/>
      <c r="D43" s="118"/>
      <c r="E43" s="112"/>
      <c r="F43" s="128"/>
      <c r="G43" s="100"/>
      <c r="H43" s="128"/>
      <c r="I43" s="219">
        <f>I42/3.24</f>
        <v>1576.6070123456793</v>
      </c>
      <c r="L43" s="85"/>
      <c r="M43" s="119"/>
      <c r="N43" s="115"/>
      <c r="O43" s="80"/>
      <c r="P43" s="102"/>
      <c r="Q43" s="80"/>
      <c r="R43" s="120"/>
    </row>
    <row r="44" spans="1:18" s="77" customFormat="1" ht="27.7" customHeight="1">
      <c r="B44" s="288"/>
      <c r="C44" s="81" t="str">
        <f>[2]Input!$C$48</f>
        <v>Overheads &amp; Contractors Profit @ 13.615%</v>
      </c>
      <c r="D44" s="122">
        <f>[2]Input!$D$48</f>
        <v>0.13614999999999999</v>
      </c>
      <c r="E44" s="112"/>
      <c r="F44" s="128">
        <f>I43</f>
        <v>1576.6070123456793</v>
      </c>
      <c r="G44" s="113"/>
      <c r="H44" s="114"/>
      <c r="I44" s="213">
        <f>IF(G44="",D44*F44,(D44*F44/G44))</f>
        <v>214.65504473086423</v>
      </c>
      <c r="L44" s="84"/>
      <c r="M44" s="123"/>
      <c r="N44" s="115"/>
      <c r="O44" s="80"/>
      <c r="P44" s="116"/>
      <c r="Q44" s="90"/>
      <c r="R44" s="103"/>
    </row>
    <row r="45" spans="1:18" s="77" customFormat="1" ht="18" customHeight="1">
      <c r="B45" s="288"/>
      <c r="C45" s="121"/>
      <c r="D45" s="118"/>
      <c r="E45" s="112"/>
      <c r="F45" s="128"/>
      <c r="G45" s="100"/>
      <c r="H45" s="128"/>
      <c r="I45" s="219">
        <f>SUM(I43:I44)</f>
        <v>1791.2620570765434</v>
      </c>
      <c r="L45" s="85"/>
      <c r="M45" s="119"/>
      <c r="N45" s="115"/>
      <c r="O45" s="80"/>
      <c r="P45" s="102"/>
      <c r="Q45" s="80"/>
      <c r="R45" s="120"/>
    </row>
    <row r="46" spans="1:18" ht="18" customHeight="1">
      <c r="A46" s="77"/>
      <c r="B46" s="288"/>
      <c r="C46" s="134" t="s">
        <v>523</v>
      </c>
      <c r="D46" s="135"/>
      <c r="E46" s="136"/>
      <c r="F46" s="135"/>
      <c r="G46" s="284" t="s">
        <v>569</v>
      </c>
      <c r="H46" s="284"/>
      <c r="I46" s="220">
        <f>ROUND(I45,0)</f>
        <v>1791</v>
      </c>
      <c r="L46" s="97"/>
      <c r="M46" s="80"/>
      <c r="N46" s="115"/>
      <c r="O46" s="80"/>
      <c r="P46" s="285"/>
      <c r="Q46" s="285"/>
      <c r="R46" s="125"/>
    </row>
    <row r="47" spans="1:18" ht="18" customHeight="1">
      <c r="A47" s="77"/>
      <c r="B47" s="271"/>
      <c r="C47" s="271"/>
      <c r="D47" s="271"/>
      <c r="E47" s="271"/>
      <c r="F47" s="271"/>
      <c r="G47" s="271"/>
      <c r="H47" s="271"/>
      <c r="I47" s="271"/>
      <c r="L47" s="97"/>
      <c r="M47" s="80"/>
      <c r="N47" s="115"/>
      <c r="O47" s="80"/>
      <c r="P47" s="126"/>
      <c r="Q47" s="126"/>
      <c r="R47" s="125"/>
    </row>
    <row r="48" spans="1:18" ht="155.25" customHeight="1">
      <c r="B48" s="279">
        <v>45</v>
      </c>
      <c r="C48" s="281" t="s">
        <v>622</v>
      </c>
      <c r="D48" s="282"/>
      <c r="E48" s="282"/>
      <c r="F48" s="282"/>
      <c r="G48" s="282"/>
      <c r="H48" s="282"/>
      <c r="I48" s="283"/>
    </row>
    <row r="49" spans="2:9">
      <c r="B49" s="280"/>
      <c r="C49" s="166" t="s">
        <v>524</v>
      </c>
      <c r="D49" s="167"/>
      <c r="E49" s="167"/>
      <c r="F49" s="168"/>
      <c r="G49" s="167"/>
      <c r="H49" s="169"/>
      <c r="I49" s="221"/>
    </row>
    <row r="50" spans="2:9" ht="13.95" customHeight="1">
      <c r="B50" s="280"/>
      <c r="C50" s="170" t="s">
        <v>525</v>
      </c>
      <c r="D50" s="170"/>
      <c r="E50" s="170"/>
      <c r="F50" s="170"/>
      <c r="G50" s="170"/>
      <c r="H50" s="169"/>
      <c r="I50" s="221"/>
    </row>
    <row r="51" spans="2:9">
      <c r="B51" s="280"/>
      <c r="C51" s="170" t="s">
        <v>526</v>
      </c>
      <c r="D51" s="171"/>
      <c r="E51" s="171"/>
      <c r="F51" s="172"/>
      <c r="G51" s="171"/>
      <c r="H51" s="169"/>
      <c r="I51" s="221"/>
    </row>
    <row r="52" spans="2:9" ht="13.6">
      <c r="B52" s="280"/>
      <c r="C52" s="169" t="s">
        <v>281</v>
      </c>
      <c r="D52" s="173">
        <v>380</v>
      </c>
      <c r="E52" s="174" t="s">
        <v>500</v>
      </c>
      <c r="F52" s="175">
        <v>5200</v>
      </c>
      <c r="G52" s="176">
        <v>1000</v>
      </c>
      <c r="H52" s="174" t="s">
        <v>500</v>
      </c>
      <c r="I52" s="222">
        <v>1976</v>
      </c>
    </row>
    <row r="53" spans="2:9" ht="13.6">
      <c r="B53" s="280"/>
      <c r="C53" s="169" t="s">
        <v>527</v>
      </c>
      <c r="D53" s="173">
        <v>0.8</v>
      </c>
      <c r="E53" s="174" t="s">
        <v>11</v>
      </c>
      <c r="F53" s="177">
        <v>1447.96</v>
      </c>
      <c r="G53" s="176">
        <v>1</v>
      </c>
      <c r="H53" s="174" t="s">
        <v>11</v>
      </c>
      <c r="I53" s="222">
        <v>1158.3680000000002</v>
      </c>
    </row>
    <row r="54" spans="2:9" ht="13.6">
      <c r="B54" s="280"/>
      <c r="C54" s="169" t="s">
        <v>292</v>
      </c>
      <c r="D54" s="173">
        <v>0.4</v>
      </c>
      <c r="E54" s="174" t="s">
        <v>11</v>
      </c>
      <c r="F54" s="175">
        <v>2253.91</v>
      </c>
      <c r="G54" s="176">
        <v>1</v>
      </c>
      <c r="H54" s="174" t="s">
        <v>11</v>
      </c>
      <c r="I54" s="222">
        <v>901.56399999999996</v>
      </c>
    </row>
    <row r="55" spans="2:9">
      <c r="B55" s="280"/>
      <c r="C55" s="178" t="s">
        <v>528</v>
      </c>
      <c r="D55" s="174"/>
      <c r="E55" s="174"/>
      <c r="F55" s="179"/>
      <c r="G55" s="174"/>
      <c r="H55" s="174"/>
      <c r="I55" s="223"/>
    </row>
    <row r="56" spans="2:9" ht="13.6">
      <c r="B56" s="280"/>
      <c r="C56" s="169" t="s">
        <v>529</v>
      </c>
      <c r="D56" s="180">
        <v>0.16700000000000001</v>
      </c>
      <c r="E56" s="174" t="s">
        <v>180</v>
      </c>
      <c r="F56" s="175">
        <v>580</v>
      </c>
      <c r="G56" s="176">
        <v>1</v>
      </c>
      <c r="H56" s="174" t="s">
        <v>505</v>
      </c>
      <c r="I56" s="222">
        <v>96.86</v>
      </c>
    </row>
    <row r="57" spans="2:9" ht="13.6">
      <c r="B57" s="280"/>
      <c r="C57" s="169" t="s">
        <v>530</v>
      </c>
      <c r="D57" s="180">
        <v>0.16700000000000001</v>
      </c>
      <c r="E57" s="174" t="s">
        <v>180</v>
      </c>
      <c r="F57" s="175">
        <v>550</v>
      </c>
      <c r="G57" s="176">
        <v>1</v>
      </c>
      <c r="H57" s="174" t="s">
        <v>505</v>
      </c>
      <c r="I57" s="222">
        <v>91.850000000000009</v>
      </c>
    </row>
    <row r="58" spans="2:9" ht="13.6">
      <c r="B58" s="280"/>
      <c r="C58" s="169" t="s">
        <v>531</v>
      </c>
      <c r="D58" s="173">
        <v>5.6</v>
      </c>
      <c r="E58" s="174" t="s">
        <v>180</v>
      </c>
      <c r="F58" s="175">
        <v>520</v>
      </c>
      <c r="G58" s="176">
        <v>1</v>
      </c>
      <c r="H58" s="174" t="s">
        <v>505</v>
      </c>
      <c r="I58" s="222">
        <v>2912</v>
      </c>
    </row>
    <row r="59" spans="2:9">
      <c r="B59" s="280"/>
      <c r="C59" s="169" t="s">
        <v>532</v>
      </c>
      <c r="D59" s="173">
        <v>0.4</v>
      </c>
      <c r="E59" s="174"/>
      <c r="F59" s="181">
        <v>3100.71</v>
      </c>
      <c r="G59" s="176"/>
      <c r="H59" s="174"/>
      <c r="I59" s="222">
        <v>1240.2840000000001</v>
      </c>
    </row>
    <row r="60" spans="2:9">
      <c r="B60" s="280"/>
      <c r="C60" s="178" t="s">
        <v>533</v>
      </c>
      <c r="D60" s="173"/>
      <c r="E60" s="174"/>
      <c r="F60" s="175"/>
      <c r="G60" s="176"/>
      <c r="H60" s="174"/>
      <c r="I60" s="222"/>
    </row>
    <row r="61" spans="2:9" ht="27.2">
      <c r="B61" s="280"/>
      <c r="C61" s="169" t="s">
        <v>534</v>
      </c>
      <c r="D61" s="180">
        <v>1.333</v>
      </c>
      <c r="E61" s="174" t="s">
        <v>535</v>
      </c>
      <c r="F61" s="175">
        <v>192.9</v>
      </c>
      <c r="G61" s="176">
        <v>1</v>
      </c>
      <c r="H61" s="174" t="s">
        <v>536</v>
      </c>
      <c r="I61" s="222">
        <v>257.13569999999999</v>
      </c>
    </row>
    <row r="62" spans="2:9" ht="13.6">
      <c r="B62" s="280"/>
      <c r="C62" s="169" t="s">
        <v>537</v>
      </c>
      <c r="D62" s="180">
        <v>1.333</v>
      </c>
      <c r="E62" s="174" t="s">
        <v>535</v>
      </c>
      <c r="F62" s="175">
        <v>302.89999999999998</v>
      </c>
      <c r="G62" s="176">
        <v>1</v>
      </c>
      <c r="H62" s="174" t="s">
        <v>536</v>
      </c>
      <c r="I62" s="222">
        <v>403.76569999999998</v>
      </c>
    </row>
    <row r="63" spans="2:9" ht="13.6">
      <c r="B63" s="280"/>
      <c r="C63" s="169" t="s">
        <v>538</v>
      </c>
      <c r="D63" s="180">
        <v>1.333</v>
      </c>
      <c r="E63" s="174" t="s">
        <v>535</v>
      </c>
      <c r="F63" s="175">
        <v>36.5</v>
      </c>
      <c r="G63" s="176">
        <v>1</v>
      </c>
      <c r="H63" s="174" t="s">
        <v>536</v>
      </c>
      <c r="I63" s="222">
        <v>48.654499999999999</v>
      </c>
    </row>
    <row r="64" spans="2:9" ht="13.6">
      <c r="B64" s="280"/>
      <c r="C64" s="169" t="s">
        <v>537</v>
      </c>
      <c r="D64" s="180">
        <v>1.333</v>
      </c>
      <c r="E64" s="174" t="s">
        <v>535</v>
      </c>
      <c r="F64" s="175">
        <v>218</v>
      </c>
      <c r="G64" s="176">
        <v>1</v>
      </c>
      <c r="H64" s="174" t="s">
        <v>536</v>
      </c>
      <c r="I64" s="222">
        <v>290.59399999999999</v>
      </c>
    </row>
    <row r="65" spans="2:9" ht="13.6">
      <c r="B65" s="280"/>
      <c r="C65" s="169" t="s">
        <v>539</v>
      </c>
      <c r="D65" s="173">
        <v>0.4</v>
      </c>
      <c r="E65" s="174"/>
      <c r="F65" s="175">
        <v>694.35969999999998</v>
      </c>
      <c r="G65" s="176"/>
      <c r="H65" s="174"/>
      <c r="I65" s="222">
        <v>277.74387999999999</v>
      </c>
    </row>
    <row r="66" spans="2:9" ht="13.6">
      <c r="B66" s="280"/>
      <c r="C66" s="169" t="s">
        <v>540</v>
      </c>
      <c r="D66" s="182">
        <v>1.2</v>
      </c>
      <c r="E66" s="183" t="s">
        <v>541</v>
      </c>
      <c r="F66" s="177">
        <v>108</v>
      </c>
      <c r="G66" s="184">
        <v>1</v>
      </c>
      <c r="H66" s="185" t="s">
        <v>541</v>
      </c>
      <c r="I66" s="222">
        <v>129.6</v>
      </c>
    </row>
    <row r="67" spans="2:9">
      <c r="B67" s="280"/>
      <c r="C67" s="178" t="s">
        <v>542</v>
      </c>
      <c r="D67" s="186"/>
      <c r="E67" s="186"/>
      <c r="F67" s="187"/>
      <c r="G67" s="188"/>
      <c r="H67" s="186"/>
      <c r="I67" s="224">
        <v>9784.419780000002</v>
      </c>
    </row>
    <row r="68" spans="2:9">
      <c r="B68" s="280"/>
      <c r="C68" s="170"/>
      <c r="D68" s="167"/>
      <c r="E68" s="167"/>
      <c r="F68" s="168"/>
      <c r="G68" s="189"/>
      <c r="H68" s="190"/>
      <c r="I68" s="225"/>
    </row>
    <row r="69" spans="2:9">
      <c r="B69" s="280"/>
      <c r="C69" s="178" t="s">
        <v>543</v>
      </c>
      <c r="D69" s="191" t="s">
        <v>511</v>
      </c>
      <c r="E69" s="192" t="s">
        <v>512</v>
      </c>
      <c r="F69" s="193" t="s">
        <v>513</v>
      </c>
      <c r="G69" s="193" t="s">
        <v>544</v>
      </c>
      <c r="H69" s="193" t="s">
        <v>545</v>
      </c>
      <c r="I69" s="226" t="s">
        <v>546</v>
      </c>
    </row>
    <row r="70" spans="2:9">
      <c r="B70" s="280"/>
      <c r="C70" s="194" t="s">
        <v>547</v>
      </c>
      <c r="D70" s="191"/>
      <c r="E70" s="192"/>
      <c r="F70" s="193"/>
      <c r="G70" s="193"/>
      <c r="H70" s="193"/>
      <c r="I70" s="226"/>
    </row>
    <row r="71" spans="2:9">
      <c r="B71" s="280"/>
      <c r="C71" s="178" t="s">
        <v>510</v>
      </c>
      <c r="D71" s="191"/>
      <c r="E71" s="192"/>
      <c r="F71" s="193"/>
      <c r="G71" s="193"/>
      <c r="H71" s="193"/>
      <c r="I71" s="226"/>
    </row>
    <row r="72" spans="2:9" ht="13.6">
      <c r="B72" s="280"/>
      <c r="C72" s="169" t="s">
        <v>548</v>
      </c>
      <c r="D72" s="175">
        <v>9784.419780000002</v>
      </c>
      <c r="E72" s="175">
        <v>9784.419780000002</v>
      </c>
      <c r="F72" s="175">
        <v>9784.419780000002</v>
      </c>
      <c r="G72" s="175">
        <v>9784.419780000002</v>
      </c>
      <c r="H72" s="175">
        <v>9784.419780000002</v>
      </c>
      <c r="I72" s="223">
        <v>9784.419780000002</v>
      </c>
    </row>
    <row r="73" spans="2:9" ht="27.2">
      <c r="B73" s="280"/>
      <c r="C73" s="169" t="s">
        <v>549</v>
      </c>
      <c r="D73" s="175">
        <v>886</v>
      </c>
      <c r="E73" s="175">
        <v>886</v>
      </c>
      <c r="F73" s="175">
        <v>886</v>
      </c>
      <c r="G73" s="175">
        <v>886</v>
      </c>
      <c r="H73" s="175">
        <v>886</v>
      </c>
      <c r="I73" s="223">
        <v>886</v>
      </c>
    </row>
    <row r="74" spans="2:9" ht="13.6">
      <c r="B74" s="280"/>
      <c r="C74" s="169" t="s">
        <v>550</v>
      </c>
      <c r="D74" s="177">
        <v>1489</v>
      </c>
      <c r="E74" s="177">
        <v>1638</v>
      </c>
      <c r="F74" s="177">
        <v>1787</v>
      </c>
      <c r="G74" s="177">
        <v>1936</v>
      </c>
      <c r="H74" s="177">
        <v>2085</v>
      </c>
      <c r="I74" s="222">
        <v>2234</v>
      </c>
    </row>
    <row r="75" spans="2:9" ht="13.6">
      <c r="B75" s="280"/>
      <c r="C75" s="169" t="s">
        <v>532</v>
      </c>
      <c r="D75" s="177">
        <v>595.6</v>
      </c>
      <c r="E75" s="177">
        <v>655.20000000000005</v>
      </c>
      <c r="F75" s="177">
        <v>714.80000000000007</v>
      </c>
      <c r="G75" s="177">
        <v>774.40000000000009</v>
      </c>
      <c r="H75" s="177">
        <v>834</v>
      </c>
      <c r="I75" s="222">
        <v>893.6</v>
      </c>
    </row>
    <row r="76" spans="2:9" ht="27.85">
      <c r="B76" s="280"/>
      <c r="C76" s="169" t="s">
        <v>623</v>
      </c>
      <c r="D76" s="175">
        <v>0</v>
      </c>
      <c r="E76" s="175">
        <v>310.07100000000003</v>
      </c>
      <c r="F76" s="175">
        <v>620.14200000000005</v>
      </c>
      <c r="G76" s="175">
        <v>930.21299999999997</v>
      </c>
      <c r="H76" s="175">
        <v>1240.2840000000001</v>
      </c>
      <c r="I76" s="223">
        <v>1550.355</v>
      </c>
    </row>
    <row r="77" spans="2:9" ht="13.6">
      <c r="B77" s="280"/>
      <c r="C77" s="169" t="s">
        <v>532</v>
      </c>
      <c r="D77" s="175">
        <v>0</v>
      </c>
      <c r="E77" s="175">
        <v>124.03</v>
      </c>
      <c r="F77" s="175">
        <v>248.06</v>
      </c>
      <c r="G77" s="175">
        <v>372.09</v>
      </c>
      <c r="H77" s="175">
        <v>496.11</v>
      </c>
      <c r="I77" s="223">
        <v>620.14</v>
      </c>
    </row>
    <row r="78" spans="2:9">
      <c r="B78" s="280"/>
      <c r="C78" s="178" t="s">
        <v>542</v>
      </c>
      <c r="D78" s="175">
        <v>12755.019780000002</v>
      </c>
      <c r="E78" s="175">
        <v>13397.720780000003</v>
      </c>
      <c r="F78" s="175">
        <v>14040.421780000001</v>
      </c>
      <c r="G78" s="175">
        <v>14683.122780000002</v>
      </c>
      <c r="H78" s="175">
        <v>15325.813780000002</v>
      </c>
      <c r="I78" s="223">
        <v>15968.514780000001</v>
      </c>
    </row>
    <row r="79" spans="2:9" ht="27.2">
      <c r="B79" s="280"/>
      <c r="C79" s="169" t="s">
        <v>551</v>
      </c>
      <c r="D79" s="175">
        <v>0</v>
      </c>
      <c r="E79" s="175">
        <v>0</v>
      </c>
      <c r="F79" s="175">
        <v>0</v>
      </c>
      <c r="G79" s="175">
        <v>0</v>
      </c>
      <c r="H79" s="175">
        <v>0</v>
      </c>
      <c r="I79" s="223">
        <v>0</v>
      </c>
    </row>
    <row r="80" spans="2:9">
      <c r="B80" s="280"/>
      <c r="C80" s="195" t="s">
        <v>542</v>
      </c>
      <c r="D80" s="196">
        <v>12755.019780000002</v>
      </c>
      <c r="E80" s="196">
        <v>13397.720780000003</v>
      </c>
      <c r="F80" s="197">
        <v>14040.421780000001</v>
      </c>
      <c r="G80" s="196">
        <v>14683.122780000002</v>
      </c>
      <c r="H80" s="196">
        <v>15325.813780000002</v>
      </c>
      <c r="I80" s="227">
        <v>15968.514780000001</v>
      </c>
    </row>
    <row r="81" spans="2:9">
      <c r="B81" s="280"/>
      <c r="C81" s="198" t="s">
        <v>521</v>
      </c>
      <c r="D81" s="199">
        <v>12755</v>
      </c>
      <c r="E81" s="199">
        <v>13398</v>
      </c>
      <c r="F81" s="199">
        <v>14040</v>
      </c>
      <c r="G81" s="200">
        <v>14683</v>
      </c>
      <c r="H81" s="199">
        <v>15326</v>
      </c>
      <c r="I81" s="228">
        <v>15969</v>
      </c>
    </row>
    <row r="82" spans="2:9" ht="17.350000000000001" customHeight="1">
      <c r="B82" s="272"/>
      <c r="C82" s="273"/>
      <c r="D82" s="273"/>
      <c r="E82" s="273"/>
      <c r="F82" s="273"/>
      <c r="G82" s="273"/>
      <c r="H82" s="273"/>
      <c r="I82" s="274"/>
    </row>
    <row r="83" spans="2:9" ht="122.95" customHeight="1">
      <c r="B83" s="271">
        <v>46</v>
      </c>
      <c r="C83" s="276" t="s">
        <v>493</v>
      </c>
      <c r="D83" s="277"/>
      <c r="E83" s="277"/>
      <c r="F83" s="277"/>
      <c r="G83" s="277"/>
      <c r="H83" s="277"/>
      <c r="I83" s="278"/>
    </row>
    <row r="84" spans="2:9" ht="18" customHeight="1">
      <c r="B84" s="271"/>
      <c r="C84" s="56" t="s">
        <v>494</v>
      </c>
      <c r="D84" s="57"/>
      <c r="E84" s="57"/>
      <c r="F84" s="57"/>
      <c r="G84" s="58"/>
      <c r="H84" s="59"/>
      <c r="I84" s="60"/>
    </row>
    <row r="85" spans="2:9" ht="18" customHeight="1">
      <c r="B85" s="271"/>
      <c r="C85" s="61" t="s">
        <v>495</v>
      </c>
      <c r="D85" s="57"/>
      <c r="E85" s="57"/>
      <c r="F85" s="57"/>
      <c r="G85" s="58"/>
      <c r="H85" s="59"/>
      <c r="I85" s="60"/>
    </row>
    <row r="86" spans="2:9" ht="18" customHeight="1">
      <c r="B86" s="271"/>
      <c r="C86" s="62" t="s">
        <v>496</v>
      </c>
      <c r="D86" s="57">
        <v>10.5</v>
      </c>
      <c r="E86" s="57" t="s">
        <v>15</v>
      </c>
      <c r="F86" s="57">
        <f>+'[2]Civil-SOR'!$G$20</f>
        <v>578</v>
      </c>
      <c r="G86" s="58">
        <v>1</v>
      </c>
      <c r="H86" s="63" t="s">
        <v>15</v>
      </c>
      <c r="I86" s="57">
        <f>IF(G86="",D86*F86,(D86*F86/G86))</f>
        <v>6069</v>
      </c>
    </row>
    <row r="87" spans="2:9" ht="18" customHeight="1">
      <c r="B87" s="271"/>
      <c r="C87" s="62" t="s">
        <v>497</v>
      </c>
      <c r="D87" s="57">
        <v>0.12</v>
      </c>
      <c r="E87" s="57" t="s">
        <v>498</v>
      </c>
      <c r="F87" s="57">
        <f>[2]LEAD!$N$13</f>
        <v>2453.91</v>
      </c>
      <c r="G87" s="58">
        <v>1</v>
      </c>
      <c r="H87" s="63" t="s">
        <v>498</v>
      </c>
      <c r="I87" s="57">
        <f>IF(G87="",D87*F87,(D87*F87/G87))</f>
        <v>294.46919999999994</v>
      </c>
    </row>
    <row r="88" spans="2:9" ht="18" customHeight="1">
      <c r="B88" s="271"/>
      <c r="C88" s="62" t="s">
        <v>499</v>
      </c>
      <c r="D88" s="57">
        <v>34.56</v>
      </c>
      <c r="E88" s="57" t="s">
        <v>500</v>
      </c>
      <c r="F88" s="57">
        <f>[2]LEAD!$N$6</f>
        <v>5200</v>
      </c>
      <c r="G88" s="58">
        <v>1000</v>
      </c>
      <c r="H88" s="63" t="s">
        <v>500</v>
      </c>
      <c r="I88" s="57">
        <f>IF(G88="",D88*F88,(D88*F88/G88))</f>
        <v>179.71199999999999</v>
      </c>
    </row>
    <row r="89" spans="2:9" ht="18" customHeight="1">
      <c r="B89" s="271"/>
      <c r="C89" s="62" t="s">
        <v>501</v>
      </c>
      <c r="D89" s="57">
        <v>33</v>
      </c>
      <c r="E89" s="57" t="s">
        <v>500</v>
      </c>
      <c r="F89" s="57">
        <f>[2]LEAD!$N$6</f>
        <v>5200</v>
      </c>
      <c r="G89" s="58">
        <v>1000</v>
      </c>
      <c r="H89" s="63" t="s">
        <v>500</v>
      </c>
      <c r="I89" s="57">
        <f>IF(G89="",D89*F89,(D89*F89/G89))</f>
        <v>171.6</v>
      </c>
    </row>
    <row r="90" spans="2:9" ht="18" customHeight="1">
      <c r="B90" s="271"/>
      <c r="C90" s="62" t="s">
        <v>502</v>
      </c>
      <c r="D90" s="57">
        <v>2</v>
      </c>
      <c r="E90" s="57" t="s">
        <v>500</v>
      </c>
      <c r="F90" s="57">
        <f>'[2]Civil-SOR'!$G$185</f>
        <v>34</v>
      </c>
      <c r="G90" s="58">
        <v>1</v>
      </c>
      <c r="H90" s="63" t="s">
        <v>370</v>
      </c>
      <c r="I90" s="57">
        <f>IF(G90="",D90*F90,(D90*F90/G90))</f>
        <v>68</v>
      </c>
    </row>
    <row r="91" spans="2:9" ht="18" customHeight="1">
      <c r="B91" s="271"/>
      <c r="C91" s="61" t="s">
        <v>503</v>
      </c>
      <c r="D91" s="57"/>
      <c r="E91" s="57"/>
      <c r="F91" s="57"/>
      <c r="G91" s="58"/>
      <c r="H91" s="59"/>
      <c r="I91" s="60"/>
    </row>
    <row r="92" spans="2:9" ht="18" customHeight="1">
      <c r="B92" s="271"/>
      <c r="C92" s="62" t="s">
        <v>504</v>
      </c>
      <c r="D92" s="57">
        <v>0.96</v>
      </c>
      <c r="E92" s="57" t="s">
        <v>201</v>
      </c>
      <c r="F92" s="57">
        <f>'[2]Civil-SOR'!$G$293</f>
        <v>580</v>
      </c>
      <c r="G92" s="58">
        <v>1</v>
      </c>
      <c r="H92" s="63" t="s">
        <v>505</v>
      </c>
      <c r="I92" s="57">
        <f>IF(G92="",D92*F92,(D92*F92/G92))</f>
        <v>556.79999999999995</v>
      </c>
    </row>
    <row r="93" spans="2:9" ht="18" customHeight="1">
      <c r="B93" s="271"/>
      <c r="C93" s="62" t="s">
        <v>506</v>
      </c>
      <c r="D93" s="57">
        <v>2.2400000000000002</v>
      </c>
      <c r="E93" s="57" t="s">
        <v>201</v>
      </c>
      <c r="F93" s="57">
        <f>'[2]Civil-SOR'!$G$302</f>
        <v>550</v>
      </c>
      <c r="G93" s="58">
        <v>1</v>
      </c>
      <c r="H93" s="63" t="s">
        <v>505</v>
      </c>
      <c r="I93" s="57">
        <f>IF(G93="",D93*F93,(D93*F93/G93))</f>
        <v>1232.0000000000002</v>
      </c>
    </row>
    <row r="94" spans="2:9" ht="18" customHeight="1">
      <c r="B94" s="271"/>
      <c r="C94" s="62" t="s">
        <v>507</v>
      </c>
      <c r="D94" s="57">
        <v>3.3</v>
      </c>
      <c r="E94" s="57" t="s">
        <v>201</v>
      </c>
      <c r="F94" s="57">
        <f>'[2]Civil-SOR'!$G$307</f>
        <v>520</v>
      </c>
      <c r="G94" s="58">
        <v>1</v>
      </c>
      <c r="H94" s="63" t="s">
        <v>505</v>
      </c>
      <c r="I94" s="57">
        <f>IF(G94="",D94*F94,(D94*F94/G94))</f>
        <v>1716</v>
      </c>
    </row>
    <row r="95" spans="2:9" ht="18" customHeight="1">
      <c r="B95" s="271"/>
      <c r="C95" s="64" t="str">
        <f>[2]Input!$C$47</f>
        <v>Add for MA @ 40%</v>
      </c>
      <c r="D95" s="65">
        <f>[2]Input!$D$47</f>
        <v>0.4</v>
      </c>
      <c r="E95" s="63"/>
      <c r="F95" s="57">
        <f>SUM(I92:I94)</f>
        <v>3504.8</v>
      </c>
      <c r="G95" s="66"/>
      <c r="H95" s="67"/>
      <c r="I95" s="57">
        <f>IF(G95="",D95*F95,(D95*F95/G95))</f>
        <v>1401.92</v>
      </c>
    </row>
    <row r="96" spans="2:9" ht="18" customHeight="1">
      <c r="B96" s="271"/>
      <c r="C96" s="68" t="s">
        <v>508</v>
      </c>
      <c r="D96" s="57">
        <v>0.01</v>
      </c>
      <c r="E96" s="57"/>
      <c r="F96" s="57">
        <f>SUM(I86:I95)</f>
        <v>11689.501200000001</v>
      </c>
      <c r="G96" s="58"/>
      <c r="H96" s="63"/>
      <c r="I96" s="57">
        <f>IF(G96="",D96*F96,(D96*F96/G96))</f>
        <v>116.89501200000001</v>
      </c>
    </row>
    <row r="97" spans="2:9" ht="18" customHeight="1">
      <c r="B97" s="271"/>
      <c r="C97" s="69" t="s">
        <v>509</v>
      </c>
      <c r="D97" s="57"/>
      <c r="E97" s="63"/>
      <c r="F97" s="57"/>
      <c r="G97" s="58"/>
      <c r="H97" s="63"/>
      <c r="I97" s="70">
        <f>SUM(I86:I96)</f>
        <v>11806.396212000001</v>
      </c>
    </row>
    <row r="98" spans="2:9" ht="9.6999999999999993" customHeight="1">
      <c r="B98" s="271"/>
      <c r="C98" s="69"/>
      <c r="D98" s="57"/>
      <c r="E98" s="63"/>
      <c r="F98" s="57"/>
      <c r="G98" s="58"/>
      <c r="H98" s="63"/>
      <c r="I98" s="71"/>
    </row>
    <row r="99" spans="2:9" ht="18" customHeight="1">
      <c r="B99" s="271"/>
      <c r="C99" s="72" t="s">
        <v>510</v>
      </c>
      <c r="D99" s="60" t="s">
        <v>511</v>
      </c>
      <c r="E99" s="73" t="s">
        <v>512</v>
      </c>
      <c r="F99" s="59" t="s">
        <v>513</v>
      </c>
      <c r="G99" s="60" t="s">
        <v>514</v>
      </c>
      <c r="H99" s="60" t="s">
        <v>515</v>
      </c>
      <c r="I99" s="60" t="s">
        <v>516</v>
      </c>
    </row>
    <row r="100" spans="2:9" ht="18" customHeight="1">
      <c r="B100" s="271"/>
      <c r="C100" s="62" t="s">
        <v>517</v>
      </c>
      <c r="D100" s="57">
        <f>I97</f>
        <v>11806.396212000001</v>
      </c>
      <c r="E100" s="57">
        <f>I97</f>
        <v>11806.396212000001</v>
      </c>
      <c r="F100" s="57">
        <f>I97</f>
        <v>11806.396212000001</v>
      </c>
      <c r="G100" s="57">
        <f>F100</f>
        <v>11806.396212000001</v>
      </c>
      <c r="H100" s="57">
        <f>G100</f>
        <v>11806.396212000001</v>
      </c>
      <c r="I100" s="57">
        <f>H100</f>
        <v>11806.396212000001</v>
      </c>
    </row>
    <row r="101" spans="2:9" ht="18" customHeight="1">
      <c r="B101" s="271"/>
      <c r="C101" s="62" t="s">
        <v>518</v>
      </c>
      <c r="D101" s="57">
        <v>0</v>
      </c>
      <c r="E101" s="57">
        <v>350.48</v>
      </c>
      <c r="F101" s="57">
        <f>E101*2</f>
        <v>700.96</v>
      </c>
      <c r="G101" s="57">
        <f>E101*3</f>
        <v>1051.44</v>
      </c>
      <c r="H101" s="57">
        <f>E101*4</f>
        <v>1401.92</v>
      </c>
      <c r="I101" s="57">
        <f>E101*5</f>
        <v>1752.4</v>
      </c>
    </row>
    <row r="102" spans="2:9" ht="18" customHeight="1">
      <c r="B102" s="271"/>
      <c r="C102" s="62" t="str">
        <f>[2]Input!$C$47</f>
        <v>Add for MA @ 40%</v>
      </c>
      <c r="D102" s="57">
        <f>D101*[2]Input!$D$47</f>
        <v>0</v>
      </c>
      <c r="E102" s="57">
        <f>E101*[2]Input!$D$47</f>
        <v>140.19200000000001</v>
      </c>
      <c r="F102" s="57">
        <f>F101*[2]Input!$D$47</f>
        <v>280.38400000000001</v>
      </c>
      <c r="G102" s="57">
        <f>G101*[2]Input!$D$47</f>
        <v>420.57600000000002</v>
      </c>
      <c r="H102" s="57">
        <f>H101*[2]Input!$D$47</f>
        <v>560.76800000000003</v>
      </c>
      <c r="I102" s="57">
        <f>I101*[2]Input!$D$47</f>
        <v>700.96</v>
      </c>
    </row>
    <row r="103" spans="2:9" ht="18" customHeight="1">
      <c r="B103" s="271"/>
      <c r="C103" s="64"/>
      <c r="D103" s="57">
        <f t="shared" ref="D103:I103" si="4">SUM(D100:D102)</f>
        <v>11806.396212000001</v>
      </c>
      <c r="E103" s="57">
        <f t="shared" si="4"/>
        <v>12297.068212000002</v>
      </c>
      <c r="F103" s="57">
        <f t="shared" si="4"/>
        <v>12787.740212000002</v>
      </c>
      <c r="G103" s="57">
        <f t="shared" si="4"/>
        <v>13278.412212000003</v>
      </c>
      <c r="H103" s="57">
        <f t="shared" si="4"/>
        <v>13769.084212000002</v>
      </c>
      <c r="I103" s="57">
        <f t="shared" si="4"/>
        <v>14259.756212</v>
      </c>
    </row>
    <row r="104" spans="2:9" ht="27" customHeight="1">
      <c r="B104" s="271"/>
      <c r="C104" s="62" t="str">
        <f>[2]Input!$C$48</f>
        <v>Overheads &amp; Contractors Profit @ 13.615%</v>
      </c>
      <c r="D104" s="57">
        <f>ROUND(D103*[2]Input!$D$48,2)</f>
        <v>1607.44</v>
      </c>
      <c r="E104" s="57">
        <f>ROUND(E103*[2]Input!$D$48,2)</f>
        <v>1674.25</v>
      </c>
      <c r="F104" s="57">
        <f>ROUND(F103*[2]Input!$D$48,2)</f>
        <v>1741.05</v>
      </c>
      <c r="G104" s="57">
        <f>ROUND(G103*[2]Input!$D$48,2)</f>
        <v>1807.86</v>
      </c>
      <c r="H104" s="57">
        <f>ROUND(H103*[2]Input!$D$48,2)</f>
        <v>1874.66</v>
      </c>
      <c r="I104" s="57">
        <f>ROUND(I103*[2]Input!$D$48,2)</f>
        <v>1941.47</v>
      </c>
    </row>
    <row r="105" spans="2:9" ht="18" customHeight="1">
      <c r="B105" s="271"/>
      <c r="C105" s="61" t="s">
        <v>519</v>
      </c>
      <c r="D105" s="57">
        <f t="shared" ref="D105:I105" si="5">SUM(D103:D104)</f>
        <v>13413.836212000002</v>
      </c>
      <c r="E105" s="57">
        <f t="shared" si="5"/>
        <v>13971.318212000002</v>
      </c>
      <c r="F105" s="57">
        <f t="shared" si="5"/>
        <v>14528.790212000002</v>
      </c>
      <c r="G105" s="57">
        <f t="shared" si="5"/>
        <v>15086.272212000003</v>
      </c>
      <c r="H105" s="57">
        <f t="shared" si="5"/>
        <v>15643.744212000001</v>
      </c>
      <c r="I105" s="57">
        <f t="shared" si="5"/>
        <v>16201.226212</v>
      </c>
    </row>
    <row r="106" spans="2:9" ht="18" customHeight="1">
      <c r="B106" s="271"/>
      <c r="C106" s="61" t="s">
        <v>520</v>
      </c>
      <c r="D106" s="60">
        <f t="shared" ref="D106:I106" si="6">D105*0.01</f>
        <v>134.13836212000001</v>
      </c>
      <c r="E106" s="60">
        <f t="shared" si="6"/>
        <v>139.71318212000003</v>
      </c>
      <c r="F106" s="60">
        <f t="shared" si="6"/>
        <v>145.28790212000001</v>
      </c>
      <c r="G106" s="60">
        <f t="shared" si="6"/>
        <v>150.86272212000003</v>
      </c>
      <c r="H106" s="60">
        <f t="shared" si="6"/>
        <v>156.43744212000001</v>
      </c>
      <c r="I106" s="60">
        <f t="shared" si="6"/>
        <v>162.01226212</v>
      </c>
    </row>
    <row r="107" spans="2:9" ht="18" customHeight="1">
      <c r="B107" s="271"/>
      <c r="C107" s="74" t="s">
        <v>521</v>
      </c>
      <c r="D107" s="75">
        <f t="shared" ref="D107:I107" si="7">ROUND(D106,0)</f>
        <v>134</v>
      </c>
      <c r="E107" s="75">
        <f t="shared" si="7"/>
        <v>140</v>
      </c>
      <c r="F107" s="75">
        <f t="shared" si="7"/>
        <v>145</v>
      </c>
      <c r="G107" s="76">
        <f t="shared" si="7"/>
        <v>151</v>
      </c>
      <c r="H107" s="75">
        <f t="shared" si="7"/>
        <v>156</v>
      </c>
      <c r="I107" s="75">
        <f t="shared" si="7"/>
        <v>162</v>
      </c>
    </row>
    <row r="108" spans="2:9">
      <c r="B108" s="271"/>
      <c r="C108" s="271"/>
      <c r="D108" s="271"/>
      <c r="E108" s="271"/>
      <c r="F108" s="271"/>
      <c r="G108" s="271"/>
      <c r="H108" s="271"/>
      <c r="I108" s="271"/>
    </row>
    <row r="110" spans="2:9" ht="13.6">
      <c r="B110" s="267" t="s">
        <v>617</v>
      </c>
      <c r="C110" s="267"/>
      <c r="D110" s="267"/>
      <c r="E110" s="267"/>
      <c r="F110" s="267"/>
      <c r="G110" s="267"/>
      <c r="H110" s="267"/>
      <c r="I110" s="267"/>
    </row>
    <row r="111" spans="2:9" ht="129.75" customHeight="1">
      <c r="B111" s="266">
        <v>61</v>
      </c>
      <c r="C111" s="265" t="s">
        <v>619</v>
      </c>
      <c r="D111" s="265"/>
      <c r="E111" s="265"/>
      <c r="F111" s="265"/>
      <c r="G111" s="265"/>
      <c r="H111" s="265"/>
      <c r="I111" s="265"/>
    </row>
    <row r="112" spans="2:9" ht="62.35" customHeight="1">
      <c r="B112" s="266"/>
      <c r="C112" s="201" t="s">
        <v>624</v>
      </c>
      <c r="D112" s="202">
        <v>1</v>
      </c>
      <c r="E112" s="203" t="s">
        <v>9</v>
      </c>
      <c r="F112" s="204">
        <v>1</v>
      </c>
      <c r="G112" s="203" t="s">
        <v>9</v>
      </c>
      <c r="H112" s="205">
        <v>27081</v>
      </c>
      <c r="I112" s="205">
        <f>SUM(D112*H112/F112)</f>
        <v>27081</v>
      </c>
    </row>
    <row r="113" spans="2:9">
      <c r="B113" s="266"/>
      <c r="C113" s="206" t="s">
        <v>616</v>
      </c>
      <c r="D113" s="207">
        <v>0.13614999999999999</v>
      </c>
      <c r="E113" s="208"/>
      <c r="F113" s="209"/>
      <c r="G113" s="208"/>
      <c r="H113" s="210"/>
      <c r="I113" s="210">
        <f>I112*0.13615</f>
        <v>3687.0781499999998</v>
      </c>
    </row>
    <row r="114" spans="2:9" ht="13.6">
      <c r="B114" s="266"/>
      <c r="C114" s="211"/>
      <c r="D114" s="211"/>
      <c r="E114" s="211"/>
      <c r="F114" s="211"/>
      <c r="G114" s="211"/>
      <c r="H114" s="211"/>
      <c r="I114" s="212">
        <f>SUM(I112:I113)</f>
        <v>30768.078150000001</v>
      </c>
    </row>
    <row r="115" spans="2:9">
      <c r="B115" s="266"/>
      <c r="C115" s="124" t="s">
        <v>618</v>
      </c>
      <c r="D115" s="132"/>
      <c r="E115" s="132"/>
      <c r="F115" s="132"/>
      <c r="G115" s="132"/>
      <c r="H115" s="74" t="s">
        <v>521</v>
      </c>
      <c r="I115" s="133">
        <v>30768</v>
      </c>
    </row>
  </sheetData>
  <mergeCells count="26">
    <mergeCell ref="P46:Q46"/>
    <mergeCell ref="B3:B23"/>
    <mergeCell ref="C3:I3"/>
    <mergeCell ref="B25:B46"/>
    <mergeCell ref="C25:I25"/>
    <mergeCell ref="D28:F28"/>
    <mergeCell ref="M28:O28"/>
    <mergeCell ref="D29:F29"/>
    <mergeCell ref="M29:O29"/>
    <mergeCell ref="D31:E31"/>
    <mergeCell ref="M31:N31"/>
    <mergeCell ref="D32:E32"/>
    <mergeCell ref="M32:N32"/>
    <mergeCell ref="B2:I2"/>
    <mergeCell ref="B83:B107"/>
    <mergeCell ref="C83:I83"/>
    <mergeCell ref="B48:B81"/>
    <mergeCell ref="C48:I48"/>
    <mergeCell ref="G46:H46"/>
    <mergeCell ref="C111:I111"/>
    <mergeCell ref="B111:B115"/>
    <mergeCell ref="B110:I110"/>
    <mergeCell ref="B24:I24"/>
    <mergeCell ref="B47:I47"/>
    <mergeCell ref="B82:I82"/>
    <mergeCell ref="B108:I108"/>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workbookViewId="0">
      <selection activeCell="F39" sqref="F39"/>
    </sheetView>
  </sheetViews>
  <sheetFormatPr defaultRowHeight="13.6"/>
  <cols>
    <col min="6" max="6" width="37.42578125" customWidth="1"/>
    <col min="7" max="7" width="26.140625" customWidth="1"/>
    <col min="8" max="8" width="16" customWidth="1"/>
  </cols>
  <sheetData>
    <row r="10" spans="6:8">
      <c r="F10" s="32" t="s">
        <v>626</v>
      </c>
      <c r="G10" s="32">
        <v>135280</v>
      </c>
      <c r="H10" s="32">
        <v>291336</v>
      </c>
    </row>
    <row r="11" spans="6:8">
      <c r="F11" s="32" t="s">
        <v>627</v>
      </c>
      <c r="G11" s="32">
        <v>0</v>
      </c>
      <c r="H11" s="234">
        <v>9600</v>
      </c>
    </row>
    <row r="12" spans="6:8">
      <c r="F12" s="32" t="s">
        <v>628</v>
      </c>
      <c r="G12" s="32">
        <v>13000</v>
      </c>
      <c r="H12" s="234">
        <v>13000</v>
      </c>
    </row>
    <row r="13" spans="6:8">
      <c r="F13" s="32" t="s">
        <v>629</v>
      </c>
      <c r="G13" s="234">
        <v>48000</v>
      </c>
      <c r="H13" s="32">
        <v>67500</v>
      </c>
    </row>
    <row r="14" spans="6:8">
      <c r="F14" s="235" t="s">
        <v>630</v>
      </c>
      <c r="G14" s="32">
        <f>4600+1600</f>
        <v>6200</v>
      </c>
      <c r="H14" s="32">
        <v>12000</v>
      </c>
    </row>
    <row r="15" spans="6:8">
      <c r="F15" s="32" t="s">
        <v>631</v>
      </c>
      <c r="G15" s="32">
        <v>23040</v>
      </c>
      <c r="H15" s="32">
        <v>28740</v>
      </c>
    </row>
    <row r="16" spans="6:8">
      <c r="F16" s="235" t="s">
        <v>632</v>
      </c>
      <c r="G16" s="32">
        <v>44000</v>
      </c>
      <c r="H16" s="32">
        <v>56500</v>
      </c>
    </row>
    <row r="17" spans="6:8">
      <c r="F17" s="235" t="s">
        <v>633</v>
      </c>
      <c r="G17" s="32">
        <v>59840</v>
      </c>
      <c r="H17" s="32">
        <v>75573</v>
      </c>
    </row>
    <row r="18" spans="6:8">
      <c r="F18" s="235" t="s">
        <v>634</v>
      </c>
      <c r="G18" s="32">
        <v>36000</v>
      </c>
      <c r="H18" s="32">
        <v>51206</v>
      </c>
    </row>
    <row r="19" spans="6:8">
      <c r="F19" s="235" t="s">
        <v>635</v>
      </c>
      <c r="G19" s="32">
        <v>4800</v>
      </c>
      <c r="H19" s="234">
        <v>4816</v>
      </c>
    </row>
    <row r="20" spans="6:8">
      <c r="F20" s="235" t="s">
        <v>636</v>
      </c>
      <c r="G20" s="234">
        <f>2000+2320</f>
        <v>4320</v>
      </c>
      <c r="H20" s="234">
        <v>22800</v>
      </c>
    </row>
    <row r="21" spans="6:8">
      <c r="F21" s="235" t="s">
        <v>637</v>
      </c>
      <c r="G21" s="32">
        <v>8700</v>
      </c>
      <c r="H21" s="234">
        <v>8875</v>
      </c>
    </row>
    <row r="22" spans="6:8">
      <c r="F22" s="235" t="s">
        <v>638</v>
      </c>
      <c r="G22" s="32">
        <v>2000</v>
      </c>
      <c r="H22" s="234">
        <v>2550</v>
      </c>
    </row>
    <row r="23" spans="6:8">
      <c r="F23" s="235" t="s">
        <v>639</v>
      </c>
      <c r="G23" s="234">
        <v>46500</v>
      </c>
      <c r="H23" s="32">
        <v>117000</v>
      </c>
    </row>
    <row r="24" spans="6:8">
      <c r="F24" s="235" t="s">
        <v>640</v>
      </c>
      <c r="G24" s="32">
        <f>7500+5800</f>
        <v>13300</v>
      </c>
      <c r="H24" s="234">
        <v>18288</v>
      </c>
    </row>
    <row r="25" spans="6:8">
      <c r="F25" s="235" t="s">
        <v>641</v>
      </c>
      <c r="G25" s="32">
        <v>0</v>
      </c>
      <c r="H25" s="32">
        <v>11475</v>
      </c>
    </row>
    <row r="26" spans="6:8">
      <c r="F26" s="295" t="s">
        <v>642</v>
      </c>
      <c r="G26" s="230"/>
      <c r="H26" s="231">
        <v>10000</v>
      </c>
    </row>
    <row r="27" spans="6:8">
      <c r="F27" s="295"/>
      <c r="G27" s="230"/>
      <c r="H27" s="231">
        <v>56000</v>
      </c>
    </row>
    <row r="28" spans="6:8">
      <c r="F28" s="295"/>
      <c r="G28" s="230"/>
      <c r="H28" s="231">
        <v>80000</v>
      </c>
    </row>
    <row r="29" spans="6:8">
      <c r="F29" s="295"/>
      <c r="G29" s="230"/>
      <c r="H29" s="231">
        <v>43750</v>
      </c>
    </row>
    <row r="30" spans="6:8" ht="14.3" thickBot="1">
      <c r="F30" s="296"/>
      <c r="G30" s="232"/>
      <c r="H30" s="233">
        <v>-54244</v>
      </c>
    </row>
    <row r="32" spans="6:8">
      <c r="G32">
        <f>SUM(G10:G31)</f>
        <v>444980</v>
      </c>
      <c r="H32">
        <f>SUM(H10:H31)</f>
        <v>926765</v>
      </c>
    </row>
    <row r="37" spans="6:8">
      <c r="F37">
        <v>1787030</v>
      </c>
    </row>
    <row r="38" spans="6:8">
      <c r="H38">
        <v>32805</v>
      </c>
    </row>
    <row r="39" spans="6:8">
      <c r="F39">
        <f>F37-H54</f>
        <v>919525</v>
      </c>
      <c r="H39">
        <v>60000</v>
      </c>
    </row>
    <row r="40" spans="6:8">
      <c r="H40">
        <v>82500</v>
      </c>
    </row>
    <row r="41" spans="6:8">
      <c r="H41">
        <v>195000</v>
      </c>
    </row>
    <row r="42" spans="6:8">
      <c r="H42">
        <v>45000</v>
      </c>
    </row>
    <row r="43" spans="6:8">
      <c r="H43">
        <v>8400</v>
      </c>
    </row>
    <row r="44" spans="6:8">
      <c r="H44">
        <v>9300</v>
      </c>
    </row>
    <row r="45" spans="6:8">
      <c r="H45">
        <v>4200</v>
      </c>
    </row>
    <row r="46" spans="6:8">
      <c r="H46">
        <v>16200</v>
      </c>
    </row>
    <row r="47" spans="6:8">
      <c r="H47">
        <v>32000</v>
      </c>
    </row>
    <row r="48" spans="6:8">
      <c r="H48">
        <v>29000</v>
      </c>
    </row>
    <row r="49" spans="8:8">
      <c r="H49">
        <v>2100</v>
      </c>
    </row>
    <row r="50" spans="8:8">
      <c r="H50">
        <v>29000</v>
      </c>
    </row>
    <row r="51" spans="8:8">
      <c r="H51">
        <v>80000</v>
      </c>
    </row>
    <row r="52" spans="8:8">
      <c r="H52">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workbookViewId="0">
      <selection activeCell="B1" sqref="B1:D33"/>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297" t="s">
        <v>652</v>
      </c>
      <c r="C1" s="297"/>
      <c r="D1" s="297"/>
    </row>
    <row r="2" spans="2:5" ht="23.95" customHeight="1">
      <c r="B2" s="298" t="s">
        <v>651</v>
      </c>
      <c r="C2" s="299"/>
      <c r="D2" s="300"/>
    </row>
    <row r="3" spans="2:5" ht="14.3">
      <c r="B3" s="23" t="s">
        <v>244</v>
      </c>
      <c r="C3" s="22" t="s">
        <v>243</v>
      </c>
      <c r="D3" s="22" t="s">
        <v>241</v>
      </c>
      <c r="E3" s="12"/>
    </row>
    <row r="4" spans="2:5" s="12" customFormat="1" ht="16.5" customHeight="1">
      <c r="B4" s="10">
        <v>1</v>
      </c>
      <c r="C4" s="13" t="s">
        <v>238</v>
      </c>
      <c r="D4" s="14">
        <v>26020475</v>
      </c>
    </row>
    <row r="5" spans="2:5" s="12" customFormat="1" ht="16.5" customHeight="1">
      <c r="B5" s="10">
        <v>2</v>
      </c>
      <c r="C5" s="13" t="s">
        <v>33</v>
      </c>
      <c r="D5" s="14">
        <v>7012631</v>
      </c>
    </row>
    <row r="6" spans="2:5" s="12" customFormat="1" ht="16.5" customHeight="1">
      <c r="B6" s="10">
        <v>3</v>
      </c>
      <c r="C6" s="13" t="s">
        <v>237</v>
      </c>
      <c r="D6" s="14">
        <v>136973</v>
      </c>
    </row>
    <row r="7" spans="2:5" s="12" customFormat="1" ht="16.5" customHeight="1">
      <c r="B7" s="10">
        <v>4</v>
      </c>
      <c r="C7" s="13" t="s">
        <v>236</v>
      </c>
      <c r="D7" s="14">
        <v>5641335</v>
      </c>
    </row>
    <row r="8" spans="2:5" s="12" customFormat="1" ht="16.5" customHeight="1">
      <c r="B8" s="10">
        <v>5</v>
      </c>
      <c r="C8" s="13" t="s">
        <v>235</v>
      </c>
      <c r="D8" s="14">
        <v>689000</v>
      </c>
    </row>
    <row r="9" spans="2:5" s="12" customFormat="1" ht="16.5" customHeight="1">
      <c r="B9" s="10">
        <v>6</v>
      </c>
      <c r="C9" s="13" t="s">
        <v>234</v>
      </c>
      <c r="D9" s="14">
        <v>873880</v>
      </c>
    </row>
    <row r="10" spans="2:5" s="12" customFormat="1" ht="16.5" customHeight="1">
      <c r="B10" s="10">
        <v>7</v>
      </c>
      <c r="C10" s="13" t="s">
        <v>233</v>
      </c>
      <c r="D10" s="14">
        <v>2725391</v>
      </c>
    </row>
    <row r="11" spans="2:5" s="12" customFormat="1" ht="16.5" customHeight="1">
      <c r="B11" s="10">
        <v>8</v>
      </c>
      <c r="C11" s="13" t="s">
        <v>232</v>
      </c>
      <c r="D11" s="14">
        <v>1141255</v>
      </c>
    </row>
    <row r="12" spans="2:5" s="12" customFormat="1" ht="16.5" customHeight="1">
      <c r="B12" s="10"/>
      <c r="C12" s="21" t="s">
        <v>231</v>
      </c>
      <c r="D12" s="19">
        <v>44240940</v>
      </c>
    </row>
    <row r="13" spans="2:5" s="12" customFormat="1" ht="16.5" customHeight="1">
      <c r="B13" s="10">
        <v>9</v>
      </c>
      <c r="C13" s="13" t="s">
        <v>230</v>
      </c>
      <c r="D13" s="14">
        <v>221000</v>
      </c>
    </row>
    <row r="14" spans="2:5" s="12" customFormat="1" ht="16.5" customHeight="1">
      <c r="B14" s="10">
        <v>10</v>
      </c>
      <c r="C14" s="13" t="s">
        <v>229</v>
      </c>
      <c r="D14" s="14">
        <v>1156237</v>
      </c>
    </row>
    <row r="15" spans="2:5" s="12" customFormat="1" ht="16.5" customHeight="1">
      <c r="B15" s="10">
        <v>11</v>
      </c>
      <c r="C15" s="13" t="s">
        <v>228</v>
      </c>
      <c r="D15" s="14">
        <v>8985</v>
      </c>
    </row>
    <row r="16" spans="2:5" s="12" customFormat="1" ht="16.5" customHeight="1">
      <c r="B16" s="10">
        <v>12</v>
      </c>
      <c r="C16" s="13" t="s">
        <v>227</v>
      </c>
      <c r="D16" s="14">
        <v>496686</v>
      </c>
    </row>
    <row r="17" spans="2:4" s="12" customFormat="1" ht="16.5" customHeight="1">
      <c r="B17" s="10">
        <v>14</v>
      </c>
      <c r="C17" s="13" t="s">
        <v>226</v>
      </c>
      <c r="D17" s="14">
        <v>1749744</v>
      </c>
    </row>
    <row r="18" spans="2:4" s="12" customFormat="1" ht="16.5" customHeight="1">
      <c r="B18" s="10">
        <v>15</v>
      </c>
      <c r="C18" s="13" t="s">
        <v>225</v>
      </c>
      <c r="D18" s="14">
        <v>814670</v>
      </c>
    </row>
    <row r="19" spans="2:4" s="12" customFormat="1" ht="16.5" customHeight="1">
      <c r="B19" s="10"/>
      <c r="C19" s="21" t="s">
        <v>224</v>
      </c>
      <c r="D19" s="19">
        <v>4447322</v>
      </c>
    </row>
    <row r="20" spans="2:4" s="12" customFormat="1" ht="16.5" customHeight="1">
      <c r="B20" s="10"/>
      <c r="C20" s="20" t="s">
        <v>223</v>
      </c>
      <c r="D20" s="19">
        <v>48688262</v>
      </c>
    </row>
    <row r="21" spans="2:4" s="12" customFormat="1" ht="33.799999999999997" customHeight="1">
      <c r="B21" s="10">
        <v>16</v>
      </c>
      <c r="C21" s="15" t="s">
        <v>214</v>
      </c>
      <c r="D21" s="236">
        <v>1947530</v>
      </c>
    </row>
    <row r="22" spans="2:4" s="12" customFormat="1" ht="16.5" customHeight="1">
      <c r="B22" s="10"/>
      <c r="C22" s="20" t="s">
        <v>222</v>
      </c>
      <c r="D22" s="14">
        <v>8763887.1600000001</v>
      </c>
    </row>
    <row r="23" spans="2:4" s="12" customFormat="1" ht="16.5" customHeight="1">
      <c r="B23" s="10"/>
      <c r="C23" s="20" t="s">
        <v>301</v>
      </c>
      <c r="D23" s="19">
        <v>59399679.159999996</v>
      </c>
    </row>
    <row r="24" spans="2:4" s="12" customFormat="1" ht="17.350000000000001" customHeight="1">
      <c r="B24" s="10">
        <v>17</v>
      </c>
      <c r="C24" s="15" t="s">
        <v>221</v>
      </c>
      <c r="D24" s="14">
        <v>486882.62</v>
      </c>
    </row>
    <row r="25" spans="2:4" s="12" customFormat="1" ht="17.350000000000001" customHeight="1">
      <c r="B25" s="10">
        <v>18</v>
      </c>
      <c r="C25" s="15" t="s">
        <v>220</v>
      </c>
      <c r="D25" s="14">
        <v>48688.262000000002</v>
      </c>
    </row>
    <row r="26" spans="2:4" s="12" customFormat="1" ht="17.350000000000001" customHeight="1">
      <c r="B26" s="10">
        <v>19</v>
      </c>
      <c r="C26" s="15" t="s">
        <v>219</v>
      </c>
      <c r="D26" s="14">
        <v>448</v>
      </c>
    </row>
    <row r="27" spans="2:4" s="12" customFormat="1" ht="17.350000000000001" customHeight="1">
      <c r="B27" s="10">
        <v>20</v>
      </c>
      <c r="C27" s="15" t="s">
        <v>218</v>
      </c>
      <c r="D27" s="14">
        <v>134.4</v>
      </c>
    </row>
    <row r="28" spans="2:4" s="12" customFormat="1" ht="17.350000000000001" customHeight="1">
      <c r="B28" s="10">
        <v>21</v>
      </c>
      <c r="C28" s="15" t="s">
        <v>217</v>
      </c>
      <c r="D28" s="14">
        <v>8.9600000000000009</v>
      </c>
    </row>
    <row r="29" spans="2:4" s="12" customFormat="1" ht="17.350000000000001" customHeight="1">
      <c r="B29" s="10">
        <v>22</v>
      </c>
      <c r="C29" s="15" t="s">
        <v>216</v>
      </c>
      <c r="D29" s="14">
        <v>4868.8262000000004</v>
      </c>
    </row>
    <row r="30" spans="2:4" s="12" customFormat="1" ht="17.350000000000001" customHeight="1">
      <c r="B30" s="10">
        <v>23</v>
      </c>
      <c r="C30" s="11" t="s">
        <v>643</v>
      </c>
      <c r="D30" s="14">
        <v>541031</v>
      </c>
    </row>
    <row r="31" spans="2:4" s="12" customFormat="1" ht="17.350000000000001" customHeight="1">
      <c r="B31" s="10">
        <v>24</v>
      </c>
      <c r="C31" s="15" t="s">
        <v>215</v>
      </c>
      <c r="D31" s="14">
        <v>97385.58</v>
      </c>
    </row>
    <row r="32" spans="2:4" s="12" customFormat="1" ht="17.350000000000001" customHeight="1">
      <c r="B32" s="10">
        <v>25</v>
      </c>
      <c r="C32" s="15" t="s">
        <v>625</v>
      </c>
      <c r="D32" s="14">
        <v>910280</v>
      </c>
    </row>
    <row r="33" spans="2:4" s="12" customFormat="1" ht="22.1" customHeight="1">
      <c r="B33" s="10"/>
      <c r="C33" s="11" t="s">
        <v>644</v>
      </c>
      <c r="D33" s="14">
        <v>1548697</v>
      </c>
    </row>
    <row r="34" spans="2:4" s="12" customFormat="1" ht="18.7" customHeight="1">
      <c r="B34" s="10"/>
      <c r="C34" s="20" t="s">
        <v>650</v>
      </c>
      <c r="D34" s="19">
        <v>60948376</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opLeftCell="A32" workbookViewId="0">
      <selection activeCell="B49" sqref="B49:B53"/>
    </sheetView>
  </sheetViews>
  <sheetFormatPr defaultRowHeight="14.3"/>
  <cols>
    <col min="1" max="1" width="9.140625" style="248"/>
    <col min="2" max="2" width="13" style="248" bestFit="1" customWidth="1"/>
    <col min="3" max="3" width="59.28515625" style="248" customWidth="1"/>
    <col min="4" max="16384" width="9.140625" style="248"/>
  </cols>
  <sheetData>
    <row r="1" spans="1:5" ht="32.6" customHeight="1">
      <c r="A1" s="43" t="s">
        <v>244</v>
      </c>
      <c r="B1" s="43" t="s">
        <v>394</v>
      </c>
      <c r="C1" s="43" t="s">
        <v>243</v>
      </c>
      <c r="D1" s="253" t="s">
        <v>271</v>
      </c>
      <c r="E1" s="253" t="s">
        <v>265</v>
      </c>
    </row>
    <row r="2" spans="1:5">
      <c r="A2" s="246">
        <v>199</v>
      </c>
      <c r="B2" s="246" t="str">
        <f>IF(ISBLANK(A2), "","IVF"&amp;A2)</f>
        <v>IVF199</v>
      </c>
      <c r="C2" s="247" t="s">
        <v>43</v>
      </c>
      <c r="D2" s="254">
        <v>2</v>
      </c>
      <c r="E2" s="249" t="s">
        <v>9</v>
      </c>
    </row>
    <row r="3" spans="1:5">
      <c r="A3" s="246">
        <v>200</v>
      </c>
      <c r="B3" s="246" t="str">
        <f t="shared" ref="B3:B23" si="0">IF(ISBLANK(A3), "","IVF"&amp;A3)</f>
        <v>IVF200</v>
      </c>
      <c r="C3" s="247" t="s">
        <v>44</v>
      </c>
      <c r="D3" s="254">
        <v>2</v>
      </c>
      <c r="E3" s="249" t="s">
        <v>9</v>
      </c>
    </row>
    <row r="4" spans="1:5" ht="40.75">
      <c r="A4" s="246">
        <v>201</v>
      </c>
      <c r="B4" s="246" t="str">
        <f t="shared" si="0"/>
        <v>IVF201</v>
      </c>
      <c r="C4" s="247" t="s">
        <v>45</v>
      </c>
      <c r="D4" s="254">
        <v>2</v>
      </c>
      <c r="E4" s="249" t="s">
        <v>9</v>
      </c>
    </row>
    <row r="5" spans="1:5" ht="54.35">
      <c r="A5" s="246">
        <v>202</v>
      </c>
      <c r="B5" s="246" t="str">
        <f t="shared" si="0"/>
        <v>IVF202</v>
      </c>
      <c r="C5" s="247" t="s">
        <v>46</v>
      </c>
      <c r="D5" s="254">
        <v>1</v>
      </c>
      <c r="E5" s="249" t="s">
        <v>9</v>
      </c>
    </row>
    <row r="6" spans="1:5" ht="27.2">
      <c r="A6" s="246">
        <v>203</v>
      </c>
      <c r="B6" s="246" t="str">
        <f t="shared" si="0"/>
        <v>IVF203</v>
      </c>
      <c r="C6" s="247" t="s">
        <v>47</v>
      </c>
      <c r="D6" s="254">
        <v>1</v>
      </c>
      <c r="E6" s="249" t="s">
        <v>9</v>
      </c>
    </row>
    <row r="7" spans="1:5">
      <c r="A7" s="246">
        <v>204</v>
      </c>
      <c r="B7" s="246" t="str">
        <f t="shared" si="0"/>
        <v>IVF204</v>
      </c>
      <c r="C7" s="247" t="s">
        <v>48</v>
      </c>
      <c r="D7" s="254">
        <v>1</v>
      </c>
      <c r="E7" s="249" t="s">
        <v>9</v>
      </c>
    </row>
    <row r="8" spans="1:5">
      <c r="A8" s="246">
        <v>205</v>
      </c>
      <c r="B8" s="246" t="str">
        <f t="shared" si="0"/>
        <v>IVF205</v>
      </c>
      <c r="C8" s="247" t="s">
        <v>49</v>
      </c>
      <c r="D8" s="254">
        <v>1</v>
      </c>
      <c r="E8" s="249" t="s">
        <v>9</v>
      </c>
    </row>
    <row r="9" spans="1:5" ht="27.2">
      <c r="A9" s="246">
        <v>206</v>
      </c>
      <c r="B9" s="246" t="str">
        <f t="shared" si="0"/>
        <v>IVF206</v>
      </c>
      <c r="C9" s="247" t="s">
        <v>50</v>
      </c>
      <c r="D9" s="254">
        <v>1</v>
      </c>
      <c r="E9" s="249" t="s">
        <v>9</v>
      </c>
    </row>
    <row r="10" spans="1:5">
      <c r="A10" s="246">
        <v>207</v>
      </c>
      <c r="B10" s="246" t="str">
        <f t="shared" si="0"/>
        <v>IVF207</v>
      </c>
      <c r="C10" s="247" t="s">
        <v>51</v>
      </c>
      <c r="D10" s="254">
        <v>2</v>
      </c>
      <c r="E10" s="249" t="s">
        <v>9</v>
      </c>
    </row>
    <row r="11" spans="1:5" ht="27.2">
      <c r="A11" s="246">
        <v>208</v>
      </c>
      <c r="B11" s="246" t="str">
        <f t="shared" si="0"/>
        <v>IVF208</v>
      </c>
      <c r="C11" s="247" t="s">
        <v>52</v>
      </c>
      <c r="D11" s="254">
        <v>1</v>
      </c>
      <c r="E11" s="249" t="s">
        <v>9</v>
      </c>
    </row>
    <row r="12" spans="1:5">
      <c r="A12" s="246">
        <v>209</v>
      </c>
      <c r="B12" s="246" t="str">
        <f t="shared" si="0"/>
        <v>IVF209</v>
      </c>
      <c r="C12" s="247" t="s">
        <v>53</v>
      </c>
      <c r="D12" s="254">
        <v>1</v>
      </c>
      <c r="E12" s="249" t="s">
        <v>9</v>
      </c>
    </row>
    <row r="13" spans="1:5" ht="27.2">
      <c r="A13" s="246">
        <v>210</v>
      </c>
      <c r="B13" s="246" t="str">
        <f t="shared" si="0"/>
        <v>IVF210</v>
      </c>
      <c r="C13" s="247" t="s">
        <v>54</v>
      </c>
      <c r="D13" s="254">
        <v>1</v>
      </c>
      <c r="E13" s="249" t="s">
        <v>9</v>
      </c>
    </row>
    <row r="14" spans="1:5">
      <c r="A14" s="246">
        <v>211</v>
      </c>
      <c r="B14" s="246" t="str">
        <f t="shared" si="0"/>
        <v>IVF211</v>
      </c>
      <c r="C14" s="247" t="s">
        <v>55</v>
      </c>
      <c r="D14" s="254">
        <v>1</v>
      </c>
      <c r="E14" s="249" t="s">
        <v>9</v>
      </c>
    </row>
    <row r="15" spans="1:5">
      <c r="A15" s="246">
        <v>212</v>
      </c>
      <c r="B15" s="246" t="str">
        <f t="shared" si="0"/>
        <v>IVF212</v>
      </c>
      <c r="C15" s="247" t="s">
        <v>56</v>
      </c>
      <c r="D15" s="254">
        <v>1</v>
      </c>
      <c r="E15" s="249" t="s">
        <v>9</v>
      </c>
    </row>
    <row r="16" spans="1:5">
      <c r="A16" s="246">
        <v>213</v>
      </c>
      <c r="B16" s="246" t="str">
        <f t="shared" si="0"/>
        <v>IVF213</v>
      </c>
      <c r="C16" s="247" t="s">
        <v>57</v>
      </c>
      <c r="D16" s="254">
        <v>2</v>
      </c>
      <c r="E16" s="249" t="s">
        <v>9</v>
      </c>
    </row>
    <row r="17" spans="1:5">
      <c r="A17" s="246">
        <v>214</v>
      </c>
      <c r="B17" s="246" t="str">
        <f t="shared" si="0"/>
        <v>IVF214</v>
      </c>
      <c r="C17" s="247" t="s">
        <v>58</v>
      </c>
      <c r="D17" s="254">
        <v>1</v>
      </c>
      <c r="E17" s="249" t="s">
        <v>9</v>
      </c>
    </row>
    <row r="18" spans="1:5">
      <c r="A18" s="246">
        <v>215</v>
      </c>
      <c r="B18" s="246" t="str">
        <f t="shared" si="0"/>
        <v>IVF215</v>
      </c>
      <c r="C18" s="247" t="s">
        <v>59</v>
      </c>
      <c r="D18" s="254">
        <v>1</v>
      </c>
      <c r="E18" s="249" t="s">
        <v>9</v>
      </c>
    </row>
    <row r="19" spans="1:5">
      <c r="A19" s="246">
        <v>216</v>
      </c>
      <c r="B19" s="246" t="str">
        <f t="shared" si="0"/>
        <v>IVF216</v>
      </c>
      <c r="C19" s="247" t="s">
        <v>60</v>
      </c>
      <c r="D19" s="254">
        <v>1</v>
      </c>
      <c r="E19" s="249" t="s">
        <v>9</v>
      </c>
    </row>
    <row r="20" spans="1:5">
      <c r="A20" s="246">
        <v>217</v>
      </c>
      <c r="B20" s="246" t="str">
        <f t="shared" si="0"/>
        <v>IVF217</v>
      </c>
      <c r="C20" s="247" t="s">
        <v>61</v>
      </c>
      <c r="D20" s="254">
        <v>1</v>
      </c>
      <c r="E20" s="249" t="s">
        <v>9</v>
      </c>
    </row>
    <row r="21" spans="1:5" ht="27.2">
      <c r="A21" s="246">
        <v>218</v>
      </c>
      <c r="B21" s="246" t="str">
        <f t="shared" si="0"/>
        <v>IVF218</v>
      </c>
      <c r="C21" s="247" t="s">
        <v>62</v>
      </c>
      <c r="D21" s="254">
        <v>1</v>
      </c>
      <c r="E21" s="249" t="s">
        <v>9</v>
      </c>
    </row>
    <row r="22" spans="1:5" ht="27.2">
      <c r="A22" s="246">
        <v>219</v>
      </c>
      <c r="B22" s="246" t="str">
        <f t="shared" si="0"/>
        <v>IVF219</v>
      </c>
      <c r="C22" s="247" t="s">
        <v>63</v>
      </c>
      <c r="D22" s="254">
        <v>1</v>
      </c>
      <c r="E22" s="249" t="s">
        <v>9</v>
      </c>
    </row>
    <row r="23" spans="1:5" ht="27.2">
      <c r="A23" s="246">
        <v>220</v>
      </c>
      <c r="B23" s="246" t="str">
        <f t="shared" si="0"/>
        <v>IVF220</v>
      </c>
      <c r="C23" s="247" t="s">
        <v>64</v>
      </c>
      <c r="D23" s="254">
        <v>1</v>
      </c>
      <c r="E23" s="249" t="s">
        <v>9</v>
      </c>
    </row>
    <row r="24" spans="1:5">
      <c r="A24" s="246">
        <v>221</v>
      </c>
      <c r="B24" s="246" t="str">
        <f t="shared" ref="B24:B46" si="1">IF(ISBLANK(A24), "","IVF"&amp;A24)</f>
        <v>IVF221</v>
      </c>
      <c r="C24" s="247" t="s">
        <v>65</v>
      </c>
      <c r="D24" s="254">
        <v>1</v>
      </c>
      <c r="E24" s="249" t="s">
        <v>9</v>
      </c>
    </row>
    <row r="25" spans="1:5">
      <c r="A25" s="246">
        <v>222</v>
      </c>
      <c r="B25" s="246" t="str">
        <f t="shared" si="1"/>
        <v>IVF222</v>
      </c>
      <c r="C25" s="247" t="s">
        <v>66</v>
      </c>
      <c r="D25" s="254">
        <v>1</v>
      </c>
      <c r="E25" s="249" t="s">
        <v>9</v>
      </c>
    </row>
    <row r="26" spans="1:5">
      <c r="A26" s="246">
        <v>223</v>
      </c>
      <c r="B26" s="246" t="str">
        <f t="shared" si="1"/>
        <v>IVF223</v>
      </c>
      <c r="C26" s="247" t="s">
        <v>67</v>
      </c>
      <c r="D26" s="254">
        <v>1</v>
      </c>
      <c r="E26" s="249" t="s">
        <v>9</v>
      </c>
    </row>
    <row r="27" spans="1:5">
      <c r="A27" s="246">
        <v>224</v>
      </c>
      <c r="B27" s="246" t="str">
        <f t="shared" si="1"/>
        <v>IVF224</v>
      </c>
      <c r="C27" s="247" t="s">
        <v>68</v>
      </c>
      <c r="D27" s="254">
        <v>2</v>
      </c>
      <c r="E27" s="249" t="s">
        <v>9</v>
      </c>
    </row>
    <row r="28" spans="1:5">
      <c r="A28" s="246">
        <v>225</v>
      </c>
      <c r="B28" s="246" t="str">
        <f t="shared" si="1"/>
        <v>IVF225</v>
      </c>
      <c r="C28" s="247" t="s">
        <v>69</v>
      </c>
      <c r="D28" s="254">
        <v>1</v>
      </c>
      <c r="E28" s="249" t="s">
        <v>9</v>
      </c>
    </row>
    <row r="29" spans="1:5">
      <c r="A29" s="246">
        <v>226</v>
      </c>
      <c r="B29" s="246" t="str">
        <f t="shared" si="1"/>
        <v>IVF226</v>
      </c>
      <c r="C29" s="247" t="s">
        <v>70</v>
      </c>
      <c r="D29" s="254">
        <v>2</v>
      </c>
      <c r="E29" s="249" t="s">
        <v>9</v>
      </c>
    </row>
    <row r="30" spans="1:5">
      <c r="A30" s="246">
        <v>227</v>
      </c>
      <c r="B30" s="246" t="str">
        <f t="shared" si="1"/>
        <v>IVF227</v>
      </c>
      <c r="C30" s="247" t="s">
        <v>71</v>
      </c>
      <c r="D30" s="254">
        <v>1</v>
      </c>
      <c r="E30" s="249" t="s">
        <v>9</v>
      </c>
    </row>
    <row r="31" spans="1:5">
      <c r="A31" s="246">
        <v>228</v>
      </c>
      <c r="B31" s="246" t="str">
        <f t="shared" si="1"/>
        <v>IVF228</v>
      </c>
      <c r="C31" s="247" t="s">
        <v>72</v>
      </c>
      <c r="D31" s="254">
        <v>1</v>
      </c>
      <c r="E31" s="249" t="s">
        <v>9</v>
      </c>
    </row>
    <row r="32" spans="1:5">
      <c r="A32" s="246">
        <v>229</v>
      </c>
      <c r="B32" s="246" t="str">
        <f t="shared" si="1"/>
        <v>IVF229</v>
      </c>
      <c r="C32" s="247" t="s">
        <v>73</v>
      </c>
      <c r="D32" s="254">
        <v>1</v>
      </c>
      <c r="E32" s="249" t="s">
        <v>9</v>
      </c>
    </row>
    <row r="33" spans="1:5" ht="27.2">
      <c r="A33" s="246">
        <v>230</v>
      </c>
      <c r="B33" s="246" t="str">
        <f t="shared" si="1"/>
        <v>IVF230</v>
      </c>
      <c r="C33" s="247" t="s">
        <v>74</v>
      </c>
      <c r="D33" s="254">
        <v>1</v>
      </c>
      <c r="E33" s="249" t="s">
        <v>9</v>
      </c>
    </row>
    <row r="34" spans="1:5">
      <c r="A34" s="246">
        <v>231</v>
      </c>
      <c r="B34" s="246" t="str">
        <f t="shared" si="1"/>
        <v>IVF231</v>
      </c>
      <c r="C34" s="247" t="s">
        <v>75</v>
      </c>
      <c r="D34" s="254">
        <v>1</v>
      </c>
      <c r="E34" s="249" t="s">
        <v>9</v>
      </c>
    </row>
    <row r="35" spans="1:5">
      <c r="A35" s="246">
        <v>232</v>
      </c>
      <c r="B35" s="246" t="str">
        <f t="shared" si="1"/>
        <v>IVF232</v>
      </c>
      <c r="C35" s="247" t="s">
        <v>76</v>
      </c>
      <c r="D35" s="254">
        <v>1</v>
      </c>
      <c r="E35" s="249" t="s">
        <v>9</v>
      </c>
    </row>
    <row r="36" spans="1:5">
      <c r="A36" s="246">
        <v>233</v>
      </c>
      <c r="B36" s="246" t="str">
        <f t="shared" si="1"/>
        <v>IVF233</v>
      </c>
      <c r="C36" s="247" t="s">
        <v>77</v>
      </c>
      <c r="D36" s="254">
        <v>1</v>
      </c>
      <c r="E36" s="249" t="s">
        <v>9</v>
      </c>
    </row>
    <row r="37" spans="1:5">
      <c r="A37" s="246">
        <v>234</v>
      </c>
      <c r="B37" s="246" t="str">
        <f t="shared" si="1"/>
        <v>IVF234</v>
      </c>
      <c r="C37" s="247" t="s">
        <v>78</v>
      </c>
      <c r="D37" s="254">
        <v>0</v>
      </c>
      <c r="E37" s="249" t="s">
        <v>9</v>
      </c>
    </row>
    <row r="38" spans="1:5">
      <c r="A38" s="246">
        <v>235</v>
      </c>
      <c r="B38" s="246" t="str">
        <f t="shared" si="1"/>
        <v>IVF235</v>
      </c>
      <c r="C38" s="247" t="s">
        <v>79</v>
      </c>
      <c r="D38" s="254">
        <v>2</v>
      </c>
      <c r="E38" s="249" t="s">
        <v>9</v>
      </c>
    </row>
    <row r="39" spans="1:5">
      <c r="A39" s="246">
        <v>236</v>
      </c>
      <c r="B39" s="246" t="str">
        <f t="shared" si="1"/>
        <v>IVF236</v>
      </c>
      <c r="C39" s="247" t="s">
        <v>80</v>
      </c>
      <c r="D39" s="254">
        <v>1</v>
      </c>
      <c r="E39" s="249" t="s">
        <v>9</v>
      </c>
    </row>
    <row r="40" spans="1:5">
      <c r="A40" s="246">
        <v>237</v>
      </c>
      <c r="B40" s="246" t="str">
        <f t="shared" si="1"/>
        <v>IVF237</v>
      </c>
      <c r="C40" s="247" t="s">
        <v>81</v>
      </c>
      <c r="D40" s="254">
        <v>2</v>
      </c>
      <c r="E40" s="249" t="s">
        <v>9</v>
      </c>
    </row>
    <row r="41" spans="1:5">
      <c r="A41" s="246">
        <v>238</v>
      </c>
      <c r="B41" s="246" t="str">
        <f t="shared" si="1"/>
        <v>IVF238</v>
      </c>
      <c r="C41" s="247" t="s">
        <v>82</v>
      </c>
      <c r="D41" s="254">
        <v>2</v>
      </c>
      <c r="E41" s="249" t="s">
        <v>9</v>
      </c>
    </row>
    <row r="42" spans="1:5">
      <c r="A42" s="246">
        <v>239</v>
      </c>
      <c r="B42" s="246" t="str">
        <f t="shared" si="1"/>
        <v>IVF239</v>
      </c>
      <c r="C42" s="247" t="s">
        <v>83</v>
      </c>
      <c r="D42" s="254">
        <v>3</v>
      </c>
      <c r="E42" s="249" t="s">
        <v>9</v>
      </c>
    </row>
    <row r="43" spans="1:5">
      <c r="A43" s="246">
        <v>240</v>
      </c>
      <c r="B43" s="246" t="str">
        <f t="shared" si="1"/>
        <v>IVF240</v>
      </c>
      <c r="C43" s="247" t="s">
        <v>84</v>
      </c>
      <c r="D43" s="254">
        <v>3</v>
      </c>
      <c r="E43" s="249" t="s">
        <v>9</v>
      </c>
    </row>
    <row r="44" spans="1:5">
      <c r="A44" s="246">
        <v>241</v>
      </c>
      <c r="B44" s="246" t="str">
        <f t="shared" si="1"/>
        <v>IVF241</v>
      </c>
      <c r="C44" s="247" t="s">
        <v>85</v>
      </c>
      <c r="D44" s="254">
        <v>6</v>
      </c>
      <c r="E44" s="249" t="s">
        <v>9</v>
      </c>
    </row>
    <row r="45" spans="1:5">
      <c r="A45" s="246">
        <v>242</v>
      </c>
      <c r="B45" s="246" t="str">
        <f t="shared" si="1"/>
        <v>IVF242</v>
      </c>
      <c r="C45" s="247" t="s">
        <v>86</v>
      </c>
      <c r="D45" s="254">
        <v>3</v>
      </c>
      <c r="E45" s="249" t="s">
        <v>9</v>
      </c>
    </row>
    <row r="46" spans="1:5">
      <c r="A46" s="246">
        <v>243</v>
      </c>
      <c r="B46" s="246" t="str">
        <f t="shared" si="1"/>
        <v>IVF243</v>
      </c>
      <c r="C46" s="247" t="s">
        <v>87</v>
      </c>
      <c r="D46" s="254">
        <v>3</v>
      </c>
      <c r="E46" s="249" t="s">
        <v>9</v>
      </c>
    </row>
    <row r="47" spans="1:5">
      <c r="A47" s="246">
        <v>244</v>
      </c>
      <c r="B47" s="246" t="str">
        <f t="shared" ref="B47:B48" si="2">IF(ISBLANK(A47), "","IVF"&amp;A47)</f>
        <v>IVF244</v>
      </c>
      <c r="C47" s="247" t="s">
        <v>88</v>
      </c>
      <c r="D47" s="254">
        <v>8</v>
      </c>
      <c r="E47" s="249" t="s">
        <v>9</v>
      </c>
    </row>
    <row r="48" spans="1:5">
      <c r="A48" s="246">
        <v>245</v>
      </c>
      <c r="B48" s="246" t="str">
        <f t="shared" si="2"/>
        <v>IVF245</v>
      </c>
      <c r="C48" s="247" t="s">
        <v>89</v>
      </c>
      <c r="D48" s="254">
        <v>3</v>
      </c>
      <c r="E48" s="249" t="s">
        <v>9</v>
      </c>
    </row>
    <row r="49" spans="1:5" ht="190.2">
      <c r="A49" s="252">
        <v>1</v>
      </c>
      <c r="B49" s="250"/>
      <c r="C49" s="251" t="s">
        <v>194</v>
      </c>
      <c r="D49" s="249">
        <v>1</v>
      </c>
      <c r="E49" s="249" t="s">
        <v>180</v>
      </c>
    </row>
    <row r="50" spans="1:5" ht="122.3">
      <c r="A50" s="252">
        <v>2</v>
      </c>
      <c r="B50" s="250"/>
      <c r="C50" s="251" t="s">
        <v>473</v>
      </c>
      <c r="D50" s="249">
        <v>1</v>
      </c>
      <c r="E50" s="249" t="s">
        <v>180</v>
      </c>
    </row>
    <row r="51" spans="1:5" ht="54.35">
      <c r="A51" s="252">
        <v>3</v>
      </c>
      <c r="B51" s="250"/>
      <c r="C51" s="251" t="s">
        <v>474</v>
      </c>
      <c r="D51" s="249">
        <v>2</v>
      </c>
      <c r="E51" s="249" t="s">
        <v>180</v>
      </c>
    </row>
    <row r="52" spans="1:5" ht="54.35">
      <c r="A52" s="252">
        <v>4</v>
      </c>
      <c r="B52" s="250"/>
      <c r="C52" s="251" t="s">
        <v>477</v>
      </c>
      <c r="D52" s="249">
        <v>1</v>
      </c>
      <c r="E52" s="249" t="s">
        <v>180</v>
      </c>
    </row>
    <row r="53" spans="1:5" ht="54.35">
      <c r="A53" s="252">
        <v>5</v>
      </c>
      <c r="B53" s="250"/>
      <c r="C53" s="251" t="s">
        <v>476</v>
      </c>
      <c r="D53" s="249">
        <v>1</v>
      </c>
      <c r="E53" s="249" t="s">
        <v>180</v>
      </c>
    </row>
    <row r="54" spans="1:5" ht="54.35">
      <c r="A54" s="252">
        <v>6</v>
      </c>
      <c r="B54" s="250"/>
      <c r="C54" s="251" t="s">
        <v>475</v>
      </c>
      <c r="D54" s="249">
        <v>1</v>
      </c>
      <c r="E54" s="249" t="s">
        <v>180</v>
      </c>
    </row>
  </sheetData>
  <printOptions horizontalCentered="1"/>
  <pageMargins left="0.43307086614173229" right="0.23622047244094491" top="0.55118110236220474" bottom="0.55118110236220474" header="0.31496062992125984" footer="0.31496062992125984"/>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RE</vt:lpstr>
      <vt:lpstr>ABSTRACT</vt:lpstr>
      <vt:lpstr>SEIGNORAGE</vt:lpstr>
      <vt:lpstr>Civil Data</vt:lpstr>
      <vt:lpstr>Sheet1</vt:lpstr>
      <vt:lpstr>GA</vt:lpstr>
      <vt:lpstr>EQP_List</vt:lpstr>
      <vt:lpstr>ABSTRACT!Print_Area</vt:lpstr>
      <vt:lpstr>'Civil Data'!Print_Area</vt:lpstr>
      <vt:lpstr>RE!Print_Area</vt:lpstr>
      <vt:lpstr>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2024-10-29T09:27:09Z</cp:lastPrinted>
  <dcterms:created xsi:type="dcterms:W3CDTF">2023-11-15T06:17:09Z</dcterms:created>
  <dcterms:modified xsi:type="dcterms:W3CDTF">2024-10-29T10:47:38Z</dcterms:modified>
</cp:coreProperties>
</file>