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E2CB7201-5442-4338-92DA-3360EDB509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3" r:id="rId1"/>
    <sheet name="URS" sheetId="1" r:id="rId2"/>
  </sheets>
  <definedNames>
    <definedName name="_xlnm.Print_Area" localSheetId="1">URS!$A$1:$AB$53</definedName>
    <definedName name="_xlnm.Print_Titles" localSheetId="1">URS!$A:$B,URS!$1:$11</definedName>
  </definedNames>
  <calcPr calcId="191029"/>
</workbook>
</file>

<file path=xl/calcChain.xml><?xml version="1.0" encoding="utf-8"?>
<calcChain xmlns="http://schemas.openxmlformats.org/spreadsheetml/2006/main">
  <c r="E37" i="3" l="1"/>
  <c r="E29" i="3"/>
  <c r="E28" i="3"/>
  <c r="E27" i="3"/>
  <c r="E26" i="3"/>
  <c r="F11" i="3"/>
  <c r="S47" i="1"/>
  <c r="U47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AC46" i="1" l="1"/>
  <c r="O46" i="1" l="1"/>
  <c r="Q46" i="1"/>
  <c r="S46" i="1"/>
  <c r="T46" i="1"/>
  <c r="U46" i="1"/>
  <c r="V46" i="1"/>
  <c r="W46" i="1"/>
  <c r="X46" i="1"/>
  <c r="Y46" i="1"/>
  <c r="Z46" i="1"/>
  <c r="AA46" i="1"/>
  <c r="AB46" i="1"/>
  <c r="R43" i="1"/>
  <c r="P43" i="1"/>
  <c r="H43" i="1"/>
  <c r="F43" i="1"/>
  <c r="M43" i="1" s="1"/>
  <c r="G43" i="1" l="1"/>
  <c r="R33" i="1"/>
  <c r="P33" i="1"/>
  <c r="H33" i="1"/>
  <c r="F33" i="1"/>
  <c r="G33" i="1" s="1"/>
  <c r="N46" i="1"/>
  <c r="J15" i="1"/>
  <c r="F15" i="1"/>
  <c r="F38" i="1"/>
  <c r="G38" i="1" s="1"/>
  <c r="R44" i="1"/>
  <c r="P44" i="1"/>
  <c r="H44" i="1"/>
  <c r="F44" i="1"/>
  <c r="R42" i="1"/>
  <c r="P42" i="1"/>
  <c r="H42" i="1"/>
  <c r="F42" i="1"/>
  <c r="R41" i="1"/>
  <c r="P41" i="1"/>
  <c r="H41" i="1"/>
  <c r="F41" i="1"/>
  <c r="G41" i="1" s="1"/>
  <c r="R40" i="1"/>
  <c r="P40" i="1"/>
  <c r="H40" i="1"/>
  <c r="F40" i="1"/>
  <c r="R39" i="1"/>
  <c r="P39" i="1"/>
  <c r="H39" i="1"/>
  <c r="F39" i="1"/>
  <c r="R38" i="1"/>
  <c r="P38" i="1"/>
  <c r="H38" i="1"/>
  <c r="M39" i="1" l="1"/>
  <c r="M33" i="1"/>
  <c r="M44" i="1"/>
  <c r="M38" i="1"/>
  <c r="M42" i="1"/>
  <c r="M40" i="1"/>
  <c r="G39" i="1"/>
  <c r="G40" i="1"/>
  <c r="G44" i="1"/>
  <c r="M41" i="1"/>
  <c r="G42" i="1"/>
  <c r="R37" i="1"/>
  <c r="P37" i="1"/>
  <c r="H37" i="1"/>
  <c r="F37" i="1"/>
  <c r="G37" i="1" l="1"/>
  <c r="M37" i="1"/>
  <c r="F17" i="1"/>
  <c r="F18" i="1"/>
  <c r="M18" i="1" s="1"/>
  <c r="F19" i="1"/>
  <c r="F20" i="1"/>
  <c r="F21" i="1"/>
  <c r="M21" i="1" s="1"/>
  <c r="F22" i="1"/>
  <c r="F23" i="1"/>
  <c r="F24" i="1"/>
  <c r="M24" i="1" s="1"/>
  <c r="F25" i="1"/>
  <c r="F26" i="1"/>
  <c r="F27" i="1"/>
  <c r="F28" i="1"/>
  <c r="M28" i="1" s="1"/>
  <c r="F29" i="1"/>
  <c r="F30" i="1"/>
  <c r="M30" i="1" s="1"/>
  <c r="F31" i="1"/>
  <c r="F32" i="1"/>
  <c r="F34" i="1"/>
  <c r="F35" i="1"/>
  <c r="M35" i="1" s="1"/>
  <c r="F36" i="1"/>
  <c r="R25" i="1"/>
  <c r="P25" i="1"/>
  <c r="H25" i="1"/>
  <c r="R31" i="1"/>
  <c r="P31" i="1"/>
  <c r="H31" i="1"/>
  <c r="R27" i="1"/>
  <c r="P27" i="1"/>
  <c r="H27" i="1"/>
  <c r="F16" i="1"/>
  <c r="R17" i="1"/>
  <c r="P17" i="1"/>
  <c r="H17" i="1"/>
  <c r="R16" i="1"/>
  <c r="P16" i="1"/>
  <c r="H16" i="1"/>
  <c r="M36" i="1" l="1"/>
  <c r="M34" i="1"/>
  <c r="M32" i="1"/>
  <c r="M29" i="1"/>
  <c r="M26" i="1"/>
  <c r="M22" i="1"/>
  <c r="M19" i="1"/>
  <c r="M17" i="1"/>
  <c r="M20" i="1"/>
  <c r="M16" i="1"/>
  <c r="G31" i="1"/>
  <c r="M31" i="1"/>
  <c r="M23" i="1"/>
  <c r="G25" i="1"/>
  <c r="M25" i="1"/>
  <c r="G27" i="1"/>
  <c r="M27" i="1"/>
  <c r="G17" i="1"/>
  <c r="G16" i="1"/>
  <c r="G19" i="1" l="1"/>
  <c r="G20" i="1"/>
  <c r="G21" i="1"/>
  <c r="G22" i="1"/>
  <c r="G23" i="1"/>
  <c r="G24" i="1"/>
  <c r="G26" i="1"/>
  <c r="G28" i="1"/>
  <c r="G29" i="1"/>
  <c r="G30" i="1"/>
  <c r="G32" i="1"/>
  <c r="G34" i="1"/>
  <c r="G35" i="1"/>
  <c r="G36" i="1"/>
  <c r="G15" i="1" l="1"/>
  <c r="R36" i="1"/>
  <c r="P36" i="1"/>
  <c r="H36" i="1"/>
  <c r="R35" i="1"/>
  <c r="P35" i="1"/>
  <c r="H35" i="1"/>
  <c r="R34" i="1"/>
  <c r="P34" i="1"/>
  <c r="H34" i="1"/>
  <c r="P32" i="1" l="1"/>
  <c r="R20" i="1"/>
  <c r="P20" i="1"/>
  <c r="H20" i="1"/>
  <c r="M15" i="1"/>
  <c r="R29" i="1"/>
  <c r="P29" i="1"/>
  <c r="H29" i="1"/>
  <c r="R24" i="1"/>
  <c r="P24" i="1"/>
  <c r="H24" i="1"/>
  <c r="R23" i="1"/>
  <c r="P23" i="1"/>
  <c r="H23" i="1"/>
  <c r="R18" i="1"/>
  <c r="P18" i="1"/>
  <c r="H18" i="1"/>
  <c r="G18" i="1"/>
  <c r="T47" i="1" l="1"/>
  <c r="V47" i="1"/>
  <c r="O50" i="1" s="1"/>
  <c r="D10" i="3" s="1"/>
  <c r="W47" i="1"/>
  <c r="O52" i="1" s="1"/>
  <c r="D13" i="3" s="1"/>
  <c r="R32" i="1"/>
  <c r="H32" i="1"/>
  <c r="R30" i="1"/>
  <c r="P30" i="1"/>
  <c r="H30" i="1"/>
  <c r="R21" i="1"/>
  <c r="R22" i="1"/>
  <c r="R26" i="1"/>
  <c r="R28" i="1"/>
  <c r="P21" i="1"/>
  <c r="P22" i="1"/>
  <c r="P26" i="1"/>
  <c r="P28" i="1"/>
  <c r="H21" i="1"/>
  <c r="H22" i="1"/>
  <c r="H26" i="1"/>
  <c r="H28" i="1"/>
  <c r="R19" i="1"/>
  <c r="P19" i="1"/>
  <c r="H19" i="1"/>
  <c r="R15" i="1"/>
  <c r="P15" i="1"/>
  <c r="H15" i="1"/>
  <c r="P46" i="1" l="1"/>
  <c r="R46" i="1"/>
  <c r="F14" i="3"/>
  <c r="F10" i="3" l="1"/>
  <c r="F13" i="3" l="1"/>
  <c r="R47" i="1" l="1"/>
  <c r="O51" i="1" s="1"/>
  <c r="D12" i="3" s="1"/>
  <c r="F12" i="3" l="1"/>
  <c r="P47" i="1" l="1"/>
  <c r="O49" i="1" l="1"/>
  <c r="D9" i="3" s="1"/>
  <c r="D16" i="3" l="1"/>
  <c r="D18" i="3" s="1"/>
  <c r="D19" i="3" l="1"/>
  <c r="D20" i="3" s="1"/>
  <c r="F9" i="3"/>
  <c r="F16" i="3" s="1"/>
  <c r="F18" i="3" s="1"/>
  <c r="F19" i="3" l="1"/>
  <c r="F20" i="3" s="1"/>
  <c r="F21" i="3" s="1"/>
  <c r="F22" i="3" s="1"/>
</calcChain>
</file>

<file path=xl/sharedStrings.xml><?xml version="1.0" encoding="utf-8"?>
<sst xmlns="http://schemas.openxmlformats.org/spreadsheetml/2006/main" count="154" uniqueCount="119">
  <si>
    <t xml:space="preserve">PROJECT : </t>
  </si>
  <si>
    <t>CLIENT :</t>
  </si>
  <si>
    <t>DOC NAME :</t>
  </si>
  <si>
    <t>DATE :</t>
  </si>
  <si>
    <t xml:space="preserve">REVISION </t>
  </si>
  <si>
    <t xml:space="preserve">ELECTRICAL </t>
  </si>
  <si>
    <t>LV SYSTEMS</t>
  </si>
  <si>
    <t>Sl.No</t>
  </si>
  <si>
    <t>Description of the room</t>
  </si>
  <si>
    <t>Area</t>
  </si>
  <si>
    <t>F/C HT</t>
  </si>
  <si>
    <t>Lux Levels</t>
  </si>
  <si>
    <t>LAN/Data</t>
  </si>
  <si>
    <t>CCTV</t>
  </si>
  <si>
    <t>6/16A</t>
  </si>
  <si>
    <t>( Ft )</t>
  </si>
  <si>
    <t>( Nos )</t>
  </si>
  <si>
    <t>(Lux)</t>
  </si>
  <si>
    <t>( Nos)</t>
  </si>
  <si>
    <t>W</t>
  </si>
  <si>
    <t>H</t>
  </si>
  <si>
    <t>Room Index</t>
  </si>
  <si>
    <t>Wattage light</t>
  </si>
  <si>
    <t>No of Fixtures</t>
  </si>
  <si>
    <t>(watts)</t>
  </si>
  <si>
    <t xml:space="preserve">Fixtures Lumen </t>
  </si>
  <si>
    <t>L</t>
  </si>
  <si>
    <t xml:space="preserve">Raw power Lighting </t>
  </si>
  <si>
    <t xml:space="preserve">UPS power Lighting </t>
  </si>
  <si>
    <t>TOTAL</t>
  </si>
  <si>
    <t>Total Load in KW</t>
  </si>
  <si>
    <t>KW</t>
  </si>
  <si>
    <t>DOC NUMBER :</t>
  </si>
  <si>
    <t xml:space="preserve">USER REQUIRED SPECS </t>
  </si>
  <si>
    <t>R0</t>
  </si>
  <si>
    <t>REVISION    R0</t>
  </si>
  <si>
    <t>DOC NAME :   LOAD SUMMARY SHEET</t>
  </si>
  <si>
    <t>SL.No</t>
  </si>
  <si>
    <t>DESCRIPTION</t>
  </si>
  <si>
    <t>CONNECTING LOAD (KW)</t>
  </si>
  <si>
    <t>DIVERSITY FACTOR</t>
  </si>
  <si>
    <t>MAXIMUM LOAD (KW)</t>
  </si>
  <si>
    <t xml:space="preserve">Lighting Load </t>
  </si>
  <si>
    <t xml:space="preserve">Emergency Lighting Load </t>
  </si>
  <si>
    <t>Load in KW</t>
  </si>
  <si>
    <t>KVA</t>
  </si>
  <si>
    <t>UPS LOAD CALCULATION</t>
  </si>
  <si>
    <t>Total Maximum Demand</t>
  </si>
  <si>
    <t>No of Batteries</t>
  </si>
  <si>
    <t>Total Rated KVA</t>
  </si>
  <si>
    <t>Battery Power</t>
  </si>
  <si>
    <t>AH</t>
  </si>
  <si>
    <t>Battery Voltage</t>
  </si>
  <si>
    <t>V</t>
  </si>
  <si>
    <t>Backup Time</t>
  </si>
  <si>
    <t>Hour</t>
  </si>
  <si>
    <t>Nos</t>
  </si>
  <si>
    <t>( Sqmtr )</t>
  </si>
  <si>
    <t>( Sqfts)</t>
  </si>
  <si>
    <t>AC Loads</t>
  </si>
  <si>
    <t>Room size in mtrs</t>
  </si>
  <si>
    <t>RAW power  Load</t>
  </si>
  <si>
    <t>UPS power Load</t>
  </si>
  <si>
    <t>PA System</t>
  </si>
  <si>
    <t>FANS</t>
  </si>
  <si>
    <t>CEILING</t>
  </si>
  <si>
    <t>EXHAUST</t>
  </si>
  <si>
    <t>Tele phone</t>
  </si>
  <si>
    <t>FA SYSTEM</t>
  </si>
  <si>
    <t>(As the  near by UPS rating available in market is 20KVA ) .So we recommend  = 1 no's 20KVA.</t>
  </si>
  <si>
    <t xml:space="preserve">Total KVA at 0.90 P.F </t>
  </si>
  <si>
    <t>OT-2</t>
  </si>
  <si>
    <t>OT-1</t>
  </si>
  <si>
    <t>UPS</t>
  </si>
  <si>
    <t xml:space="preserve">CLIENT :  </t>
  </si>
  <si>
    <t>Counseling Room-1</t>
  </si>
  <si>
    <t>Ultrasound</t>
  </si>
  <si>
    <t>Toilet</t>
  </si>
  <si>
    <t>1.2M Wide Corridor</t>
  </si>
  <si>
    <t>Counseling Room-2</t>
  </si>
  <si>
    <t>Semi-Sterile Area</t>
  </si>
  <si>
    <t>Autoclave</t>
  </si>
  <si>
    <t>Sperm Collection Room</t>
  </si>
  <si>
    <t>Sterile Area</t>
  </si>
  <si>
    <t>Andrology Lab</t>
  </si>
  <si>
    <t>Cryo Room</t>
  </si>
  <si>
    <t>IVF/ICSI/Embriology Lab</t>
  </si>
  <si>
    <t>Pre/Post OP</t>
  </si>
  <si>
    <t>Store Room</t>
  </si>
  <si>
    <t>Manifold Room</t>
  </si>
  <si>
    <t>Electrical Room</t>
  </si>
  <si>
    <t>UPS Room</t>
  </si>
  <si>
    <t>Change Room-1</t>
  </si>
  <si>
    <t>Chang Room-2</t>
  </si>
  <si>
    <t>Blood Collection &amp; Injection Room</t>
  </si>
  <si>
    <t>Record Room</t>
  </si>
  <si>
    <t>RAW POWER SOCKET</t>
  </si>
  <si>
    <t>AC SOCKET</t>
  </si>
  <si>
    <t>FIFTH FLOOR</t>
  </si>
  <si>
    <t>Fifth floor Lighting Loads in KW</t>
  </si>
  <si>
    <t>Fifth floor Raw Power Loads in KW</t>
  </si>
  <si>
    <t>Fifth floor UPS Lighting Loads in KW</t>
  </si>
  <si>
    <t>Fifth floor UPS Power Loads in KW</t>
  </si>
  <si>
    <t>3M Wide Corridor</t>
  </si>
  <si>
    <t>Reception &amp; Nurse Station</t>
  </si>
  <si>
    <t>Nursical Point</t>
  </si>
  <si>
    <t xml:space="preserve">(As per the Load Calculation we required 50KVA Load from Floor Panel with 100% DG backup </t>
  </si>
  <si>
    <t>6A</t>
  </si>
  <si>
    <t>5% miscellaneous Load</t>
  </si>
  <si>
    <t>Group Diversity @80%</t>
  </si>
  <si>
    <t>IVF CENTER_3RD FLOOR_PETLABURJ</t>
  </si>
  <si>
    <t>MECS/2023/IVF/PTB/ELE/01</t>
  </si>
  <si>
    <t>29.11.2023</t>
  </si>
  <si>
    <t>PROJECT : IVF CETER_3RD FLOOR_PETLABURJ</t>
  </si>
  <si>
    <t>DOC NUMBER :  MECS/2023/IVF/PTB/ELE/02</t>
  </si>
  <si>
    <t>DATE :    29.11.2023</t>
  </si>
  <si>
    <t>Total KVA at 0.80 Power Factor</t>
  </si>
  <si>
    <t>Considering 70% Efficiency on UPS Selection</t>
  </si>
  <si>
    <t>As the  Recommended Batteries are 30Nos of 42AH for Each 20KVA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</si>
</sst>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09]General"/>
    <numFmt numFmtId="166" formatCode="[$-4009]0.0"/>
    <numFmt numFmtId="167" formatCode="[$-4009]0"/>
    <numFmt numFmtId="168" formatCode="[$-4009]0.00"/>
  </numFmts>
  <fonts count="1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Frutiger 45 Light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Frutiger 45 Light"/>
    </font>
    <font>
      <b/>
      <sz val="12"/>
      <color rgb="FF000000"/>
      <name val="Arial Narrow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0"/>
      <color indexed="8"/>
      <name val="Bookman Old Style"/>
      <family val="1"/>
    </font>
    <font>
      <sz val="12"/>
      <color rgb="FF000000"/>
      <name val="Arial Narrow"/>
      <family val="2"/>
    </font>
    <font>
      <sz val="12"/>
      <color rgb="FFFF0000"/>
      <name val="Arial Narrow"/>
      <family val="2"/>
    </font>
    <font>
      <sz val="10"/>
      <name val="Bookman Old Style"/>
      <family val="1"/>
    </font>
    <font>
      <b/>
      <sz val="1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165" fontId="6" fillId="0" borderId="0"/>
    <xf numFmtId="165" fontId="8" fillId="0" borderId="0"/>
  </cellStyleXfs>
  <cellXfs count="15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3" fillId="4" borderId="8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3" fillId="4" borderId="8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 applyProtection="1">
      <alignment horizontal="center" vertical="center"/>
      <protection locked="0"/>
    </xf>
    <xf numFmtId="164" fontId="4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vertical="top"/>
    </xf>
    <xf numFmtId="0" fontId="1" fillId="0" borderId="0" xfId="0" applyFont="1"/>
    <xf numFmtId="165" fontId="11" fillId="6" borderId="1" xfId="4" applyFont="1" applyFill="1" applyBorder="1" applyAlignment="1">
      <alignment horizontal="left" vertical="top"/>
    </xf>
    <xf numFmtId="165" fontId="11" fillId="0" borderId="1" xfId="4" applyFont="1" applyBorder="1" applyAlignment="1">
      <alignment horizontal="center" vertical="center"/>
    </xf>
    <xf numFmtId="165" fontId="11" fillId="0" borderId="1" xfId="4" applyFont="1" applyBorder="1" applyAlignment="1">
      <alignment horizontal="center" vertical="center" wrapText="1"/>
    </xf>
    <xf numFmtId="165" fontId="12" fillId="0" borderId="1" xfId="4" applyFont="1" applyBorder="1" applyAlignment="1">
      <alignment horizontal="center" vertical="center"/>
    </xf>
    <xf numFmtId="165" fontId="12" fillId="0" borderId="1" xfId="4" applyFont="1" applyBorder="1" applyAlignment="1">
      <alignment horizontal="left" vertical="center"/>
    </xf>
    <xf numFmtId="166" fontId="12" fillId="0" borderId="1" xfId="4" applyNumberFormat="1" applyFont="1" applyBorder="1" applyAlignment="1">
      <alignment horizontal="center" vertical="center"/>
    </xf>
    <xf numFmtId="164" fontId="12" fillId="0" borderId="1" xfId="4" applyNumberFormat="1" applyFont="1" applyBorder="1" applyAlignment="1">
      <alignment horizontal="center"/>
    </xf>
    <xf numFmtId="165" fontId="3" fillId="0" borderId="1" xfId="4" applyFont="1" applyBorder="1" applyAlignment="1">
      <alignment horizontal="left" vertical="center"/>
    </xf>
    <xf numFmtId="1" fontId="3" fillId="0" borderId="1" xfId="4" applyNumberFormat="1" applyFont="1" applyBorder="1" applyAlignment="1">
      <alignment horizontal="center" vertical="center"/>
    </xf>
    <xf numFmtId="164" fontId="3" fillId="0" borderId="1" xfId="4" applyNumberFormat="1" applyFont="1" applyBorder="1" applyAlignment="1">
      <alignment horizontal="center"/>
    </xf>
    <xf numFmtId="165" fontId="1" fillId="0" borderId="1" xfId="4" applyFont="1" applyBorder="1" applyAlignment="1">
      <alignment horizontal="left" vertical="center"/>
    </xf>
    <xf numFmtId="164" fontId="1" fillId="0" borderId="1" xfId="4" applyNumberFormat="1" applyFont="1" applyBorder="1" applyAlignment="1">
      <alignment horizontal="center"/>
    </xf>
    <xf numFmtId="167" fontId="1" fillId="0" borderId="1" xfId="4" applyNumberFormat="1" applyFont="1" applyBorder="1" applyAlignment="1">
      <alignment horizontal="center" vertical="center"/>
    </xf>
    <xf numFmtId="165" fontId="11" fillId="0" borderId="1" xfId="4" applyFont="1" applyBorder="1" applyAlignment="1">
      <alignment vertical="center"/>
    </xf>
    <xf numFmtId="167" fontId="11" fillId="0" borderId="1" xfId="4" applyNumberFormat="1" applyFont="1" applyBorder="1" applyAlignment="1">
      <alignment horizontal="center" vertical="center"/>
    </xf>
    <xf numFmtId="165" fontId="11" fillId="0" borderId="1" xfId="4" applyFont="1" applyBorder="1" applyAlignment="1">
      <alignment horizontal="left" vertical="center"/>
    </xf>
    <xf numFmtId="164" fontId="11" fillId="0" borderId="1" xfId="4" applyNumberFormat="1" applyFont="1" applyBorder="1" applyAlignment="1">
      <alignment horizontal="center"/>
    </xf>
    <xf numFmtId="165" fontId="3" fillId="0" borderId="0" xfId="4" applyFont="1" applyAlignment="1">
      <alignment vertical="center"/>
    </xf>
    <xf numFmtId="165" fontId="3" fillId="0" borderId="0" xfId="4" applyFont="1" applyAlignment="1">
      <alignment horizontal="center" vertical="center"/>
    </xf>
    <xf numFmtId="1" fontId="4" fillId="0" borderId="0" xfId="4" applyNumberFormat="1" applyFont="1" applyAlignment="1">
      <alignment horizontal="center" vertical="center"/>
    </xf>
    <xf numFmtId="1" fontId="4" fillId="0" borderId="0" xfId="4" applyNumberFormat="1" applyFont="1" applyAlignment="1">
      <alignment horizontal="left" vertical="center"/>
    </xf>
    <xf numFmtId="0" fontId="13" fillId="0" borderId="0" xfId="0" applyFont="1"/>
    <xf numFmtId="0" fontId="13" fillId="0" borderId="1" xfId="0" applyFont="1" applyBorder="1" applyAlignment="1">
      <alignment horizontal="center"/>
    </xf>
    <xf numFmtId="165" fontId="12" fillId="0" borderId="0" xfId="4" applyFont="1"/>
    <xf numFmtId="165" fontId="12" fillId="0" borderId="1" xfId="4" applyFont="1" applyBorder="1" applyAlignment="1">
      <alignment vertical="center" wrapText="1"/>
    </xf>
    <xf numFmtId="165" fontId="3" fillId="0" borderId="1" xfId="4" applyFont="1" applyBorder="1" applyAlignment="1">
      <alignment horizontal="center" vertical="center" wrapText="1"/>
    </xf>
    <xf numFmtId="165" fontId="4" fillId="0" borderId="1" xfId="4" applyFont="1" applyBorder="1" applyAlignment="1">
      <alignment vertical="center" wrapText="1"/>
    </xf>
    <xf numFmtId="165" fontId="3" fillId="0" borderId="0" xfId="4" applyFont="1" applyAlignment="1">
      <alignment horizontal="left" vertical="center" wrapText="1"/>
    </xf>
    <xf numFmtId="165" fontId="3" fillId="0" borderId="0" xfId="4" applyFont="1" applyAlignment="1">
      <alignment horizontal="center" vertical="center" wrapText="1"/>
    </xf>
    <xf numFmtId="1" fontId="3" fillId="0" borderId="0" xfId="4" applyNumberFormat="1" applyFont="1" applyAlignment="1">
      <alignment horizontal="center" vertical="center"/>
    </xf>
    <xf numFmtId="1" fontId="3" fillId="0" borderId="0" xfId="4" applyNumberFormat="1" applyFont="1" applyAlignment="1">
      <alignment horizontal="left" vertical="center"/>
    </xf>
    <xf numFmtId="165" fontId="3" fillId="0" borderId="1" xfId="4" applyFont="1" applyBorder="1" applyAlignment="1">
      <alignment horizontal="left" vertical="center" wrapText="1"/>
    </xf>
    <xf numFmtId="167" fontId="12" fillId="0" borderId="1" xfId="4" applyNumberFormat="1" applyFont="1" applyBorder="1" applyAlignment="1">
      <alignment horizontal="center" vertical="center"/>
    </xf>
    <xf numFmtId="165" fontId="3" fillId="0" borderId="0" xfId="4" applyFont="1" applyAlignment="1">
      <alignment horizontal="left" vertical="center"/>
    </xf>
    <xf numFmtId="165" fontId="11" fillId="0" borderId="1" xfId="4" applyFont="1" applyBorder="1" applyAlignment="1">
      <alignment horizontal="left" vertical="center" wrapText="1"/>
    </xf>
    <xf numFmtId="165" fontId="12" fillId="0" borderId="1" xfId="4" applyFont="1" applyBorder="1" applyAlignment="1">
      <alignment horizontal="center"/>
    </xf>
    <xf numFmtId="165" fontId="9" fillId="0" borderId="1" xfId="4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66" fontId="15" fillId="0" borderId="1" xfId="4" applyNumberFormat="1" applyFont="1" applyBorder="1" applyAlignment="1">
      <alignment horizontal="center" vertical="center"/>
    </xf>
    <xf numFmtId="165" fontId="15" fillId="0" borderId="1" xfId="4" applyFont="1" applyBorder="1" applyAlignment="1">
      <alignment horizontal="center" vertical="center"/>
    </xf>
    <xf numFmtId="167" fontId="15" fillId="0" borderId="1" xfId="4" applyNumberFormat="1" applyFont="1" applyBorder="1" applyAlignment="1">
      <alignment horizontal="center" vertical="center"/>
    </xf>
    <xf numFmtId="168" fontId="15" fillId="0" borderId="1" xfId="4" applyNumberFormat="1" applyFont="1" applyBorder="1" applyAlignment="1">
      <alignment horizontal="center" vertical="center"/>
    </xf>
    <xf numFmtId="165" fontId="9" fillId="0" borderId="1" xfId="4" applyFont="1" applyBorder="1" applyAlignment="1">
      <alignment horizontal="left" vertical="center" wrapText="1"/>
    </xf>
    <xf numFmtId="167" fontId="9" fillId="0" borderId="1" xfId="4" applyNumberFormat="1" applyFont="1" applyBorder="1" applyAlignment="1">
      <alignment horizontal="center" vertical="center"/>
    </xf>
    <xf numFmtId="165" fontId="15" fillId="0" borderId="1" xfId="4" applyFont="1" applyBorder="1" applyAlignment="1">
      <alignment horizontal="center"/>
    </xf>
    <xf numFmtId="165" fontId="12" fillId="0" borderId="0" xfId="4" applyFont="1" applyAlignment="1">
      <alignment horizontal="center"/>
    </xf>
    <xf numFmtId="0" fontId="4" fillId="4" borderId="8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17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7" xfId="0" applyFont="1" applyBorder="1" applyAlignment="1" applyProtection="1">
      <alignment vertical="top"/>
      <protection locked="0"/>
    </xf>
    <xf numFmtId="0" fontId="2" fillId="7" borderId="1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/>
    </xf>
    <xf numFmtId="0" fontId="14" fillId="0" borderId="0" xfId="0" applyFont="1"/>
    <xf numFmtId="165" fontId="17" fillId="0" borderId="0" xfId="4" applyFont="1" applyAlignment="1">
      <alignment vertical="center"/>
    </xf>
    <xf numFmtId="165" fontId="17" fillId="0" borderId="0" xfId="4" applyFont="1" applyAlignment="1">
      <alignment horizontal="center" vertical="center"/>
    </xf>
    <xf numFmtId="1" fontId="18" fillId="0" borderId="0" xfId="4" applyNumberFormat="1" applyFont="1" applyAlignment="1">
      <alignment horizontal="center" vertical="center"/>
    </xf>
    <xf numFmtId="1" fontId="18" fillId="0" borderId="0" xfId="4" applyNumberFormat="1" applyFont="1" applyAlignment="1">
      <alignment horizontal="left" vertical="center"/>
    </xf>
    <xf numFmtId="165" fontId="18" fillId="0" borderId="14" xfId="4" applyFont="1" applyBorder="1" applyAlignment="1">
      <alignment vertical="center" wrapText="1"/>
    </xf>
    <xf numFmtId="165" fontId="17" fillId="0" borderId="1" xfId="4" applyFont="1" applyBorder="1" applyAlignment="1">
      <alignment horizontal="center" vertical="center" wrapText="1"/>
    </xf>
    <xf numFmtId="165" fontId="17" fillId="0" borderId="0" xfId="4" applyFont="1" applyAlignment="1">
      <alignment horizontal="left" vertical="center" wrapText="1"/>
    </xf>
    <xf numFmtId="165" fontId="17" fillId="0" borderId="0" xfId="4" applyFont="1" applyAlignment="1">
      <alignment horizontal="center" vertical="center" wrapText="1"/>
    </xf>
    <xf numFmtId="1" fontId="17" fillId="0" borderId="0" xfId="4" applyNumberFormat="1" applyFont="1" applyAlignment="1">
      <alignment horizontal="center" vertical="center"/>
    </xf>
    <xf numFmtId="1" fontId="17" fillId="0" borderId="0" xfId="4" applyNumberFormat="1" applyFont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166" fontId="1" fillId="0" borderId="1" xfId="4" applyNumberFormat="1" applyFont="1" applyBorder="1" applyAlignment="1">
      <alignment horizontal="center" vertical="center"/>
    </xf>
    <xf numFmtId="165" fontId="12" fillId="0" borderId="15" xfId="4" applyFont="1" applyBorder="1" applyAlignment="1">
      <alignment horizontal="left" vertical="center"/>
    </xf>
    <xf numFmtId="165" fontId="12" fillId="0" borderId="14" xfId="4" applyFont="1" applyBorder="1" applyAlignment="1">
      <alignment horizontal="left" vertical="center"/>
    </xf>
    <xf numFmtId="165" fontId="15" fillId="0" borderId="15" xfId="4" applyFont="1" applyBorder="1" applyAlignment="1">
      <alignment horizontal="left" vertical="center" wrapText="1"/>
    </xf>
    <xf numFmtId="165" fontId="15" fillId="0" borderId="16" xfId="4" applyFont="1" applyBorder="1" applyAlignment="1">
      <alignment horizontal="left" vertical="center" wrapText="1"/>
    </xf>
    <xf numFmtId="165" fontId="15" fillId="0" borderId="14" xfId="4" applyFont="1" applyBorder="1" applyAlignment="1">
      <alignment horizontal="left" vertical="center" wrapText="1"/>
    </xf>
    <xf numFmtId="165" fontId="11" fillId="0" borderId="1" xfId="4" applyFont="1" applyBorder="1" applyAlignment="1">
      <alignment horizontal="left" vertical="center"/>
    </xf>
    <xf numFmtId="165" fontId="12" fillId="0" borderId="1" xfId="4" applyFont="1" applyBorder="1" applyAlignment="1">
      <alignment horizontal="left" vertical="center" wrapText="1"/>
    </xf>
    <xf numFmtId="165" fontId="10" fillId="0" borderId="1" xfId="4" applyFont="1" applyBorder="1" applyAlignment="1">
      <alignment horizontal="left" vertical="center" wrapText="1"/>
    </xf>
    <xf numFmtId="165" fontId="9" fillId="0" borderId="15" xfId="4" applyFont="1" applyBorder="1" applyAlignment="1">
      <alignment horizontal="left" vertical="center"/>
    </xf>
    <xf numFmtId="165" fontId="9" fillId="0" borderId="16" xfId="4" applyFont="1" applyBorder="1" applyAlignment="1">
      <alignment horizontal="left" vertical="center"/>
    </xf>
    <xf numFmtId="165" fontId="9" fillId="0" borderId="14" xfId="4" applyFont="1" applyBorder="1" applyAlignment="1">
      <alignment horizontal="left" vertical="center"/>
    </xf>
    <xf numFmtId="165" fontId="15" fillId="0" borderId="1" xfId="4" applyFont="1" applyBorder="1" applyAlignment="1">
      <alignment vertical="center"/>
    </xf>
    <xf numFmtId="165" fontId="16" fillId="0" borderId="15" xfId="4" applyFont="1" applyBorder="1" applyAlignment="1">
      <alignment horizontal="left" vertical="center" wrapText="1"/>
    </xf>
    <xf numFmtId="165" fontId="16" fillId="0" borderId="16" xfId="4" applyFont="1" applyBorder="1" applyAlignment="1">
      <alignment horizontal="left" vertical="center" wrapText="1"/>
    </xf>
    <xf numFmtId="165" fontId="16" fillId="0" borderId="14" xfId="4" applyFont="1" applyBorder="1" applyAlignment="1">
      <alignment horizontal="left" vertical="center" wrapText="1"/>
    </xf>
    <xf numFmtId="165" fontId="11" fillId="6" borderId="1" xfId="4" applyFont="1" applyFill="1" applyBorder="1" applyAlignment="1">
      <alignment horizontal="left" vertical="top"/>
    </xf>
    <xf numFmtId="165" fontId="12" fillId="0" borderId="15" xfId="4" applyFont="1" applyBorder="1" applyAlignment="1">
      <alignment horizontal="left" vertical="center"/>
    </xf>
    <xf numFmtId="165" fontId="12" fillId="0" borderId="14" xfId="4" applyFont="1" applyBorder="1" applyAlignment="1">
      <alignment horizontal="left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2" fillId="7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 applyProtection="1">
      <alignment horizontal="center" vertical="top"/>
      <protection locked="0"/>
    </xf>
    <xf numFmtId="0" fontId="2" fillId="0" borderId="7" xfId="0" applyFont="1" applyBorder="1" applyAlignment="1" applyProtection="1">
      <alignment horizontal="center" vertical="top"/>
      <protection locked="0"/>
    </xf>
    <xf numFmtId="0" fontId="2" fillId="0" borderId="5" xfId="0" applyFont="1" applyBorder="1" applyAlignment="1" applyProtection="1">
      <alignment horizontal="center" vertical="top"/>
      <protection locked="0"/>
    </xf>
    <xf numFmtId="0" fontId="2" fillId="7" borderId="1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9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</cellXfs>
  <cellStyles count="6">
    <cellStyle name="Excel Built-in Normal" xfId="2" xr:uid="{00000000-0005-0000-0000-000000000000}"/>
    <cellStyle name="Excel Built-in Normal 1" xfId="4" xr:uid="{00000000-0005-0000-0000-000001000000}"/>
    <cellStyle name="Excel Built-in Normal 2" xfId="5" xr:uid="{00000000-0005-0000-0000-000002000000}"/>
    <cellStyle name="Normal" xfId="0" builtinId="0"/>
    <cellStyle name="Normal 2" xfId="3" xr:uid="{00000000-0005-0000-0000-000004000000}"/>
    <cellStyle name="Normal 3" xfId="1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K39"/>
  <sheetViews>
    <sheetView tabSelected="1" view="pageBreakPreview" zoomScaleNormal="100" zoomScaleSheetLayoutView="100" workbookViewId="0">
      <selection activeCell="B25" sqref="B25:D25"/>
    </sheetView>
  </sheetViews>
  <sheetFormatPr defaultColWidth="8.7265625" defaultRowHeight="14"/>
  <cols>
    <col min="1" max="1" width="2.453125" style="46" customWidth="1"/>
    <col min="2" max="2" width="7.1796875" style="70" customWidth="1"/>
    <col min="3" max="3" width="36.7265625" style="70" customWidth="1"/>
    <col min="4" max="4" width="18.7265625" style="70" customWidth="1"/>
    <col min="5" max="5" width="15.1796875" style="92" customWidth="1"/>
    <col min="6" max="6" width="18.7265625" style="70" customWidth="1"/>
    <col min="7" max="257" width="9.26953125" style="70" customWidth="1"/>
    <col min="258" max="258" width="19" style="70" customWidth="1"/>
    <col min="259" max="259" width="34.1796875" style="70" customWidth="1"/>
    <col min="260" max="260" width="18.7265625" style="70" customWidth="1"/>
    <col min="261" max="261" width="13.81640625" style="70" customWidth="1"/>
    <col min="262" max="262" width="15.1796875" style="70" customWidth="1"/>
    <col min="263" max="513" width="9.26953125" style="70" customWidth="1"/>
    <col min="514" max="514" width="19" style="70" customWidth="1"/>
    <col min="515" max="515" width="34.1796875" style="70" customWidth="1"/>
    <col min="516" max="516" width="18.7265625" style="70" customWidth="1"/>
    <col min="517" max="517" width="13.81640625" style="70" customWidth="1"/>
    <col min="518" max="518" width="15.1796875" style="70" customWidth="1"/>
    <col min="519" max="769" width="9.26953125" style="70" customWidth="1"/>
    <col min="770" max="770" width="19" style="70" customWidth="1"/>
    <col min="771" max="771" width="34.1796875" style="70" customWidth="1"/>
    <col min="772" max="772" width="18.7265625" style="70" customWidth="1"/>
    <col min="773" max="773" width="13.81640625" style="70" customWidth="1"/>
    <col min="774" max="774" width="15.1796875" style="70" customWidth="1"/>
    <col min="775" max="1025" width="9.26953125" style="70" customWidth="1"/>
    <col min="1026" max="16384" width="8.7265625" style="46"/>
  </cols>
  <sheetData>
    <row r="1" spans="2:6" s="46" customFormat="1">
      <c r="B1" s="130" t="s">
        <v>74</v>
      </c>
      <c r="C1" s="130"/>
      <c r="D1" s="130"/>
      <c r="E1" s="130"/>
      <c r="F1" s="130"/>
    </row>
    <row r="2" spans="2:6" s="46" customFormat="1">
      <c r="B2" s="130" t="s">
        <v>113</v>
      </c>
      <c r="C2" s="130"/>
      <c r="D2" s="130"/>
      <c r="E2" s="130"/>
      <c r="F2" s="130"/>
    </row>
    <row r="3" spans="2:6" s="46" customFormat="1">
      <c r="B3" s="130" t="s">
        <v>36</v>
      </c>
      <c r="C3" s="130"/>
      <c r="D3" s="130"/>
      <c r="E3" s="130"/>
      <c r="F3" s="130"/>
    </row>
    <row r="4" spans="2:6" s="46" customFormat="1">
      <c r="B4" s="130" t="s">
        <v>114</v>
      </c>
      <c r="C4" s="130"/>
      <c r="D4" s="130"/>
      <c r="E4" s="130"/>
      <c r="F4" s="130"/>
    </row>
    <row r="5" spans="2:6" s="46" customFormat="1">
      <c r="B5" s="130" t="s">
        <v>115</v>
      </c>
      <c r="C5" s="130"/>
      <c r="D5" s="130"/>
      <c r="E5" s="130"/>
      <c r="F5" s="130"/>
    </row>
    <row r="6" spans="2:6" s="46" customFormat="1">
      <c r="B6" s="130" t="s">
        <v>35</v>
      </c>
      <c r="C6" s="130"/>
      <c r="D6" s="130"/>
      <c r="E6" s="130"/>
      <c r="F6" s="130"/>
    </row>
    <row r="7" spans="2:6" s="46" customFormat="1" ht="13.5" customHeight="1">
      <c r="B7" s="47"/>
      <c r="C7" s="47"/>
      <c r="D7" s="47"/>
      <c r="E7" s="47"/>
      <c r="F7" s="47"/>
    </row>
    <row r="8" spans="2:6" s="46" customFormat="1" ht="28">
      <c r="B8" s="48" t="s">
        <v>37</v>
      </c>
      <c r="C8" s="48" t="s">
        <v>38</v>
      </c>
      <c r="D8" s="49" t="s">
        <v>39</v>
      </c>
      <c r="E8" s="49" t="s">
        <v>40</v>
      </c>
      <c r="F8" s="49" t="s">
        <v>41</v>
      </c>
    </row>
    <row r="9" spans="2:6" s="46" customFormat="1">
      <c r="B9" s="50">
        <v>1</v>
      </c>
      <c r="C9" s="51" t="s">
        <v>42</v>
      </c>
      <c r="D9" s="52">
        <f>URS!O49</f>
        <v>1.2332563510392609</v>
      </c>
      <c r="E9" s="53">
        <v>0.9</v>
      </c>
      <c r="F9" s="52">
        <f t="shared" ref="F9:F14" si="0">D9*E9</f>
        <v>1.1099307159353349</v>
      </c>
    </row>
    <row r="10" spans="2:6" s="46" customFormat="1">
      <c r="B10" s="50">
        <v>2</v>
      </c>
      <c r="C10" s="57" t="s">
        <v>61</v>
      </c>
      <c r="D10" s="52">
        <f>URS!O50</f>
        <v>8.7182448036951499</v>
      </c>
      <c r="E10" s="58">
        <v>0.8</v>
      </c>
      <c r="F10" s="59">
        <f t="shared" si="0"/>
        <v>6.9745958429561199</v>
      </c>
    </row>
    <row r="11" spans="2:6" s="46" customFormat="1">
      <c r="B11" s="50">
        <v>3</v>
      </c>
      <c r="C11" s="51" t="s">
        <v>81</v>
      </c>
      <c r="D11" s="52">
        <v>5</v>
      </c>
      <c r="E11" s="53">
        <v>0.8</v>
      </c>
      <c r="F11" s="114">
        <f t="shared" ref="F11" si="1">D11*E11</f>
        <v>4</v>
      </c>
    </row>
    <row r="12" spans="2:6" s="46" customFormat="1">
      <c r="B12" s="50">
        <v>3</v>
      </c>
      <c r="C12" s="51" t="s">
        <v>43</v>
      </c>
      <c r="D12" s="52">
        <f>URS!O51</f>
        <v>0.82448036951501147</v>
      </c>
      <c r="E12" s="53">
        <v>0.9</v>
      </c>
      <c r="F12" s="114">
        <f t="shared" si="0"/>
        <v>0.74203233256351031</v>
      </c>
    </row>
    <row r="13" spans="2:6" s="46" customFormat="1">
      <c r="B13" s="50">
        <v>4</v>
      </c>
      <c r="C13" s="57" t="s">
        <v>62</v>
      </c>
      <c r="D13" s="52">
        <f>URS!O52</f>
        <v>13.568129330254042</v>
      </c>
      <c r="E13" s="58">
        <v>0.8</v>
      </c>
      <c r="F13" s="59">
        <f t="shared" si="0"/>
        <v>10.854503464203233</v>
      </c>
    </row>
    <row r="14" spans="2:6" s="46" customFormat="1">
      <c r="B14" s="50">
        <v>5</v>
      </c>
      <c r="C14" s="54" t="s">
        <v>59</v>
      </c>
      <c r="D14" s="55">
        <v>34</v>
      </c>
      <c r="E14" s="56">
        <v>0.8</v>
      </c>
      <c r="F14" s="59">
        <f t="shared" si="0"/>
        <v>27.200000000000003</v>
      </c>
    </row>
    <row r="15" spans="2:6" s="46" customFormat="1">
      <c r="B15" s="60"/>
      <c r="C15" s="54"/>
      <c r="D15" s="50"/>
      <c r="E15" s="50"/>
      <c r="F15" s="61"/>
    </row>
    <row r="16" spans="2:6" s="46" customFormat="1">
      <c r="B16" s="60"/>
      <c r="C16" s="62" t="s">
        <v>29</v>
      </c>
      <c r="D16" s="61">
        <f>SUM(D9:D14)</f>
        <v>63.344110854503462</v>
      </c>
      <c r="E16" s="63"/>
      <c r="F16" s="61">
        <f>SUM(F9:F14)</f>
        <v>50.881062355658202</v>
      </c>
    </row>
    <row r="17" spans="2:1025">
      <c r="B17" s="60"/>
      <c r="C17" s="62"/>
      <c r="D17" s="61"/>
      <c r="E17" s="63"/>
      <c r="F17" s="61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</row>
    <row r="18" spans="2:1025" s="68" customFormat="1">
      <c r="B18" s="131" t="s">
        <v>44</v>
      </c>
      <c r="C18" s="132"/>
      <c r="D18" s="61">
        <f>D16</f>
        <v>63.344110854503462</v>
      </c>
      <c r="E18" s="48" t="s">
        <v>31</v>
      </c>
      <c r="F18" s="61">
        <f>SUM(F16)</f>
        <v>50.881062355658202</v>
      </c>
      <c r="G18" s="64"/>
      <c r="H18" s="64"/>
      <c r="I18" s="64"/>
      <c r="J18" s="65"/>
      <c r="K18" s="66"/>
      <c r="L18" s="67"/>
    </row>
    <row r="19" spans="2:1025" s="68" customFormat="1">
      <c r="B19" s="115" t="s">
        <v>108</v>
      </c>
      <c r="C19" s="116"/>
      <c r="D19" s="61">
        <f>D18*5%</f>
        <v>3.1672055427251733</v>
      </c>
      <c r="E19" s="48"/>
      <c r="F19" s="61">
        <f>F18*5%</f>
        <v>2.5440531177829104</v>
      </c>
      <c r="G19" s="64"/>
      <c r="H19" s="64"/>
      <c r="I19" s="64"/>
      <c r="J19" s="65"/>
      <c r="K19" s="66"/>
      <c r="L19" s="67"/>
    </row>
    <row r="20" spans="2:1025" s="68" customFormat="1">
      <c r="B20" s="131" t="s">
        <v>30</v>
      </c>
      <c r="C20" s="132"/>
      <c r="D20" s="61">
        <f>D18+D19</f>
        <v>66.51131639722864</v>
      </c>
      <c r="E20" s="48" t="s">
        <v>31</v>
      </c>
      <c r="F20" s="61">
        <f>F18+F19</f>
        <v>53.42511547344111</v>
      </c>
      <c r="G20" s="64"/>
      <c r="H20" s="64"/>
      <c r="I20" s="64"/>
      <c r="J20" s="65"/>
      <c r="K20" s="66"/>
      <c r="L20" s="67"/>
    </row>
    <row r="21" spans="2:1025" s="101" customFormat="1" ht="15.5">
      <c r="B21" s="126" t="s">
        <v>109</v>
      </c>
      <c r="C21" s="126"/>
      <c r="D21" s="126"/>
      <c r="E21" s="83" t="s">
        <v>31</v>
      </c>
      <c r="F21" s="61">
        <f>F20*0.8</f>
        <v>42.740092378752891</v>
      </c>
      <c r="G21" s="102"/>
      <c r="H21" s="103"/>
      <c r="I21" s="104"/>
      <c r="J21" s="105"/>
    </row>
    <row r="22" spans="2:1025" s="101" customFormat="1" ht="15.5">
      <c r="B22" s="126" t="s">
        <v>70</v>
      </c>
      <c r="C22" s="126"/>
      <c r="D22" s="126"/>
      <c r="E22" s="83" t="s">
        <v>45</v>
      </c>
      <c r="F22" s="61">
        <f>F21/0.9</f>
        <v>47.488991531947654</v>
      </c>
      <c r="G22" s="102"/>
      <c r="H22" s="103"/>
      <c r="I22" s="104"/>
      <c r="J22" s="105"/>
    </row>
    <row r="23" spans="2:1025" s="101" customFormat="1" ht="37.5" customHeight="1">
      <c r="B23" s="122" t="s">
        <v>106</v>
      </c>
      <c r="C23" s="122"/>
      <c r="D23" s="122"/>
      <c r="E23" s="106"/>
      <c r="F23" s="107"/>
      <c r="G23" s="108"/>
      <c r="H23" s="109"/>
      <c r="I23" s="110"/>
      <c r="J23" s="111"/>
    </row>
    <row r="24" spans="2:1025" s="68" customFormat="1">
      <c r="B24" s="71"/>
      <c r="C24" s="71"/>
      <c r="D24" s="71"/>
      <c r="E24" s="72"/>
      <c r="F24" s="73"/>
      <c r="G24" s="74"/>
      <c r="H24" s="74"/>
      <c r="I24" s="74"/>
      <c r="J24" s="75"/>
      <c r="K24" s="76"/>
      <c r="L24" s="77"/>
    </row>
    <row r="25" spans="2:1025" s="68" customFormat="1">
      <c r="B25" s="120" t="s">
        <v>46</v>
      </c>
      <c r="C25" s="120"/>
      <c r="D25" s="120"/>
      <c r="E25" s="78"/>
      <c r="F25" s="72"/>
      <c r="G25" s="74"/>
      <c r="H25" s="74"/>
      <c r="I25" s="74"/>
      <c r="J25" s="75"/>
      <c r="K25" s="76"/>
      <c r="L25" s="77"/>
    </row>
    <row r="26" spans="2:1025" s="68" customFormat="1">
      <c r="B26" s="121" t="s">
        <v>47</v>
      </c>
      <c r="C26" s="121"/>
      <c r="D26" s="121"/>
      <c r="E26" s="52">
        <f>F12+F13</f>
        <v>11.596535796766744</v>
      </c>
      <c r="F26" s="50" t="s">
        <v>31</v>
      </c>
      <c r="G26" s="80"/>
      <c r="H26" s="80"/>
      <c r="I26" s="80"/>
      <c r="J26" s="65"/>
      <c r="K26" s="66"/>
      <c r="L26" s="67"/>
    </row>
    <row r="27" spans="2:1025" s="101" customFormat="1" ht="15.5">
      <c r="B27" s="126" t="s">
        <v>109</v>
      </c>
      <c r="C27" s="126"/>
      <c r="D27" s="126"/>
      <c r="E27" s="52">
        <f>E26*0.8</f>
        <v>9.2772286374133959</v>
      </c>
      <c r="F27" s="50" t="s">
        <v>31</v>
      </c>
      <c r="G27" s="102"/>
      <c r="H27" s="103"/>
      <c r="I27" s="104"/>
      <c r="J27" s="105"/>
    </row>
    <row r="28" spans="2:1025" s="68" customFormat="1">
      <c r="B28" s="121" t="s">
        <v>116</v>
      </c>
      <c r="C28" s="121"/>
      <c r="D28" s="121"/>
      <c r="E28" s="79">
        <f>E27/0.8</f>
        <v>11.596535796766744</v>
      </c>
      <c r="F28" s="50" t="s">
        <v>45</v>
      </c>
      <c r="G28" s="64"/>
      <c r="H28" s="64"/>
      <c r="I28" s="64"/>
      <c r="J28" s="65"/>
      <c r="K28" s="66"/>
      <c r="L28" s="67"/>
    </row>
    <row r="29" spans="2:1025" s="68" customFormat="1">
      <c r="B29" s="121" t="s">
        <v>117</v>
      </c>
      <c r="C29" s="121"/>
      <c r="D29" s="121"/>
      <c r="E29" s="79">
        <f>E28/0.7</f>
        <v>16.56647970966678</v>
      </c>
      <c r="F29" s="50" t="s">
        <v>45</v>
      </c>
      <c r="G29" s="80"/>
      <c r="H29" s="80"/>
      <c r="I29" s="80"/>
      <c r="J29" s="65"/>
      <c r="K29" s="76"/>
      <c r="L29" s="77"/>
    </row>
    <row r="30" spans="2:1025" ht="33" customHeight="1">
      <c r="B30" s="122" t="s">
        <v>69</v>
      </c>
      <c r="C30" s="122"/>
      <c r="D30" s="122"/>
      <c r="E30" s="48"/>
      <c r="F30" s="69"/>
    </row>
    <row r="31" spans="2:1025">
      <c r="B31" s="81"/>
      <c r="C31" s="81"/>
      <c r="D31" s="61"/>
      <c r="E31" s="48"/>
      <c r="F31" s="82"/>
    </row>
    <row r="32" spans="2:1025" customFormat="1" ht="15.5">
      <c r="B32" s="123" t="s">
        <v>48</v>
      </c>
      <c r="C32" s="124"/>
      <c r="D32" s="125"/>
      <c r="E32" s="83"/>
      <c r="F32" s="84"/>
    </row>
    <row r="33" spans="2:6" customFormat="1" ht="15.5">
      <c r="B33" s="117" t="s">
        <v>49</v>
      </c>
      <c r="C33" s="118"/>
      <c r="D33" s="119"/>
      <c r="E33" s="85">
        <v>20</v>
      </c>
      <c r="F33" s="86" t="s">
        <v>45</v>
      </c>
    </row>
    <row r="34" spans="2:6" customFormat="1" ht="15.5">
      <c r="B34" s="117" t="s">
        <v>50</v>
      </c>
      <c r="C34" s="118"/>
      <c r="D34" s="119"/>
      <c r="E34" s="87">
        <v>42</v>
      </c>
      <c r="F34" s="86" t="s">
        <v>51</v>
      </c>
    </row>
    <row r="35" spans="2:6" customFormat="1" ht="15.5">
      <c r="B35" s="117" t="s">
        <v>52</v>
      </c>
      <c r="C35" s="118"/>
      <c r="D35" s="119"/>
      <c r="E35" s="87">
        <v>12</v>
      </c>
      <c r="F35" s="86" t="s">
        <v>53</v>
      </c>
    </row>
    <row r="36" spans="2:6" customFormat="1" ht="15.5">
      <c r="B36" s="117" t="s">
        <v>54</v>
      </c>
      <c r="C36" s="118"/>
      <c r="D36" s="119"/>
      <c r="E36" s="88">
        <v>0.5</v>
      </c>
      <c r="F36" s="86" t="s">
        <v>55</v>
      </c>
    </row>
    <row r="37" spans="2:6" customFormat="1" ht="15.5">
      <c r="B37" s="123" t="s">
        <v>48</v>
      </c>
      <c r="C37" s="124"/>
      <c r="D37" s="125"/>
      <c r="E37" s="87">
        <f>(E33*1000*E36)/(E34*E35)*1.5</f>
        <v>29.761904761904763</v>
      </c>
      <c r="F37" s="86" t="s">
        <v>56</v>
      </c>
    </row>
    <row r="38" spans="2:6" customFormat="1" ht="15.5">
      <c r="B38" s="127" t="s">
        <v>118</v>
      </c>
      <c r="C38" s="128"/>
      <c r="D38" s="129"/>
      <c r="E38" s="83"/>
      <c r="F38" s="84"/>
    </row>
    <row r="39" spans="2:6" customFormat="1" ht="15.5">
      <c r="B39" s="89"/>
      <c r="C39" s="89"/>
      <c r="D39" s="90"/>
      <c r="E39" s="83"/>
      <c r="F39" s="91"/>
    </row>
  </sheetData>
  <mergeCells count="24">
    <mergeCell ref="B21:D21"/>
    <mergeCell ref="B22:D22"/>
    <mergeCell ref="B23:D23"/>
    <mergeCell ref="B18:C18"/>
    <mergeCell ref="B20:C20"/>
    <mergeCell ref="B6:F6"/>
    <mergeCell ref="B1:F1"/>
    <mergeCell ref="B2:F2"/>
    <mergeCell ref="B3:F3"/>
    <mergeCell ref="B4:F4"/>
    <mergeCell ref="B5:F5"/>
    <mergeCell ref="B34:D34"/>
    <mergeCell ref="B35:D35"/>
    <mergeCell ref="B36:D36"/>
    <mergeCell ref="B37:D37"/>
    <mergeCell ref="B38:D38"/>
    <mergeCell ref="B33:D33"/>
    <mergeCell ref="B25:D25"/>
    <mergeCell ref="B26:D26"/>
    <mergeCell ref="B28:D28"/>
    <mergeCell ref="B29:D29"/>
    <mergeCell ref="B30:D30"/>
    <mergeCell ref="B32:D32"/>
    <mergeCell ref="B27:D27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3"/>
  <sheetViews>
    <sheetView zoomScale="78" zoomScaleNormal="78" zoomScaleSheetLayoutView="78" workbookViewId="0">
      <pane xSplit="2" ySplit="11" topLeftCell="L45" activePane="bottomRight" state="frozen"/>
      <selection pane="topRight" activeCell="C1" sqref="C1"/>
      <selection pane="bottomLeft" activeCell="A11" sqref="A11"/>
      <selection pane="bottomRight" activeCell="U48" sqref="U48"/>
    </sheetView>
  </sheetViews>
  <sheetFormatPr defaultColWidth="9.1796875" defaultRowHeight="14"/>
  <cols>
    <col min="1" max="1" width="7.54296875" style="1" customWidth="1"/>
    <col min="2" max="2" width="32" style="2" customWidth="1"/>
    <col min="3" max="3" width="7.1796875" style="2" customWidth="1"/>
    <col min="4" max="4" width="6.54296875" style="2" customWidth="1"/>
    <col min="5" max="5" width="5.7265625" style="2" customWidth="1"/>
    <col min="6" max="6" width="9.1796875" style="1" customWidth="1"/>
    <col min="7" max="7" width="10.453125" style="1" customWidth="1"/>
    <col min="8" max="8" width="7.7265625" style="1" customWidth="1"/>
    <col min="9" max="13" width="9.1796875" style="25" customWidth="1"/>
    <col min="14" max="14" width="9.1796875" style="44" customWidth="1"/>
    <col min="15" max="18" width="9.1796875" style="25" customWidth="1"/>
    <col min="19" max="19" width="11.1796875" style="1" customWidth="1"/>
    <col min="20" max="21" width="11" style="2" customWidth="1"/>
    <col min="22" max="22" width="8.453125" style="40" customWidth="1"/>
    <col min="23" max="23" width="8.1796875" style="2" customWidth="1"/>
    <col min="24" max="16384" width="9.1796875" style="2"/>
  </cols>
  <sheetData>
    <row r="1" spans="1:29" s="7" customFormat="1">
      <c r="A1" s="5"/>
      <c r="B1" s="6" t="s">
        <v>1</v>
      </c>
      <c r="C1" s="6"/>
      <c r="D1" s="6"/>
      <c r="E1" s="6"/>
      <c r="F1" s="8"/>
      <c r="G1" s="6"/>
      <c r="H1" s="6"/>
      <c r="I1" s="6"/>
      <c r="J1" s="6"/>
      <c r="K1" s="6"/>
      <c r="L1" s="21"/>
      <c r="M1" s="21"/>
      <c r="N1" s="41"/>
      <c r="O1" s="21"/>
      <c r="P1" s="21"/>
      <c r="Q1" s="21"/>
      <c r="R1" s="21"/>
      <c r="S1" s="8"/>
      <c r="T1" s="8"/>
      <c r="U1" s="8"/>
      <c r="V1" s="8"/>
    </row>
    <row r="2" spans="1:29" s="7" customFormat="1">
      <c r="A2" s="5"/>
      <c r="B2" s="6" t="s">
        <v>0</v>
      </c>
      <c r="C2" s="6"/>
      <c r="D2" s="6"/>
      <c r="E2" s="6"/>
      <c r="F2" s="8"/>
      <c r="G2" s="6" t="s">
        <v>110</v>
      </c>
      <c r="H2" s="6"/>
      <c r="I2" s="6"/>
      <c r="J2" s="21"/>
      <c r="K2" s="21"/>
      <c r="L2" s="21"/>
      <c r="M2" s="21"/>
      <c r="N2" s="41"/>
      <c r="O2" s="21"/>
      <c r="P2" s="21"/>
      <c r="Q2" s="21"/>
      <c r="R2" s="21"/>
      <c r="S2" s="8"/>
      <c r="T2" s="8"/>
      <c r="U2" s="8"/>
      <c r="V2" s="8"/>
    </row>
    <row r="3" spans="1:29" s="7" customFormat="1">
      <c r="A3" s="5"/>
      <c r="B3" s="6" t="s">
        <v>2</v>
      </c>
      <c r="C3" s="6"/>
      <c r="D3" s="6"/>
      <c r="E3" s="6"/>
      <c r="F3" s="8"/>
      <c r="G3" s="6" t="s">
        <v>33</v>
      </c>
      <c r="H3" s="6"/>
      <c r="I3" s="21"/>
      <c r="J3" s="21"/>
      <c r="K3" s="21"/>
      <c r="L3" s="21"/>
      <c r="M3" s="21"/>
      <c r="N3" s="41"/>
      <c r="O3" s="21"/>
      <c r="P3" s="21"/>
      <c r="Q3" s="21"/>
      <c r="R3" s="21"/>
      <c r="S3" s="8"/>
      <c r="T3" s="8"/>
      <c r="U3" s="8"/>
    </row>
    <row r="4" spans="1:29" s="7" customFormat="1">
      <c r="A4" s="5"/>
      <c r="B4" s="6" t="s">
        <v>32</v>
      </c>
      <c r="C4" s="6"/>
      <c r="D4" s="6"/>
      <c r="E4" s="6"/>
      <c r="F4" s="8"/>
      <c r="G4" s="139" t="s">
        <v>111</v>
      </c>
      <c r="H4" s="139"/>
      <c r="I4" s="139"/>
      <c r="J4" s="21"/>
      <c r="K4" s="21"/>
      <c r="L4" s="21"/>
      <c r="M4" s="21"/>
      <c r="N4" s="41"/>
      <c r="O4" s="21"/>
      <c r="P4" s="21"/>
      <c r="Q4" s="21"/>
      <c r="R4" s="21"/>
      <c r="S4" s="8"/>
      <c r="T4" s="8"/>
      <c r="U4" s="8"/>
      <c r="V4" s="8"/>
    </row>
    <row r="5" spans="1:29" s="7" customFormat="1">
      <c r="A5" s="5"/>
      <c r="B5" s="6" t="s">
        <v>3</v>
      </c>
      <c r="C5" s="6"/>
      <c r="D5" s="6"/>
      <c r="E5" s="6"/>
      <c r="F5" s="8"/>
      <c r="G5" s="6" t="s">
        <v>112</v>
      </c>
      <c r="H5" s="6"/>
      <c r="I5" s="21"/>
      <c r="J5" s="21"/>
      <c r="K5" s="21"/>
      <c r="L5" s="21"/>
      <c r="M5" s="21"/>
      <c r="N5" s="41"/>
      <c r="O5" s="21"/>
      <c r="P5" s="21"/>
      <c r="Q5" s="21"/>
      <c r="R5" s="21"/>
      <c r="S5" s="8"/>
      <c r="T5" s="8"/>
      <c r="U5" s="8"/>
      <c r="V5" s="6"/>
    </row>
    <row r="6" spans="1:29" s="7" customFormat="1">
      <c r="A6" s="5"/>
      <c r="B6" s="6" t="s">
        <v>4</v>
      </c>
      <c r="C6" s="6"/>
      <c r="D6" s="6"/>
      <c r="E6" s="6"/>
      <c r="F6" s="8"/>
      <c r="G6" s="9" t="s">
        <v>34</v>
      </c>
      <c r="H6" s="5"/>
      <c r="I6" s="21"/>
      <c r="J6" s="21"/>
      <c r="K6" s="21"/>
      <c r="L6" s="21"/>
      <c r="M6" s="21"/>
      <c r="N6" s="41"/>
      <c r="O6" s="21"/>
      <c r="P6" s="21"/>
      <c r="Q6" s="21"/>
      <c r="R6" s="21"/>
      <c r="S6" s="8"/>
      <c r="T6" s="8"/>
      <c r="U6" s="8"/>
      <c r="V6" s="6"/>
    </row>
    <row r="7" spans="1:29" s="7" customFormat="1" ht="14.5" thickBot="1">
      <c r="A7" s="5"/>
      <c r="F7" s="5"/>
      <c r="G7" s="5"/>
      <c r="H7" s="5"/>
      <c r="I7" s="21"/>
      <c r="J7" s="21"/>
      <c r="K7" s="21"/>
      <c r="L7" s="21"/>
      <c r="M7" s="21"/>
      <c r="N7" s="41"/>
      <c r="O7" s="21"/>
      <c r="P7" s="21"/>
      <c r="Q7" s="21"/>
      <c r="R7" s="21"/>
      <c r="S7" s="5"/>
      <c r="V7" s="98"/>
    </row>
    <row r="8" spans="1:29" s="7" customFormat="1" ht="15" customHeight="1" thickBot="1">
      <c r="A8" s="5"/>
      <c r="F8" s="5"/>
      <c r="G8" s="5"/>
      <c r="H8" s="5"/>
      <c r="I8" s="142" t="s">
        <v>5</v>
      </c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1" t="s">
        <v>6</v>
      </c>
      <c r="Y8" s="141"/>
      <c r="Z8" s="141"/>
      <c r="AA8" s="141"/>
      <c r="AB8" s="141"/>
      <c r="AC8" s="8"/>
    </row>
    <row r="9" spans="1:29" s="10" customFormat="1" ht="45" customHeight="1">
      <c r="A9" s="146" t="s">
        <v>7</v>
      </c>
      <c r="B9" s="148" t="s">
        <v>8</v>
      </c>
      <c r="C9" s="152" t="s">
        <v>60</v>
      </c>
      <c r="D9" s="152"/>
      <c r="E9" s="152"/>
      <c r="F9" s="152" t="s">
        <v>9</v>
      </c>
      <c r="G9" s="152"/>
      <c r="H9" s="150" t="s">
        <v>10</v>
      </c>
      <c r="I9" s="137" t="s">
        <v>11</v>
      </c>
      <c r="J9" s="22" t="s">
        <v>21</v>
      </c>
      <c r="K9" s="22" t="s">
        <v>22</v>
      </c>
      <c r="L9" s="22" t="s">
        <v>25</v>
      </c>
      <c r="M9" s="22" t="s">
        <v>23</v>
      </c>
      <c r="N9" s="22" t="s">
        <v>23</v>
      </c>
      <c r="O9" s="135" t="s">
        <v>27</v>
      </c>
      <c r="P9" s="136"/>
      <c r="Q9" s="135" t="s">
        <v>28</v>
      </c>
      <c r="R9" s="136"/>
      <c r="S9" s="144" t="s">
        <v>64</v>
      </c>
      <c r="T9" s="145"/>
      <c r="U9" s="99" t="s">
        <v>97</v>
      </c>
      <c r="V9" s="99" t="s">
        <v>96</v>
      </c>
      <c r="W9" s="112" t="s">
        <v>73</v>
      </c>
      <c r="X9" s="140" t="s">
        <v>12</v>
      </c>
      <c r="Y9" s="140" t="s">
        <v>67</v>
      </c>
      <c r="Z9" s="99" t="s">
        <v>63</v>
      </c>
      <c r="AA9" s="140" t="s">
        <v>13</v>
      </c>
      <c r="AB9" s="133" t="s">
        <v>68</v>
      </c>
      <c r="AC9" s="133" t="s">
        <v>105</v>
      </c>
    </row>
    <row r="10" spans="1:29" s="10" customFormat="1">
      <c r="A10" s="147"/>
      <c r="B10" s="149"/>
      <c r="C10" s="153"/>
      <c r="D10" s="153"/>
      <c r="E10" s="153"/>
      <c r="F10" s="153"/>
      <c r="G10" s="153"/>
      <c r="H10" s="151"/>
      <c r="I10" s="138"/>
      <c r="J10" s="23"/>
      <c r="K10" s="23"/>
      <c r="L10" s="23"/>
      <c r="M10" s="23"/>
      <c r="N10" s="23"/>
      <c r="O10" s="23"/>
      <c r="P10" s="23"/>
      <c r="Q10" s="23"/>
      <c r="R10" s="23"/>
      <c r="S10" s="95" t="s">
        <v>65</v>
      </c>
      <c r="T10" s="100" t="s">
        <v>66</v>
      </c>
      <c r="U10" s="95" t="s">
        <v>107</v>
      </c>
      <c r="V10" s="95" t="s">
        <v>14</v>
      </c>
      <c r="W10" s="96" t="s">
        <v>14</v>
      </c>
      <c r="X10" s="140"/>
      <c r="Y10" s="140"/>
      <c r="Z10" s="99"/>
      <c r="AA10" s="140"/>
      <c r="AB10" s="134"/>
      <c r="AC10" s="134"/>
    </row>
    <row r="11" spans="1:29" s="8" customFormat="1">
      <c r="A11" s="11"/>
      <c r="B11" s="12"/>
      <c r="C11" s="12" t="s">
        <v>26</v>
      </c>
      <c r="D11" s="12" t="s">
        <v>19</v>
      </c>
      <c r="E11" s="12" t="s">
        <v>20</v>
      </c>
      <c r="F11" s="12" t="s">
        <v>57</v>
      </c>
      <c r="G11" s="12" t="s">
        <v>58</v>
      </c>
      <c r="H11" s="12" t="s">
        <v>15</v>
      </c>
      <c r="I11" s="24" t="s">
        <v>17</v>
      </c>
      <c r="J11" s="24"/>
      <c r="K11" s="24" t="s">
        <v>24</v>
      </c>
      <c r="L11" s="24"/>
      <c r="M11" s="24" t="s">
        <v>16</v>
      </c>
      <c r="N11" s="24" t="s">
        <v>16</v>
      </c>
      <c r="O11" s="24" t="s">
        <v>16</v>
      </c>
      <c r="P11" s="24" t="s">
        <v>24</v>
      </c>
      <c r="Q11" s="24" t="s">
        <v>16</v>
      </c>
      <c r="R11" s="24" t="s">
        <v>24</v>
      </c>
      <c r="S11" s="97" t="s">
        <v>18</v>
      </c>
      <c r="T11" s="97" t="s">
        <v>18</v>
      </c>
      <c r="U11" s="97"/>
      <c r="V11" s="97"/>
      <c r="W11" s="97"/>
      <c r="X11" s="97" t="s">
        <v>18</v>
      </c>
      <c r="Y11" s="97" t="s">
        <v>18</v>
      </c>
      <c r="Z11" s="97" t="s">
        <v>18</v>
      </c>
      <c r="AA11" s="97" t="s">
        <v>18</v>
      </c>
      <c r="AB11" s="97" t="s">
        <v>18</v>
      </c>
      <c r="AC11" s="97" t="s">
        <v>18</v>
      </c>
    </row>
    <row r="12" spans="1:29">
      <c r="A12" s="15"/>
      <c r="B12" s="13"/>
      <c r="C12" s="28"/>
      <c r="D12" s="28"/>
      <c r="E12" s="17"/>
      <c r="F12" s="16"/>
      <c r="G12" s="16"/>
      <c r="H12" s="4"/>
      <c r="I12" s="19"/>
      <c r="J12" s="26"/>
      <c r="K12" s="19"/>
      <c r="L12" s="19"/>
      <c r="M12" s="26"/>
      <c r="N12" s="38"/>
      <c r="O12" s="19"/>
      <c r="P12" s="19"/>
      <c r="Q12" s="19"/>
      <c r="R12" s="19"/>
      <c r="S12" s="4"/>
      <c r="T12" s="4"/>
      <c r="U12" s="4"/>
      <c r="V12" s="39"/>
      <c r="W12" s="3"/>
      <c r="X12" s="19"/>
      <c r="Y12" s="19"/>
      <c r="Z12" s="19"/>
      <c r="AA12" s="19"/>
      <c r="AB12" s="19"/>
      <c r="AC12" s="19"/>
    </row>
    <row r="13" spans="1:29">
      <c r="A13" s="4"/>
      <c r="B13" s="14"/>
      <c r="C13" s="18"/>
      <c r="D13" s="18"/>
      <c r="E13" s="18"/>
      <c r="F13" s="16"/>
      <c r="G13" s="16"/>
      <c r="H13" s="4"/>
      <c r="I13" s="19"/>
      <c r="J13" s="26"/>
      <c r="K13" s="27"/>
      <c r="L13" s="19"/>
      <c r="M13" s="26"/>
      <c r="N13" s="38"/>
      <c r="O13" s="19"/>
      <c r="P13" s="19"/>
      <c r="Q13" s="19"/>
      <c r="R13" s="19"/>
      <c r="S13" s="4"/>
      <c r="T13" s="4"/>
      <c r="U13" s="4"/>
      <c r="V13" s="4"/>
      <c r="W13" s="19"/>
      <c r="X13" s="19"/>
      <c r="Y13" s="19"/>
      <c r="Z13" s="19"/>
      <c r="AA13" s="19"/>
      <c r="AB13" s="19"/>
      <c r="AC13" s="19"/>
    </row>
    <row r="14" spans="1:29">
      <c r="A14" s="15"/>
      <c r="B14" s="93" t="s">
        <v>98</v>
      </c>
      <c r="C14" s="28"/>
      <c r="D14" s="28"/>
      <c r="E14" s="17"/>
      <c r="F14" s="2"/>
      <c r="G14" s="2"/>
      <c r="H14" s="4"/>
      <c r="I14" s="19"/>
      <c r="J14" s="26"/>
      <c r="K14" s="19"/>
      <c r="L14" s="19"/>
      <c r="M14" s="26"/>
      <c r="N14" s="38"/>
      <c r="O14" s="19"/>
      <c r="P14" s="19"/>
      <c r="Q14" s="19"/>
      <c r="R14" s="19"/>
      <c r="S14" s="4"/>
      <c r="T14" s="4"/>
      <c r="U14" s="4"/>
      <c r="V14" s="4"/>
      <c r="W14" s="3"/>
      <c r="X14" s="19"/>
      <c r="Y14" s="19"/>
      <c r="Z14" s="19"/>
      <c r="AA14" s="19"/>
      <c r="AB14" s="19"/>
      <c r="AC14" s="19"/>
    </row>
    <row r="15" spans="1:29">
      <c r="A15" s="15">
        <v>1</v>
      </c>
      <c r="B15" s="113" t="s">
        <v>103</v>
      </c>
      <c r="C15" s="18">
        <v>5.96</v>
      </c>
      <c r="D15" s="18">
        <v>3</v>
      </c>
      <c r="E15" s="18">
        <v>3</v>
      </c>
      <c r="F15" s="16">
        <f t="shared" ref="F15:F36" si="0">C15*D15</f>
        <v>17.88</v>
      </c>
      <c r="G15" s="16">
        <f>F15*10.76</f>
        <v>192.38879999999997</v>
      </c>
      <c r="H15" s="16">
        <f>E15</f>
        <v>3</v>
      </c>
      <c r="I15" s="19">
        <v>200</v>
      </c>
      <c r="J15" s="26">
        <f t="shared" ref="J15:J44" si="1">(C15*D15)/(E15*(C15+D15))</f>
        <v>0.66517857142857129</v>
      </c>
      <c r="K15" s="19">
        <v>36</v>
      </c>
      <c r="L15" s="19">
        <v>3600</v>
      </c>
      <c r="M15" s="26">
        <f>(F15*I15)/(0.85*0.65*J15*L15)</f>
        <v>2.7028657616892917</v>
      </c>
      <c r="N15" s="38">
        <v>3</v>
      </c>
      <c r="O15" s="19">
        <v>2</v>
      </c>
      <c r="P15" s="19">
        <f>O15*K15</f>
        <v>72</v>
      </c>
      <c r="Q15" s="19">
        <v>1</v>
      </c>
      <c r="R15" s="19">
        <f>Q15*K15</f>
        <v>36</v>
      </c>
      <c r="S15" s="4"/>
      <c r="T15" s="4"/>
      <c r="U15" s="4"/>
      <c r="V15" s="4">
        <v>1</v>
      </c>
      <c r="W15" s="19"/>
      <c r="X15" s="19"/>
      <c r="Y15" s="19"/>
      <c r="Z15" s="19">
        <v>1</v>
      </c>
      <c r="AA15" s="19">
        <v>1</v>
      </c>
      <c r="AB15" s="19">
        <v>1</v>
      </c>
      <c r="AC15" s="19"/>
    </row>
    <row r="16" spans="1:29">
      <c r="A16" s="15">
        <v>2</v>
      </c>
      <c r="B16" s="14" t="s">
        <v>91</v>
      </c>
      <c r="C16" s="18">
        <v>2.1</v>
      </c>
      <c r="D16" s="18">
        <v>2.06</v>
      </c>
      <c r="E16" s="18">
        <v>3</v>
      </c>
      <c r="F16" s="16">
        <f t="shared" si="0"/>
        <v>4.3260000000000005</v>
      </c>
      <c r="G16" s="16">
        <f>F16*10.76</f>
        <v>46.547760000000004</v>
      </c>
      <c r="H16" s="16">
        <f>E16</f>
        <v>3</v>
      </c>
      <c r="I16" s="19">
        <v>200</v>
      </c>
      <c r="J16" s="26">
        <f t="shared" si="1"/>
        <v>0.34663461538461543</v>
      </c>
      <c r="K16" s="19">
        <v>24</v>
      </c>
      <c r="L16" s="19">
        <v>2400</v>
      </c>
      <c r="M16" s="26">
        <f t="shared" ref="M16:M37" si="2">(F16*I16)/(0.85*0.65*J16*L16)</f>
        <v>1.8823529411764706</v>
      </c>
      <c r="N16" s="38">
        <v>1</v>
      </c>
      <c r="O16" s="19">
        <v>0</v>
      </c>
      <c r="P16" s="19">
        <f>O16*K16</f>
        <v>0</v>
      </c>
      <c r="Q16" s="19">
        <v>1</v>
      </c>
      <c r="R16" s="19">
        <f>Q16*K16</f>
        <v>24</v>
      </c>
      <c r="S16" s="4"/>
      <c r="T16" s="4"/>
      <c r="U16" s="4">
        <v>1</v>
      </c>
      <c r="V16" s="4">
        <v>2</v>
      </c>
      <c r="W16" s="19">
        <v>2</v>
      </c>
      <c r="X16" s="19"/>
      <c r="Y16" s="19"/>
      <c r="Z16" s="19">
        <v>1</v>
      </c>
      <c r="AA16" s="19"/>
      <c r="AB16" s="19">
        <v>1</v>
      </c>
      <c r="AC16" s="19"/>
    </row>
    <row r="17" spans="1:29">
      <c r="A17" s="15">
        <v>3</v>
      </c>
      <c r="B17" s="14" t="s">
        <v>90</v>
      </c>
      <c r="C17" s="18">
        <v>2.1</v>
      </c>
      <c r="D17" s="18">
        <v>2.06</v>
      </c>
      <c r="E17" s="18">
        <v>3</v>
      </c>
      <c r="F17" s="16">
        <f t="shared" si="0"/>
        <v>4.3260000000000005</v>
      </c>
      <c r="G17" s="16">
        <f>F17*10.76</f>
        <v>46.547760000000004</v>
      </c>
      <c r="H17" s="16">
        <f>E17</f>
        <v>3</v>
      </c>
      <c r="I17" s="19">
        <v>200</v>
      </c>
      <c r="J17" s="26">
        <f t="shared" si="1"/>
        <v>0.34663461538461543</v>
      </c>
      <c r="K17" s="19">
        <v>24</v>
      </c>
      <c r="L17" s="19">
        <v>2400</v>
      </c>
      <c r="M17" s="26">
        <f t="shared" si="2"/>
        <v>1.8823529411764706</v>
      </c>
      <c r="N17" s="38">
        <v>1</v>
      </c>
      <c r="O17" s="19">
        <v>0</v>
      </c>
      <c r="P17" s="19">
        <f>O17*K17</f>
        <v>0</v>
      </c>
      <c r="Q17" s="19">
        <v>1</v>
      </c>
      <c r="R17" s="19">
        <f>Q17*K17</f>
        <v>24</v>
      </c>
      <c r="S17" s="4"/>
      <c r="T17" s="4"/>
      <c r="U17" s="4"/>
      <c r="V17" s="4">
        <v>2</v>
      </c>
      <c r="W17" s="19"/>
      <c r="X17" s="19"/>
      <c r="Y17" s="19"/>
      <c r="Z17" s="19">
        <v>1</v>
      </c>
      <c r="AA17" s="19"/>
      <c r="AB17" s="19">
        <v>1</v>
      </c>
      <c r="AC17" s="19"/>
    </row>
    <row r="18" spans="1:29">
      <c r="A18" s="15">
        <v>4</v>
      </c>
      <c r="B18" s="113" t="s">
        <v>103</v>
      </c>
      <c r="C18" s="18">
        <v>3</v>
      </c>
      <c r="D18" s="18">
        <v>9.2899999999999991</v>
      </c>
      <c r="E18" s="18">
        <v>3</v>
      </c>
      <c r="F18" s="16">
        <f t="shared" si="0"/>
        <v>27.869999999999997</v>
      </c>
      <c r="G18" s="16">
        <f t="shared" ref="G18:G36" si="3">F18*10.76</f>
        <v>299.88119999999998</v>
      </c>
      <c r="H18" s="16">
        <f>E18</f>
        <v>3</v>
      </c>
      <c r="I18" s="19">
        <v>200</v>
      </c>
      <c r="J18" s="26">
        <f t="shared" si="1"/>
        <v>0.75589910496338486</v>
      </c>
      <c r="K18" s="19">
        <v>36</v>
      </c>
      <c r="L18" s="19">
        <v>3600</v>
      </c>
      <c r="M18" s="26">
        <f t="shared" si="2"/>
        <v>3.7073906485671184</v>
      </c>
      <c r="N18" s="38">
        <v>3</v>
      </c>
      <c r="O18" s="19">
        <v>2</v>
      </c>
      <c r="P18" s="19">
        <f>O18*K18</f>
        <v>72</v>
      </c>
      <c r="Q18" s="19">
        <v>1</v>
      </c>
      <c r="R18" s="19">
        <f>Q18*K18</f>
        <v>36</v>
      </c>
      <c r="S18" s="4"/>
      <c r="T18" s="4"/>
      <c r="U18" s="4"/>
      <c r="V18" s="4">
        <v>2</v>
      </c>
      <c r="W18" s="19"/>
      <c r="X18" s="19"/>
      <c r="Y18" s="19"/>
      <c r="Z18" s="19">
        <v>1</v>
      </c>
      <c r="AA18" s="19">
        <v>1</v>
      </c>
      <c r="AB18" s="19">
        <v>2</v>
      </c>
      <c r="AC18" s="19"/>
    </row>
    <row r="19" spans="1:29">
      <c r="A19" s="15">
        <v>5</v>
      </c>
      <c r="B19" s="14" t="s">
        <v>104</v>
      </c>
      <c r="C19" s="18">
        <v>3.4</v>
      </c>
      <c r="D19" s="18">
        <v>3</v>
      </c>
      <c r="E19" s="18">
        <v>3</v>
      </c>
      <c r="F19" s="16">
        <f t="shared" si="0"/>
        <v>10.199999999999999</v>
      </c>
      <c r="G19" s="16">
        <f t="shared" si="3"/>
        <v>109.752</v>
      </c>
      <c r="H19" s="16">
        <f>E19</f>
        <v>3</v>
      </c>
      <c r="I19" s="19">
        <v>200</v>
      </c>
      <c r="J19" s="26">
        <f t="shared" si="1"/>
        <v>0.53124999999999989</v>
      </c>
      <c r="K19" s="19">
        <v>24</v>
      </c>
      <c r="L19" s="19">
        <v>2400</v>
      </c>
      <c r="M19" s="26">
        <f t="shared" si="2"/>
        <v>2.8959276018099547</v>
      </c>
      <c r="N19" s="38">
        <v>2</v>
      </c>
      <c r="O19" s="19">
        <v>1</v>
      </c>
      <c r="P19" s="19">
        <f>O19*K19</f>
        <v>24</v>
      </c>
      <c r="Q19" s="19">
        <v>1</v>
      </c>
      <c r="R19" s="19">
        <f>Q19*K19</f>
        <v>24</v>
      </c>
      <c r="S19" s="4">
        <v>1</v>
      </c>
      <c r="T19" s="4"/>
      <c r="U19" s="4">
        <v>1</v>
      </c>
      <c r="V19" s="4">
        <v>2</v>
      </c>
      <c r="W19" s="19">
        <v>4</v>
      </c>
      <c r="X19" s="19">
        <v>2</v>
      </c>
      <c r="Y19" s="19">
        <v>1</v>
      </c>
      <c r="Z19" s="19">
        <v>1</v>
      </c>
      <c r="AA19" s="19"/>
      <c r="AB19" s="19">
        <v>1</v>
      </c>
      <c r="AC19" s="19">
        <v>1</v>
      </c>
    </row>
    <row r="20" spans="1:29">
      <c r="A20" s="15">
        <v>6</v>
      </c>
      <c r="B20" s="14" t="s">
        <v>95</v>
      </c>
      <c r="C20" s="18">
        <v>3.2</v>
      </c>
      <c r="D20" s="18">
        <v>3</v>
      </c>
      <c r="E20" s="18">
        <v>3</v>
      </c>
      <c r="F20" s="16">
        <f t="shared" si="0"/>
        <v>9.6000000000000014</v>
      </c>
      <c r="G20" s="16">
        <f t="shared" si="3"/>
        <v>103.29600000000001</v>
      </c>
      <c r="H20" s="16">
        <f t="shared" ref="H20" si="4">E20</f>
        <v>3</v>
      </c>
      <c r="I20" s="19">
        <v>200</v>
      </c>
      <c r="J20" s="26">
        <f t="shared" si="1"/>
        <v>0.5161290322580645</v>
      </c>
      <c r="K20" s="19">
        <v>24</v>
      </c>
      <c r="L20" s="19">
        <v>2400</v>
      </c>
      <c r="M20" s="26">
        <f t="shared" si="2"/>
        <v>2.8054298642533939</v>
      </c>
      <c r="N20" s="38">
        <v>2</v>
      </c>
      <c r="O20" s="19">
        <v>1</v>
      </c>
      <c r="P20" s="19">
        <f t="shared" ref="P20" si="5">O20*K20</f>
        <v>24</v>
      </c>
      <c r="Q20" s="19">
        <v>1</v>
      </c>
      <c r="R20" s="19">
        <f t="shared" ref="R20" si="6">Q20*K20</f>
        <v>24</v>
      </c>
      <c r="S20" s="4"/>
      <c r="T20" s="4"/>
      <c r="U20" s="4"/>
      <c r="V20" s="4">
        <v>2</v>
      </c>
      <c r="W20" s="19"/>
      <c r="X20" s="19"/>
      <c r="Y20" s="19"/>
      <c r="Z20" s="19">
        <v>1</v>
      </c>
      <c r="AA20" s="19"/>
      <c r="AB20" s="19">
        <v>1</v>
      </c>
      <c r="AC20" s="19"/>
    </row>
    <row r="21" spans="1:29">
      <c r="A21" s="15">
        <v>7</v>
      </c>
      <c r="B21" s="113" t="s">
        <v>78</v>
      </c>
      <c r="C21" s="18">
        <v>3.4</v>
      </c>
      <c r="D21" s="18">
        <v>1.2</v>
      </c>
      <c r="E21" s="18">
        <v>3</v>
      </c>
      <c r="F21" s="16">
        <f t="shared" si="0"/>
        <v>4.08</v>
      </c>
      <c r="G21" s="16">
        <f t="shared" si="3"/>
        <v>43.900799999999997</v>
      </c>
      <c r="H21" s="16">
        <f t="shared" ref="H21:H28" si="7">E21</f>
        <v>3</v>
      </c>
      <c r="I21" s="19">
        <v>200</v>
      </c>
      <c r="J21" s="26">
        <f t="shared" si="1"/>
        <v>0.29565217391304349</v>
      </c>
      <c r="K21" s="19">
        <v>24</v>
      </c>
      <c r="L21" s="19">
        <v>2400</v>
      </c>
      <c r="M21" s="26">
        <f t="shared" si="2"/>
        <v>2.0814479638009051</v>
      </c>
      <c r="N21" s="38">
        <v>2</v>
      </c>
      <c r="O21" s="19">
        <v>1</v>
      </c>
      <c r="P21" s="19">
        <f t="shared" ref="P21:P28" si="8">O21*K21</f>
        <v>24</v>
      </c>
      <c r="Q21" s="19">
        <v>1</v>
      </c>
      <c r="R21" s="19">
        <f t="shared" ref="R21:R28" si="9">Q21*K21</f>
        <v>24</v>
      </c>
      <c r="S21" s="4"/>
      <c r="T21" s="4"/>
      <c r="U21" s="4"/>
      <c r="V21" s="4">
        <v>1</v>
      </c>
      <c r="W21" s="19"/>
      <c r="X21" s="19"/>
      <c r="Y21" s="19"/>
      <c r="Z21" s="19">
        <v>1</v>
      </c>
      <c r="AA21" s="19"/>
      <c r="AB21" s="19">
        <v>1</v>
      </c>
      <c r="AC21" s="19"/>
    </row>
    <row r="22" spans="1:29">
      <c r="A22" s="15">
        <v>8</v>
      </c>
      <c r="B22" s="14" t="s">
        <v>75</v>
      </c>
      <c r="C22" s="18">
        <v>3.28</v>
      </c>
      <c r="D22" s="18">
        <v>2.69</v>
      </c>
      <c r="E22" s="18">
        <v>3</v>
      </c>
      <c r="F22" s="16">
        <f t="shared" si="0"/>
        <v>8.8231999999999999</v>
      </c>
      <c r="G22" s="16">
        <f t="shared" si="3"/>
        <v>94.937631999999994</v>
      </c>
      <c r="H22" s="16">
        <f t="shared" si="7"/>
        <v>3</v>
      </c>
      <c r="I22" s="19">
        <v>300</v>
      </c>
      <c r="J22" s="26">
        <f t="shared" si="1"/>
        <v>0.49264098269123396</v>
      </c>
      <c r="K22" s="19">
        <v>24</v>
      </c>
      <c r="L22" s="19">
        <v>2400</v>
      </c>
      <c r="M22" s="26">
        <f t="shared" si="2"/>
        <v>4.0520361990950224</v>
      </c>
      <c r="N22" s="38">
        <v>4</v>
      </c>
      <c r="O22" s="19">
        <v>3</v>
      </c>
      <c r="P22" s="19">
        <f t="shared" si="8"/>
        <v>72</v>
      </c>
      <c r="Q22" s="19">
        <v>1</v>
      </c>
      <c r="R22" s="19">
        <f t="shared" si="9"/>
        <v>24</v>
      </c>
      <c r="S22" s="4">
        <v>1</v>
      </c>
      <c r="T22" s="4"/>
      <c r="U22" s="4">
        <v>1</v>
      </c>
      <c r="V22" s="4">
        <v>2</v>
      </c>
      <c r="W22" s="19">
        <v>2</v>
      </c>
      <c r="X22" s="19">
        <v>2</v>
      </c>
      <c r="Y22" s="19">
        <v>1</v>
      </c>
      <c r="Z22" s="19">
        <v>1</v>
      </c>
      <c r="AA22" s="19"/>
      <c r="AB22" s="19">
        <v>1</v>
      </c>
      <c r="AC22" s="19"/>
    </row>
    <row r="23" spans="1:29">
      <c r="A23" s="15">
        <v>9</v>
      </c>
      <c r="B23" s="14" t="s">
        <v>79</v>
      </c>
      <c r="C23" s="18">
        <v>3.28</v>
      </c>
      <c r="D23" s="18">
        <v>2.69</v>
      </c>
      <c r="E23" s="18">
        <v>3</v>
      </c>
      <c r="F23" s="16">
        <f t="shared" si="0"/>
        <v>8.8231999999999999</v>
      </c>
      <c r="G23" s="16">
        <f t="shared" si="3"/>
        <v>94.937631999999994</v>
      </c>
      <c r="H23" s="16">
        <f t="shared" ref="H23:H24" si="10">E23</f>
        <v>3</v>
      </c>
      <c r="I23" s="19">
        <v>300</v>
      </c>
      <c r="J23" s="26">
        <f t="shared" si="1"/>
        <v>0.49264098269123396</v>
      </c>
      <c r="K23" s="19">
        <v>24</v>
      </c>
      <c r="L23" s="19">
        <v>2400</v>
      </c>
      <c r="M23" s="26">
        <f t="shared" si="2"/>
        <v>4.0520361990950224</v>
      </c>
      <c r="N23" s="38">
        <v>4</v>
      </c>
      <c r="O23" s="19">
        <v>3</v>
      </c>
      <c r="P23" s="19">
        <f t="shared" ref="P23:P24" si="11">O23*K23</f>
        <v>72</v>
      </c>
      <c r="Q23" s="19">
        <v>1</v>
      </c>
      <c r="R23" s="19">
        <f t="shared" ref="R23:R24" si="12">Q23*K23</f>
        <v>24</v>
      </c>
      <c r="S23" s="4">
        <v>1</v>
      </c>
      <c r="T23" s="4"/>
      <c r="U23" s="4">
        <v>1</v>
      </c>
      <c r="V23" s="4">
        <v>2</v>
      </c>
      <c r="W23" s="19">
        <v>2</v>
      </c>
      <c r="X23" s="19">
        <v>2</v>
      </c>
      <c r="Y23" s="19">
        <v>1</v>
      </c>
      <c r="Z23" s="19">
        <v>1</v>
      </c>
      <c r="AA23" s="19"/>
      <c r="AB23" s="19">
        <v>1</v>
      </c>
      <c r="AC23" s="19"/>
    </row>
    <row r="24" spans="1:29">
      <c r="A24" s="15">
        <v>10</v>
      </c>
      <c r="B24" s="14" t="s">
        <v>76</v>
      </c>
      <c r="C24" s="18">
        <v>3.2</v>
      </c>
      <c r="D24" s="18">
        <v>6.16</v>
      </c>
      <c r="E24" s="18">
        <v>3</v>
      </c>
      <c r="F24" s="16">
        <f t="shared" si="0"/>
        <v>19.712000000000003</v>
      </c>
      <c r="G24" s="16">
        <f t="shared" si="3"/>
        <v>212.10112000000004</v>
      </c>
      <c r="H24" s="16">
        <f t="shared" si="10"/>
        <v>3</v>
      </c>
      <c r="I24" s="19">
        <v>300</v>
      </c>
      <c r="J24" s="26">
        <f t="shared" si="1"/>
        <v>0.70199430199430213</v>
      </c>
      <c r="K24" s="19">
        <v>24</v>
      </c>
      <c r="L24" s="19">
        <v>2400</v>
      </c>
      <c r="M24" s="26">
        <f t="shared" si="2"/>
        <v>6.3529411764705888</v>
      </c>
      <c r="N24" s="38">
        <v>6</v>
      </c>
      <c r="O24" s="19">
        <v>4</v>
      </c>
      <c r="P24" s="19">
        <f t="shared" si="11"/>
        <v>96</v>
      </c>
      <c r="Q24" s="19">
        <v>2</v>
      </c>
      <c r="R24" s="19">
        <f t="shared" si="12"/>
        <v>48</v>
      </c>
      <c r="S24" s="4">
        <v>1</v>
      </c>
      <c r="T24" s="4"/>
      <c r="U24" s="4">
        <v>1</v>
      </c>
      <c r="V24" s="4">
        <v>4</v>
      </c>
      <c r="W24" s="19">
        <v>4</v>
      </c>
      <c r="X24" s="19">
        <v>2</v>
      </c>
      <c r="Y24" s="19"/>
      <c r="Z24" s="19">
        <v>1</v>
      </c>
      <c r="AA24" s="19"/>
      <c r="AB24" s="19">
        <v>1</v>
      </c>
      <c r="AC24" s="19"/>
    </row>
    <row r="25" spans="1:29">
      <c r="A25" s="15">
        <v>11</v>
      </c>
      <c r="B25" s="14" t="s">
        <v>77</v>
      </c>
      <c r="C25" s="18">
        <v>1.88</v>
      </c>
      <c r="D25" s="18">
        <v>1.1599999999999999</v>
      </c>
      <c r="E25" s="18">
        <v>3</v>
      </c>
      <c r="F25" s="16">
        <f t="shared" si="0"/>
        <v>2.1807999999999996</v>
      </c>
      <c r="G25" s="16">
        <f t="shared" ref="G25" si="13">F25*10.76</f>
        <v>23.465407999999996</v>
      </c>
      <c r="H25" s="16">
        <f t="shared" ref="H25" si="14">E25</f>
        <v>3</v>
      </c>
      <c r="I25" s="19">
        <v>200</v>
      </c>
      <c r="J25" s="26">
        <f t="shared" si="1"/>
        <v>0.23912280701754379</v>
      </c>
      <c r="K25" s="19">
        <v>12</v>
      </c>
      <c r="L25" s="19">
        <v>1200</v>
      </c>
      <c r="M25" s="26">
        <f t="shared" si="2"/>
        <v>2.751131221719457</v>
      </c>
      <c r="N25" s="38">
        <v>1</v>
      </c>
      <c r="O25" s="19">
        <v>1</v>
      </c>
      <c r="P25" s="19">
        <f t="shared" ref="P25" si="15">O25*K25</f>
        <v>12</v>
      </c>
      <c r="Q25" s="19"/>
      <c r="R25" s="19">
        <f t="shared" ref="R25" si="16">Q25*K25</f>
        <v>0</v>
      </c>
      <c r="S25" s="4"/>
      <c r="T25" s="4">
        <v>1</v>
      </c>
      <c r="U25" s="4"/>
      <c r="V25" s="4">
        <v>2</v>
      </c>
      <c r="W25" s="19"/>
      <c r="X25" s="19"/>
      <c r="Y25" s="19"/>
      <c r="Z25" s="19"/>
      <c r="AA25" s="19"/>
      <c r="AB25" s="19"/>
      <c r="AC25" s="19"/>
    </row>
    <row r="26" spans="1:29">
      <c r="A26" s="15">
        <v>12</v>
      </c>
      <c r="B26" s="14" t="s">
        <v>80</v>
      </c>
      <c r="C26" s="18">
        <v>3</v>
      </c>
      <c r="D26" s="18">
        <v>3.73</v>
      </c>
      <c r="E26" s="18">
        <v>3</v>
      </c>
      <c r="F26" s="16">
        <f t="shared" si="0"/>
        <v>11.19</v>
      </c>
      <c r="G26" s="16">
        <f t="shared" si="3"/>
        <v>120.4044</v>
      </c>
      <c r="H26" s="16">
        <f t="shared" si="7"/>
        <v>3</v>
      </c>
      <c r="I26" s="19">
        <v>300</v>
      </c>
      <c r="J26" s="26">
        <f t="shared" si="1"/>
        <v>0.55423476968796426</v>
      </c>
      <c r="K26" s="19">
        <v>36</v>
      </c>
      <c r="L26" s="19">
        <v>3600</v>
      </c>
      <c r="M26" s="26">
        <f t="shared" si="2"/>
        <v>3.0452488687782817</v>
      </c>
      <c r="N26" s="38">
        <v>2</v>
      </c>
      <c r="O26" s="19">
        <v>1</v>
      </c>
      <c r="P26" s="19">
        <f t="shared" si="8"/>
        <v>36</v>
      </c>
      <c r="Q26" s="19">
        <v>1</v>
      </c>
      <c r="R26" s="19">
        <f t="shared" si="9"/>
        <v>36</v>
      </c>
      <c r="S26" s="4"/>
      <c r="T26" s="4"/>
      <c r="U26" s="4"/>
      <c r="V26" s="4">
        <v>1</v>
      </c>
      <c r="W26" s="19"/>
      <c r="X26" s="19"/>
      <c r="Y26" s="19"/>
      <c r="Z26" s="19">
        <v>1</v>
      </c>
      <c r="AA26" s="19">
        <v>1</v>
      </c>
      <c r="AB26" s="19">
        <v>1</v>
      </c>
      <c r="AC26" s="19"/>
    </row>
    <row r="27" spans="1:29">
      <c r="A27" s="15">
        <v>13</v>
      </c>
      <c r="B27" s="113" t="s">
        <v>78</v>
      </c>
      <c r="C27" s="18">
        <v>3.4</v>
      </c>
      <c r="D27" s="18">
        <v>1.2</v>
      </c>
      <c r="E27" s="18">
        <v>3</v>
      </c>
      <c r="F27" s="16">
        <f t="shared" si="0"/>
        <v>4.08</v>
      </c>
      <c r="G27" s="16">
        <f t="shared" ref="G27" si="17">F27*10.76</f>
        <v>43.900799999999997</v>
      </c>
      <c r="H27" s="16">
        <f t="shared" ref="H27" si="18">E27</f>
        <v>3</v>
      </c>
      <c r="I27" s="19">
        <v>300</v>
      </c>
      <c r="J27" s="26">
        <f t="shared" si="1"/>
        <v>0.29565217391304349</v>
      </c>
      <c r="K27" s="19">
        <v>24</v>
      </c>
      <c r="L27" s="19">
        <v>2400</v>
      </c>
      <c r="M27" s="26">
        <f t="shared" si="2"/>
        <v>3.1221719457013575</v>
      </c>
      <c r="N27" s="38">
        <v>3</v>
      </c>
      <c r="O27" s="19">
        <v>2</v>
      </c>
      <c r="P27" s="19">
        <f t="shared" ref="P27" si="19">O27*K27</f>
        <v>48</v>
      </c>
      <c r="Q27" s="19">
        <v>1</v>
      </c>
      <c r="R27" s="19">
        <f t="shared" ref="R27" si="20">Q27*K27</f>
        <v>24</v>
      </c>
      <c r="S27" s="4"/>
      <c r="T27" s="4"/>
      <c r="U27" s="4"/>
      <c r="V27" s="4">
        <v>1</v>
      </c>
      <c r="W27" s="19"/>
      <c r="X27" s="19"/>
      <c r="Y27" s="19"/>
      <c r="Z27" s="19">
        <v>1</v>
      </c>
      <c r="AA27" s="19"/>
      <c r="AB27" s="19">
        <v>1</v>
      </c>
      <c r="AC27" s="19"/>
    </row>
    <row r="28" spans="1:29">
      <c r="A28" s="15">
        <v>14</v>
      </c>
      <c r="B28" s="14" t="s">
        <v>92</v>
      </c>
      <c r="C28" s="18">
        <v>1</v>
      </c>
      <c r="D28" s="18">
        <v>1.7</v>
      </c>
      <c r="E28" s="18">
        <v>3</v>
      </c>
      <c r="F28" s="16">
        <f t="shared" si="0"/>
        <v>1.7</v>
      </c>
      <c r="G28" s="16">
        <f t="shared" si="3"/>
        <v>18.291999999999998</v>
      </c>
      <c r="H28" s="16">
        <f t="shared" si="7"/>
        <v>3</v>
      </c>
      <c r="I28" s="19">
        <v>300</v>
      </c>
      <c r="J28" s="26">
        <f t="shared" si="1"/>
        <v>0.2098765432098765</v>
      </c>
      <c r="K28" s="19">
        <v>24</v>
      </c>
      <c r="L28" s="19">
        <v>2400</v>
      </c>
      <c r="M28" s="26">
        <f t="shared" si="2"/>
        <v>1.8325791855203624</v>
      </c>
      <c r="N28" s="38">
        <v>1</v>
      </c>
      <c r="O28" s="19">
        <v>0</v>
      </c>
      <c r="P28" s="19">
        <f t="shared" si="8"/>
        <v>0</v>
      </c>
      <c r="Q28" s="19">
        <v>1</v>
      </c>
      <c r="R28" s="19">
        <f t="shared" si="9"/>
        <v>24</v>
      </c>
      <c r="S28" s="4"/>
      <c r="T28" s="4"/>
      <c r="U28" s="4"/>
      <c r="V28" s="4">
        <v>2</v>
      </c>
      <c r="W28" s="19"/>
      <c r="X28" s="19"/>
      <c r="Y28" s="19"/>
      <c r="Z28" s="19">
        <v>1</v>
      </c>
      <c r="AA28" s="19"/>
      <c r="AB28" s="19">
        <v>1</v>
      </c>
      <c r="AC28" s="19"/>
    </row>
    <row r="29" spans="1:29">
      <c r="A29" s="15">
        <v>15</v>
      </c>
      <c r="B29" s="14" t="s">
        <v>93</v>
      </c>
      <c r="C29" s="18">
        <v>1</v>
      </c>
      <c r="D29" s="18">
        <v>1.7</v>
      </c>
      <c r="E29" s="18">
        <v>3</v>
      </c>
      <c r="F29" s="16">
        <f t="shared" si="0"/>
        <v>1.7</v>
      </c>
      <c r="G29" s="16">
        <f t="shared" si="3"/>
        <v>18.291999999999998</v>
      </c>
      <c r="H29" s="16">
        <f t="shared" ref="H29" si="21">E29</f>
        <v>3</v>
      </c>
      <c r="I29" s="19">
        <v>300</v>
      </c>
      <c r="J29" s="26">
        <f t="shared" si="1"/>
        <v>0.2098765432098765</v>
      </c>
      <c r="K29" s="19">
        <v>24</v>
      </c>
      <c r="L29" s="19">
        <v>2400</v>
      </c>
      <c r="M29" s="26">
        <f t="shared" si="2"/>
        <v>1.8325791855203624</v>
      </c>
      <c r="N29" s="38">
        <v>1</v>
      </c>
      <c r="O29" s="19">
        <v>0</v>
      </c>
      <c r="P29" s="19">
        <f t="shared" ref="P29" si="22">O29*K29</f>
        <v>0</v>
      </c>
      <c r="Q29" s="19">
        <v>1</v>
      </c>
      <c r="R29" s="19">
        <f t="shared" ref="R29" si="23">Q29*K29</f>
        <v>24</v>
      </c>
      <c r="S29" s="4"/>
      <c r="T29" s="4"/>
      <c r="U29" s="4"/>
      <c r="V29" s="4">
        <v>2</v>
      </c>
      <c r="W29" s="19"/>
      <c r="X29" s="19"/>
      <c r="Y29" s="19"/>
      <c r="Z29" s="19">
        <v>1</v>
      </c>
      <c r="AA29" s="19"/>
      <c r="AB29" s="19">
        <v>1</v>
      </c>
      <c r="AC29" s="19"/>
    </row>
    <row r="30" spans="1:29">
      <c r="A30" s="15">
        <v>17</v>
      </c>
      <c r="B30" s="14" t="s">
        <v>77</v>
      </c>
      <c r="C30" s="18">
        <v>1.2</v>
      </c>
      <c r="D30" s="18">
        <v>2.42</v>
      </c>
      <c r="E30" s="18">
        <v>3</v>
      </c>
      <c r="F30" s="16">
        <f t="shared" si="0"/>
        <v>2.9039999999999999</v>
      </c>
      <c r="G30" s="16">
        <f t="shared" si="3"/>
        <v>31.247039999999998</v>
      </c>
      <c r="H30" s="16">
        <f>E30</f>
        <v>3</v>
      </c>
      <c r="I30" s="19">
        <v>200</v>
      </c>
      <c r="J30" s="26">
        <f t="shared" si="1"/>
        <v>0.2674033149171271</v>
      </c>
      <c r="K30" s="19">
        <v>12</v>
      </c>
      <c r="L30" s="19">
        <v>1200</v>
      </c>
      <c r="M30" s="26">
        <f t="shared" si="2"/>
        <v>3.2760180995475103</v>
      </c>
      <c r="N30" s="38">
        <v>2</v>
      </c>
      <c r="O30" s="19">
        <v>1</v>
      </c>
      <c r="P30" s="19">
        <f>O30*K30</f>
        <v>12</v>
      </c>
      <c r="Q30" s="19">
        <v>1</v>
      </c>
      <c r="R30" s="19">
        <f>Q30*K30</f>
        <v>12</v>
      </c>
      <c r="S30" s="4"/>
      <c r="T30" s="4"/>
      <c r="U30" s="4"/>
      <c r="V30" s="4">
        <v>1</v>
      </c>
      <c r="W30" s="19"/>
      <c r="X30" s="19"/>
      <c r="Y30" s="19"/>
      <c r="Z30" s="19"/>
      <c r="AA30" s="19"/>
      <c r="AB30" s="19"/>
      <c r="AC30" s="19"/>
    </row>
    <row r="31" spans="1:29">
      <c r="A31" s="15">
        <v>18</v>
      </c>
      <c r="B31" s="14" t="s">
        <v>82</v>
      </c>
      <c r="C31" s="18">
        <v>3.45</v>
      </c>
      <c r="D31" s="18">
        <v>2.35</v>
      </c>
      <c r="E31" s="18">
        <v>3</v>
      </c>
      <c r="F31" s="16">
        <f t="shared" si="0"/>
        <v>8.1074999999999999</v>
      </c>
      <c r="G31" s="16">
        <f t="shared" ref="G31" si="24">F31*10.76</f>
        <v>87.236699999999999</v>
      </c>
      <c r="H31" s="16">
        <f>E31</f>
        <v>3</v>
      </c>
      <c r="I31" s="19">
        <v>300</v>
      </c>
      <c r="J31" s="26">
        <f t="shared" si="1"/>
        <v>0.46594827586206888</v>
      </c>
      <c r="K31" s="19">
        <v>24</v>
      </c>
      <c r="L31" s="19">
        <v>2400</v>
      </c>
      <c r="M31" s="26">
        <f t="shared" si="2"/>
        <v>3.9366515837104079</v>
      </c>
      <c r="N31" s="38">
        <v>4</v>
      </c>
      <c r="O31" s="19">
        <v>3</v>
      </c>
      <c r="P31" s="19">
        <f>O31*K31</f>
        <v>72</v>
      </c>
      <c r="Q31" s="19">
        <v>1</v>
      </c>
      <c r="R31" s="19">
        <f>Q31*K31</f>
        <v>24</v>
      </c>
      <c r="S31" s="4">
        <v>1</v>
      </c>
      <c r="T31" s="4"/>
      <c r="U31" s="4">
        <v>1</v>
      </c>
      <c r="V31" s="4">
        <v>2</v>
      </c>
      <c r="W31" s="19"/>
      <c r="X31" s="19"/>
      <c r="Y31" s="19"/>
      <c r="Z31" s="19">
        <v>1</v>
      </c>
      <c r="AA31" s="19"/>
      <c r="AB31" s="19">
        <v>1</v>
      </c>
      <c r="AC31" s="19"/>
    </row>
    <row r="32" spans="1:29">
      <c r="A32" s="15">
        <v>19</v>
      </c>
      <c r="B32" s="14" t="s">
        <v>77</v>
      </c>
      <c r="C32" s="18">
        <v>1.88</v>
      </c>
      <c r="D32" s="18">
        <v>1.1499999999999999</v>
      </c>
      <c r="E32" s="18">
        <v>3</v>
      </c>
      <c r="F32" s="16">
        <f t="shared" si="0"/>
        <v>2.1619999999999999</v>
      </c>
      <c r="G32" s="16">
        <f t="shared" si="3"/>
        <v>23.263119999999997</v>
      </c>
      <c r="H32" s="16">
        <f t="shared" ref="H32:H34" si="25">E32</f>
        <v>3</v>
      </c>
      <c r="I32" s="19">
        <v>200</v>
      </c>
      <c r="J32" s="26">
        <f t="shared" si="1"/>
        <v>0.23784378437843784</v>
      </c>
      <c r="K32" s="19">
        <v>12</v>
      </c>
      <c r="L32" s="19">
        <v>1200</v>
      </c>
      <c r="M32" s="26">
        <f t="shared" si="2"/>
        <v>2.7420814479638005</v>
      </c>
      <c r="N32" s="38">
        <v>1</v>
      </c>
      <c r="O32" s="19">
        <v>1</v>
      </c>
      <c r="P32" s="19">
        <f>O32*K32</f>
        <v>12</v>
      </c>
      <c r="Q32" s="19"/>
      <c r="R32" s="19">
        <f t="shared" ref="R32:R34" si="26">Q32*K32</f>
        <v>0</v>
      </c>
      <c r="S32" s="4"/>
      <c r="T32" s="4">
        <v>1</v>
      </c>
      <c r="U32" s="4"/>
      <c r="V32" s="4">
        <v>2</v>
      </c>
      <c r="W32" s="19"/>
      <c r="X32" s="19"/>
      <c r="Y32" s="19"/>
      <c r="Z32" s="19"/>
      <c r="AA32" s="19"/>
      <c r="AB32" s="19"/>
      <c r="AC32" s="19"/>
    </row>
    <row r="33" spans="1:29">
      <c r="A33" s="15">
        <v>20</v>
      </c>
      <c r="B33" s="113" t="s">
        <v>94</v>
      </c>
      <c r="C33" s="18">
        <v>3.03</v>
      </c>
      <c r="D33" s="18">
        <v>2.75</v>
      </c>
      <c r="E33" s="18">
        <v>3</v>
      </c>
      <c r="F33" s="16">
        <f t="shared" ref="F33" si="27">C33*D33</f>
        <v>8.3324999999999996</v>
      </c>
      <c r="G33" s="16">
        <f t="shared" ref="G33" si="28">F33*10.76</f>
        <v>89.657699999999991</v>
      </c>
      <c r="H33" s="16">
        <f t="shared" ref="H33" si="29">E33</f>
        <v>3</v>
      </c>
      <c r="I33" s="19">
        <v>300</v>
      </c>
      <c r="J33" s="26">
        <f t="shared" si="1"/>
        <v>0.48053633217993086</v>
      </c>
      <c r="K33" s="19">
        <v>24</v>
      </c>
      <c r="L33" s="19">
        <v>2400</v>
      </c>
      <c r="M33" s="26">
        <f t="shared" ref="M33" si="30">(F33*I33)/(0.85*0.65*J33*L33)</f>
        <v>3.9230769230769229</v>
      </c>
      <c r="N33" s="38">
        <v>4</v>
      </c>
      <c r="O33" s="19">
        <v>3</v>
      </c>
      <c r="P33" s="19">
        <f>O33*K33</f>
        <v>72</v>
      </c>
      <c r="Q33" s="19">
        <v>1</v>
      </c>
      <c r="R33" s="19">
        <f t="shared" ref="R33" si="31">Q33*K33</f>
        <v>24</v>
      </c>
      <c r="S33" s="4">
        <v>1</v>
      </c>
      <c r="T33" s="4"/>
      <c r="U33" s="4">
        <v>1</v>
      </c>
      <c r="V33" s="4">
        <v>2</v>
      </c>
      <c r="W33" s="19">
        <v>2</v>
      </c>
      <c r="X33" s="19">
        <v>1</v>
      </c>
      <c r="Y33" s="19">
        <v>1</v>
      </c>
      <c r="Z33" s="19">
        <v>1</v>
      </c>
      <c r="AA33" s="19"/>
      <c r="AB33" s="19">
        <v>1</v>
      </c>
      <c r="AC33" s="19"/>
    </row>
    <row r="34" spans="1:29">
      <c r="A34" s="15">
        <v>21</v>
      </c>
      <c r="B34" s="14" t="s">
        <v>83</v>
      </c>
      <c r="C34" s="18">
        <v>3</v>
      </c>
      <c r="D34" s="18">
        <v>9.2100000000000009</v>
      </c>
      <c r="E34" s="18">
        <v>3</v>
      </c>
      <c r="F34" s="16">
        <f t="shared" si="0"/>
        <v>27.630000000000003</v>
      </c>
      <c r="G34" s="16">
        <f t="shared" si="3"/>
        <v>297.29880000000003</v>
      </c>
      <c r="H34" s="16">
        <f t="shared" si="25"/>
        <v>3</v>
      </c>
      <c r="I34" s="19">
        <v>300</v>
      </c>
      <c r="J34" s="26">
        <f t="shared" si="1"/>
        <v>0.75429975429975427</v>
      </c>
      <c r="K34" s="19">
        <v>36</v>
      </c>
      <c r="L34" s="19">
        <v>3600</v>
      </c>
      <c r="M34" s="26">
        <f t="shared" si="2"/>
        <v>5.5248868778280551</v>
      </c>
      <c r="N34" s="38">
        <v>3</v>
      </c>
      <c r="O34" s="19">
        <v>2</v>
      </c>
      <c r="P34" s="19">
        <f t="shared" ref="P34" si="32">O34*K34</f>
        <v>72</v>
      </c>
      <c r="Q34" s="19">
        <v>1</v>
      </c>
      <c r="R34" s="19">
        <f t="shared" si="26"/>
        <v>36</v>
      </c>
      <c r="S34" s="4"/>
      <c r="T34" s="4"/>
      <c r="U34" s="4"/>
      <c r="V34" s="4"/>
      <c r="W34" s="19">
        <v>2</v>
      </c>
      <c r="X34" s="19"/>
      <c r="Y34" s="19"/>
      <c r="Z34" s="19">
        <v>1</v>
      </c>
      <c r="AA34" s="19">
        <v>1</v>
      </c>
      <c r="AB34" s="19">
        <v>2</v>
      </c>
      <c r="AC34" s="19"/>
    </row>
    <row r="35" spans="1:29">
      <c r="A35" s="15">
        <v>22</v>
      </c>
      <c r="B35" s="14" t="s">
        <v>84</v>
      </c>
      <c r="C35" s="18">
        <v>6.48</v>
      </c>
      <c r="D35" s="18">
        <v>3.21</v>
      </c>
      <c r="E35" s="18">
        <v>3</v>
      </c>
      <c r="F35" s="16">
        <f t="shared" si="0"/>
        <v>20.800800000000002</v>
      </c>
      <c r="G35" s="16">
        <f t="shared" si="3"/>
        <v>223.81660800000003</v>
      </c>
      <c r="H35" s="16">
        <f>E35</f>
        <v>3</v>
      </c>
      <c r="I35" s="19">
        <v>400</v>
      </c>
      <c r="J35" s="26">
        <f t="shared" si="1"/>
        <v>0.71554179566563469</v>
      </c>
      <c r="K35" s="19">
        <v>36</v>
      </c>
      <c r="L35" s="19">
        <v>3600</v>
      </c>
      <c r="M35" s="26">
        <f t="shared" si="2"/>
        <v>5.8461538461538476</v>
      </c>
      <c r="N35" s="38">
        <v>4</v>
      </c>
      <c r="O35" s="19">
        <v>3</v>
      </c>
      <c r="P35" s="19">
        <f t="shared" ref="P35:P42" si="33">O35*K35</f>
        <v>108</v>
      </c>
      <c r="Q35" s="19">
        <v>1</v>
      </c>
      <c r="R35" s="19">
        <f>Q35*K35</f>
        <v>36</v>
      </c>
      <c r="S35" s="4">
        <v>1</v>
      </c>
      <c r="T35" s="4"/>
      <c r="U35" s="4">
        <v>1</v>
      </c>
      <c r="V35" s="4"/>
      <c r="W35" s="19">
        <v>12</v>
      </c>
      <c r="X35" s="19">
        <v>2</v>
      </c>
      <c r="Y35" s="19">
        <v>1</v>
      </c>
      <c r="Z35" s="19"/>
      <c r="AA35" s="19"/>
      <c r="AB35" s="19">
        <v>1</v>
      </c>
      <c r="AC35" s="19"/>
    </row>
    <row r="36" spans="1:29">
      <c r="A36" s="15">
        <v>23</v>
      </c>
      <c r="B36" s="14" t="s">
        <v>85</v>
      </c>
      <c r="C36" s="18">
        <v>2.4300000000000002</v>
      </c>
      <c r="D36" s="18">
        <v>1.6</v>
      </c>
      <c r="E36" s="18">
        <v>3</v>
      </c>
      <c r="F36" s="16">
        <f t="shared" si="0"/>
        <v>3.8880000000000003</v>
      </c>
      <c r="G36" s="16">
        <f t="shared" si="3"/>
        <v>41.834880000000005</v>
      </c>
      <c r="H36" s="16">
        <f t="shared" ref="H36" si="34">E36</f>
        <v>3</v>
      </c>
      <c r="I36" s="19">
        <v>400</v>
      </c>
      <c r="J36" s="26">
        <f t="shared" si="1"/>
        <v>0.32158808933002486</v>
      </c>
      <c r="K36" s="19">
        <v>36</v>
      </c>
      <c r="L36" s="19">
        <v>3600</v>
      </c>
      <c r="M36" s="26">
        <f t="shared" si="2"/>
        <v>2.4313725490196076</v>
      </c>
      <c r="N36" s="38">
        <v>1</v>
      </c>
      <c r="O36" s="19"/>
      <c r="P36" s="19">
        <f t="shared" si="33"/>
        <v>0</v>
      </c>
      <c r="Q36" s="19">
        <v>1</v>
      </c>
      <c r="R36" s="19">
        <f t="shared" ref="R36" si="35">Q36*K36</f>
        <v>36</v>
      </c>
      <c r="S36" s="4"/>
      <c r="T36" s="4"/>
      <c r="U36" s="4"/>
      <c r="V36" s="4"/>
      <c r="W36" s="19"/>
      <c r="X36" s="19"/>
      <c r="Y36" s="19"/>
      <c r="Z36" s="19"/>
      <c r="AA36" s="19"/>
      <c r="AB36" s="19"/>
      <c r="AC36" s="19"/>
    </row>
    <row r="37" spans="1:29">
      <c r="A37" s="15">
        <v>24</v>
      </c>
      <c r="B37" s="14" t="s">
        <v>81</v>
      </c>
      <c r="C37" s="18">
        <v>3.35</v>
      </c>
      <c r="D37" s="18">
        <v>3</v>
      </c>
      <c r="E37" s="18">
        <v>3</v>
      </c>
      <c r="F37" s="16">
        <f t="shared" ref="F37:F38" si="36">C37*D37</f>
        <v>10.050000000000001</v>
      </c>
      <c r="G37" s="16">
        <f t="shared" ref="G37" si="37">F37*10.76</f>
        <v>108.13800000000001</v>
      </c>
      <c r="H37" s="16">
        <f t="shared" ref="H37" si="38">E37</f>
        <v>3</v>
      </c>
      <c r="I37" s="19">
        <v>300</v>
      </c>
      <c r="J37" s="26">
        <f t="shared" si="1"/>
        <v>0.5275590551181103</v>
      </c>
      <c r="K37" s="19">
        <v>36</v>
      </c>
      <c r="L37" s="19">
        <v>3600</v>
      </c>
      <c r="M37" s="26">
        <f t="shared" si="2"/>
        <v>2.873303167420814</v>
      </c>
      <c r="N37" s="38">
        <v>2</v>
      </c>
      <c r="O37" s="19">
        <v>1</v>
      </c>
      <c r="P37" s="19">
        <f t="shared" si="33"/>
        <v>36</v>
      </c>
      <c r="Q37" s="19">
        <v>1</v>
      </c>
      <c r="R37" s="19">
        <f t="shared" ref="R37" si="39">Q37*K37</f>
        <v>36</v>
      </c>
      <c r="S37" s="4">
        <v>1</v>
      </c>
      <c r="T37" s="4"/>
      <c r="U37" s="4">
        <v>1</v>
      </c>
      <c r="V37" s="4">
        <v>2</v>
      </c>
      <c r="W37" s="19">
        <v>2</v>
      </c>
      <c r="X37" s="19">
        <v>1</v>
      </c>
      <c r="Y37" s="19"/>
      <c r="Z37" s="19">
        <v>1</v>
      </c>
      <c r="AA37" s="19"/>
      <c r="AB37" s="19">
        <v>1</v>
      </c>
      <c r="AC37" s="19"/>
    </row>
    <row r="38" spans="1:29">
      <c r="A38" s="15">
        <v>25</v>
      </c>
      <c r="B38" s="14" t="s">
        <v>89</v>
      </c>
      <c r="C38" s="18">
        <v>2.5</v>
      </c>
      <c r="D38" s="18">
        <v>3</v>
      </c>
      <c r="E38" s="18">
        <v>3</v>
      </c>
      <c r="F38" s="16">
        <f t="shared" si="36"/>
        <v>7.5</v>
      </c>
      <c r="G38" s="16">
        <f>F38*10.76</f>
        <v>80.7</v>
      </c>
      <c r="H38" s="16">
        <f t="shared" ref="H38:H43" si="40">E38</f>
        <v>3</v>
      </c>
      <c r="I38" s="19">
        <v>300</v>
      </c>
      <c r="J38" s="26">
        <f t="shared" si="1"/>
        <v>0.45454545454545453</v>
      </c>
      <c r="K38" s="19">
        <v>36</v>
      </c>
      <c r="L38" s="19">
        <v>3600</v>
      </c>
      <c r="M38" s="26">
        <f>(F38*I38)/(0.85*0.65*J38*L38)</f>
        <v>2.4886877828054299</v>
      </c>
      <c r="N38" s="38">
        <v>1</v>
      </c>
      <c r="O38" s="19"/>
      <c r="P38" s="19">
        <f t="shared" si="33"/>
        <v>0</v>
      </c>
      <c r="Q38" s="19">
        <v>1</v>
      </c>
      <c r="R38" s="19">
        <f t="shared" ref="R38:R43" si="41">Q38*K38</f>
        <v>36</v>
      </c>
      <c r="S38" s="4"/>
      <c r="T38" s="4"/>
      <c r="U38" s="4">
        <v>1</v>
      </c>
      <c r="V38" s="4"/>
      <c r="W38" s="19">
        <v>2</v>
      </c>
      <c r="X38" s="19">
        <v>1</v>
      </c>
      <c r="Y38" s="19"/>
      <c r="Z38" s="19">
        <v>1</v>
      </c>
      <c r="AA38" s="19"/>
      <c r="AB38" s="19">
        <v>1</v>
      </c>
      <c r="AC38" s="19"/>
    </row>
    <row r="39" spans="1:29">
      <c r="A39" s="15">
        <v>26</v>
      </c>
      <c r="B39" s="14" t="s">
        <v>71</v>
      </c>
      <c r="C39" s="18">
        <v>6.48</v>
      </c>
      <c r="D39" s="18">
        <v>6.55</v>
      </c>
      <c r="E39" s="18">
        <v>3</v>
      </c>
      <c r="F39" s="16">
        <f t="shared" ref="F39:F44" si="42">C39*D39</f>
        <v>42.444000000000003</v>
      </c>
      <c r="G39" s="16">
        <f>F39*10.76</f>
        <v>456.69744000000003</v>
      </c>
      <c r="H39" s="16">
        <f t="shared" si="40"/>
        <v>3</v>
      </c>
      <c r="I39" s="19">
        <v>500</v>
      </c>
      <c r="J39" s="26">
        <f t="shared" si="1"/>
        <v>1.0858019953952418</v>
      </c>
      <c r="K39" s="19">
        <v>54</v>
      </c>
      <c r="L39" s="19">
        <v>5400</v>
      </c>
      <c r="M39" s="26">
        <f t="shared" ref="M39:M44" si="43">(F39*I39)/(0.85*0.65*J39*L39)</f>
        <v>6.5510306686777273</v>
      </c>
      <c r="N39" s="38">
        <v>6</v>
      </c>
      <c r="O39" s="19">
        <v>0</v>
      </c>
      <c r="P39" s="19">
        <f t="shared" si="33"/>
        <v>0</v>
      </c>
      <c r="Q39" s="19">
        <v>6</v>
      </c>
      <c r="R39" s="19">
        <f t="shared" si="41"/>
        <v>324</v>
      </c>
      <c r="S39" s="4"/>
      <c r="T39" s="4"/>
      <c r="U39" s="4"/>
      <c r="V39" s="4"/>
      <c r="W39" s="19">
        <v>16</v>
      </c>
      <c r="X39" s="19"/>
      <c r="Y39" s="19"/>
      <c r="Z39" s="19"/>
      <c r="AA39" s="19"/>
      <c r="AB39" s="19">
        <v>1</v>
      </c>
      <c r="AC39" s="19"/>
    </row>
    <row r="40" spans="1:29">
      <c r="A40" s="15">
        <v>27</v>
      </c>
      <c r="B40" s="14" t="s">
        <v>86</v>
      </c>
      <c r="C40" s="18">
        <v>6.48</v>
      </c>
      <c r="D40" s="18">
        <v>4.1900000000000004</v>
      </c>
      <c r="E40" s="18">
        <v>3</v>
      </c>
      <c r="F40" s="16">
        <f t="shared" si="42"/>
        <v>27.151200000000003</v>
      </c>
      <c r="G40" s="16">
        <f>F40*10.76</f>
        <v>292.14691200000004</v>
      </c>
      <c r="H40" s="16">
        <f t="shared" si="40"/>
        <v>3</v>
      </c>
      <c r="I40" s="19">
        <v>400</v>
      </c>
      <c r="J40" s="26">
        <f t="shared" si="1"/>
        <v>0.84820993439550141</v>
      </c>
      <c r="K40" s="19">
        <v>36</v>
      </c>
      <c r="L40" s="19">
        <v>3600</v>
      </c>
      <c r="M40" s="26">
        <f t="shared" si="43"/>
        <v>6.4374057315233788</v>
      </c>
      <c r="N40" s="38">
        <v>6</v>
      </c>
      <c r="O40" s="19">
        <v>4</v>
      </c>
      <c r="P40" s="19">
        <f t="shared" si="33"/>
        <v>144</v>
      </c>
      <c r="Q40" s="19">
        <v>2</v>
      </c>
      <c r="R40" s="19">
        <f t="shared" si="41"/>
        <v>72</v>
      </c>
      <c r="S40" s="4">
        <v>1</v>
      </c>
      <c r="T40" s="4"/>
      <c r="U40" s="4"/>
      <c r="V40" s="4"/>
      <c r="W40" s="19">
        <v>14</v>
      </c>
      <c r="X40" s="19">
        <v>4</v>
      </c>
      <c r="Y40" s="19"/>
      <c r="Z40" s="19">
        <v>1</v>
      </c>
      <c r="AA40" s="19"/>
      <c r="AB40" s="19">
        <v>1</v>
      </c>
      <c r="AC40" s="19"/>
    </row>
    <row r="41" spans="1:29">
      <c r="A41" s="15">
        <v>28</v>
      </c>
      <c r="B41" s="14" t="s">
        <v>72</v>
      </c>
      <c r="C41" s="18">
        <v>6.48</v>
      </c>
      <c r="D41" s="18">
        <v>5</v>
      </c>
      <c r="E41" s="18">
        <v>3</v>
      </c>
      <c r="F41" s="16">
        <f t="shared" si="42"/>
        <v>32.400000000000006</v>
      </c>
      <c r="G41" s="16">
        <f t="shared" ref="G41:G44" si="44">F41*10.76</f>
        <v>348.62400000000008</v>
      </c>
      <c r="H41" s="16">
        <f t="shared" si="40"/>
        <v>3</v>
      </c>
      <c r="I41" s="19">
        <v>500</v>
      </c>
      <c r="J41" s="26">
        <f t="shared" si="1"/>
        <v>0.94076655052264835</v>
      </c>
      <c r="K41" s="19">
        <v>54</v>
      </c>
      <c r="L41" s="19">
        <v>5400</v>
      </c>
      <c r="M41" s="26">
        <f t="shared" si="43"/>
        <v>5.7717445952740061</v>
      </c>
      <c r="N41" s="38">
        <v>6</v>
      </c>
      <c r="O41" s="19">
        <v>0</v>
      </c>
      <c r="P41" s="19">
        <f t="shared" si="33"/>
        <v>0</v>
      </c>
      <c r="Q41" s="19">
        <v>6</v>
      </c>
      <c r="R41" s="19">
        <f t="shared" si="41"/>
        <v>324</v>
      </c>
      <c r="S41" s="4"/>
      <c r="T41" s="4"/>
      <c r="U41" s="4"/>
      <c r="V41" s="4">
        <v>2</v>
      </c>
      <c r="W41" s="19">
        <v>16</v>
      </c>
      <c r="X41" s="19"/>
      <c r="Y41" s="19">
        <v>1</v>
      </c>
      <c r="Z41" s="19"/>
      <c r="AA41" s="19"/>
      <c r="AB41" s="19">
        <v>1</v>
      </c>
      <c r="AC41" s="19"/>
    </row>
    <row r="42" spans="1:29">
      <c r="A42" s="15">
        <v>29</v>
      </c>
      <c r="B42" s="13" t="s">
        <v>87</v>
      </c>
      <c r="C42" s="18">
        <v>6.6</v>
      </c>
      <c r="D42" s="18">
        <v>5.6</v>
      </c>
      <c r="E42" s="18">
        <v>3</v>
      </c>
      <c r="F42" s="16">
        <f t="shared" si="42"/>
        <v>36.959999999999994</v>
      </c>
      <c r="G42" s="16">
        <f t="shared" si="44"/>
        <v>397.68959999999993</v>
      </c>
      <c r="H42" s="16">
        <f t="shared" si="40"/>
        <v>3</v>
      </c>
      <c r="I42" s="19">
        <v>300</v>
      </c>
      <c r="J42" s="26">
        <f t="shared" si="1"/>
        <v>1.0098360655737704</v>
      </c>
      <c r="K42" s="19">
        <v>24</v>
      </c>
      <c r="L42" s="19">
        <v>2400</v>
      </c>
      <c r="M42" s="26">
        <f t="shared" si="43"/>
        <v>8.2805429864253384</v>
      </c>
      <c r="N42" s="38">
        <v>8</v>
      </c>
      <c r="O42" s="19">
        <v>5</v>
      </c>
      <c r="P42" s="19">
        <f t="shared" si="33"/>
        <v>120</v>
      </c>
      <c r="Q42" s="19">
        <v>3</v>
      </c>
      <c r="R42" s="19">
        <f t="shared" si="41"/>
        <v>72</v>
      </c>
      <c r="S42" s="4">
        <v>3</v>
      </c>
      <c r="T42" s="4"/>
      <c r="U42" s="4">
        <v>1</v>
      </c>
      <c r="V42" s="4">
        <v>14</v>
      </c>
      <c r="W42" s="19">
        <v>14</v>
      </c>
      <c r="X42" s="19">
        <v>6</v>
      </c>
      <c r="Y42" s="19">
        <v>1</v>
      </c>
      <c r="Z42" s="19">
        <v>1</v>
      </c>
      <c r="AA42" s="19"/>
      <c r="AB42" s="19">
        <v>1</v>
      </c>
      <c r="AC42" s="19">
        <v>1</v>
      </c>
    </row>
    <row r="43" spans="1:29">
      <c r="A43" s="15">
        <v>30</v>
      </c>
      <c r="B43" s="14" t="s">
        <v>77</v>
      </c>
      <c r="C43" s="18">
        <v>1.2</v>
      </c>
      <c r="D43" s="18">
        <v>2.1</v>
      </c>
      <c r="E43" s="18">
        <v>3</v>
      </c>
      <c r="F43" s="16">
        <f t="shared" ref="F43" si="45">C43*D43</f>
        <v>2.52</v>
      </c>
      <c r="G43" s="16">
        <f t="shared" ref="G43" si="46">F43*10.76</f>
        <v>27.115199999999998</v>
      </c>
      <c r="H43" s="16">
        <f t="shared" si="40"/>
        <v>3</v>
      </c>
      <c r="I43" s="19">
        <v>200</v>
      </c>
      <c r="J43" s="26">
        <f t="shared" si="1"/>
        <v>0.25454545454545457</v>
      </c>
      <c r="K43" s="19">
        <v>12</v>
      </c>
      <c r="L43" s="19">
        <v>1200</v>
      </c>
      <c r="M43" s="26">
        <f t="shared" ref="M43" si="47">(F43*I43)/(0.85*0.65*J43*L43)</f>
        <v>2.9864253393665154</v>
      </c>
      <c r="N43" s="38">
        <v>1</v>
      </c>
      <c r="O43" s="19">
        <v>1</v>
      </c>
      <c r="P43" s="19">
        <f t="shared" ref="P43" si="48">O43*K43</f>
        <v>12</v>
      </c>
      <c r="Q43" s="19"/>
      <c r="R43" s="19">
        <f t="shared" si="41"/>
        <v>0</v>
      </c>
      <c r="S43" s="4"/>
      <c r="T43" s="4">
        <v>1</v>
      </c>
      <c r="U43" s="4"/>
      <c r="V43" s="4">
        <v>2</v>
      </c>
      <c r="W43" s="19"/>
      <c r="X43" s="19"/>
      <c r="Y43" s="19"/>
      <c r="Z43" s="19"/>
      <c r="AA43" s="19"/>
      <c r="AB43" s="19"/>
      <c r="AC43" s="19"/>
    </row>
    <row r="44" spans="1:29">
      <c r="A44" s="15">
        <v>31</v>
      </c>
      <c r="B44" s="14" t="s">
        <v>88</v>
      </c>
      <c r="C44" s="18">
        <v>2.17</v>
      </c>
      <c r="D44" s="18">
        <v>2.06</v>
      </c>
      <c r="E44" s="18">
        <v>3</v>
      </c>
      <c r="F44" s="16">
        <f t="shared" si="42"/>
        <v>4.4702000000000002</v>
      </c>
      <c r="G44" s="16">
        <f t="shared" si="44"/>
        <v>48.099352000000003</v>
      </c>
      <c r="H44" s="16">
        <f t="shared" ref="H44" si="49">E44</f>
        <v>3</v>
      </c>
      <c r="I44" s="19">
        <v>200</v>
      </c>
      <c r="J44" s="26">
        <f t="shared" si="1"/>
        <v>0.35226162332545308</v>
      </c>
      <c r="K44" s="19">
        <v>24</v>
      </c>
      <c r="L44" s="19">
        <v>2400</v>
      </c>
      <c r="M44" s="26">
        <f t="shared" si="43"/>
        <v>1.9140271493212673</v>
      </c>
      <c r="N44" s="38">
        <v>1</v>
      </c>
      <c r="O44" s="19">
        <v>1</v>
      </c>
      <c r="P44" s="19">
        <f t="shared" ref="P44" si="50">O44*K44</f>
        <v>24</v>
      </c>
      <c r="Q44" s="19"/>
      <c r="R44" s="19">
        <f t="shared" ref="R44" si="51">Q44*K44</f>
        <v>0</v>
      </c>
      <c r="S44" s="4"/>
      <c r="T44" s="4"/>
      <c r="U44" s="4"/>
      <c r="V44" s="4">
        <v>1</v>
      </c>
      <c r="W44" s="19"/>
      <c r="X44" s="19"/>
      <c r="Y44" s="19"/>
      <c r="Z44" s="19">
        <v>1</v>
      </c>
      <c r="AA44" s="19"/>
      <c r="AB44" s="19">
        <v>1</v>
      </c>
      <c r="AC44" s="19"/>
    </row>
    <row r="45" spans="1:29">
      <c r="A45" s="94"/>
      <c r="B45" s="14"/>
      <c r="C45" s="18"/>
      <c r="D45" s="18"/>
      <c r="E45" s="18"/>
      <c r="F45" s="16"/>
      <c r="G45" s="16"/>
      <c r="H45" s="16"/>
      <c r="I45" s="19"/>
      <c r="J45" s="32"/>
      <c r="K45" s="19"/>
      <c r="L45" s="19"/>
      <c r="M45" s="32"/>
      <c r="N45" s="38"/>
      <c r="O45" s="19"/>
      <c r="P45" s="19"/>
      <c r="Q45" s="19"/>
      <c r="R45" s="19"/>
      <c r="S45" s="4"/>
      <c r="T45" s="4"/>
      <c r="U45" s="4"/>
      <c r="V45" s="39"/>
      <c r="W45" s="19"/>
      <c r="X45" s="19"/>
      <c r="Y45" s="19"/>
      <c r="Z45" s="19"/>
      <c r="AA45" s="19"/>
      <c r="AB45" s="19"/>
      <c r="AC45" s="19"/>
    </row>
    <row r="46" spans="1:29" s="33" customFormat="1">
      <c r="A46" s="29"/>
      <c r="B46" s="30" t="s">
        <v>29</v>
      </c>
      <c r="C46" s="30"/>
      <c r="D46" s="30"/>
      <c r="E46" s="30"/>
      <c r="F46" s="30"/>
      <c r="G46" s="16"/>
      <c r="H46" s="29"/>
      <c r="I46" s="31"/>
      <c r="J46" s="32"/>
      <c r="K46" s="32"/>
      <c r="L46" s="32"/>
      <c r="M46" s="32"/>
      <c r="N46" s="42">
        <f t="shared" ref="N46:AB46" si="52">SUM(N15:N44)</f>
        <v>86</v>
      </c>
      <c r="O46" s="42">
        <f t="shared" si="52"/>
        <v>46</v>
      </c>
      <c r="P46" s="42">
        <f t="shared" si="52"/>
        <v>1236</v>
      </c>
      <c r="Q46" s="42">
        <f t="shared" si="52"/>
        <v>40</v>
      </c>
      <c r="R46" s="42">
        <f t="shared" si="52"/>
        <v>1428</v>
      </c>
      <c r="S46" s="42">
        <f t="shared" si="52"/>
        <v>12</v>
      </c>
      <c r="T46" s="42">
        <f t="shared" si="52"/>
        <v>3</v>
      </c>
      <c r="U46" s="42">
        <f t="shared" si="52"/>
        <v>11</v>
      </c>
      <c r="V46" s="42">
        <f t="shared" si="52"/>
        <v>56</v>
      </c>
      <c r="W46" s="42">
        <f t="shared" si="52"/>
        <v>94</v>
      </c>
      <c r="X46" s="42">
        <f t="shared" si="52"/>
        <v>23</v>
      </c>
      <c r="Y46" s="42">
        <f t="shared" si="52"/>
        <v>7</v>
      </c>
      <c r="Z46" s="42">
        <f t="shared" si="52"/>
        <v>22</v>
      </c>
      <c r="AA46" s="42">
        <f t="shared" si="52"/>
        <v>4</v>
      </c>
      <c r="AB46" s="42">
        <f t="shared" si="52"/>
        <v>27</v>
      </c>
      <c r="AC46" s="42">
        <f t="shared" ref="AC46" si="53">SUM(AC15:AC44)</f>
        <v>2</v>
      </c>
    </row>
    <row r="47" spans="1:29">
      <c r="A47" s="34"/>
      <c r="B47" s="35" t="s">
        <v>30</v>
      </c>
      <c r="C47" s="35"/>
      <c r="D47" s="35"/>
      <c r="E47" s="35"/>
      <c r="F47" s="35"/>
      <c r="G47" s="16"/>
      <c r="H47" s="34"/>
      <c r="I47" s="31"/>
      <c r="J47" s="36"/>
      <c r="K47" s="36"/>
      <c r="L47" s="36"/>
      <c r="M47" s="36"/>
      <c r="N47" s="43"/>
      <c r="O47" s="37"/>
      <c r="P47" s="37">
        <f>((P46)/1000)/1.732</f>
        <v>0.71362586605080836</v>
      </c>
      <c r="Q47" s="37"/>
      <c r="R47" s="37">
        <f>((R46)/1000)/1.732</f>
        <v>0.82448036951501147</v>
      </c>
      <c r="S47" s="37">
        <f>((S46*60)/1000)/1.732</f>
        <v>0.41570438799076209</v>
      </c>
      <c r="T47" s="37">
        <f>((T46*60)/1000)/1.732</f>
        <v>0.10392609699769052</v>
      </c>
      <c r="U47" s="37">
        <f>((U46*100)/1000)/1.732</f>
        <v>0.63510392609699773</v>
      </c>
      <c r="V47" s="37">
        <f>((V46*250)/1000)/1.732</f>
        <v>8.0831408775981526</v>
      </c>
      <c r="W47" s="37">
        <f>((W46*250)/1000)/1.732</f>
        <v>13.568129330254042</v>
      </c>
      <c r="X47" s="4"/>
      <c r="Y47" s="4"/>
      <c r="Z47" s="4"/>
      <c r="AA47" s="4"/>
      <c r="AB47" s="4"/>
      <c r="AC47" s="4"/>
    </row>
    <row r="48" spans="1:29">
      <c r="A48" s="4"/>
      <c r="B48" s="3"/>
      <c r="C48" s="3"/>
      <c r="D48" s="3"/>
      <c r="E48" s="3"/>
      <c r="F48" s="3"/>
      <c r="G48" s="16"/>
      <c r="H48" s="4"/>
      <c r="I48" s="20"/>
      <c r="J48" s="19"/>
      <c r="K48" s="19"/>
      <c r="L48" s="19"/>
      <c r="M48" s="19"/>
      <c r="N48" s="38"/>
      <c r="O48" s="19"/>
      <c r="P48" s="3"/>
      <c r="Q48" s="3"/>
      <c r="R48" s="3"/>
      <c r="S48" s="4"/>
      <c r="T48" s="3"/>
      <c r="U48" s="3"/>
      <c r="V48" s="45"/>
      <c r="W48" s="4"/>
      <c r="X48" s="4"/>
      <c r="Y48" s="4"/>
      <c r="Z48" s="4"/>
      <c r="AA48" s="4"/>
      <c r="AB48" s="4"/>
      <c r="AC48" s="4"/>
    </row>
    <row r="49" spans="1:29">
      <c r="A49" s="4"/>
      <c r="B49" s="35" t="s">
        <v>99</v>
      </c>
      <c r="C49" s="3"/>
      <c r="D49" s="3"/>
      <c r="E49" s="3"/>
      <c r="F49" s="3"/>
      <c r="G49" s="16"/>
      <c r="H49" s="4"/>
      <c r="I49" s="20"/>
      <c r="J49" s="19"/>
      <c r="K49" s="19"/>
      <c r="L49" s="19"/>
      <c r="M49" s="19"/>
      <c r="N49" s="38"/>
      <c r="O49" s="37">
        <f>P47+S47+T47</f>
        <v>1.2332563510392609</v>
      </c>
      <c r="P49" s="35" t="s">
        <v>31</v>
      </c>
      <c r="Q49" s="3"/>
      <c r="R49" s="3"/>
      <c r="S49" s="4"/>
      <c r="T49" s="3"/>
      <c r="U49" s="3"/>
      <c r="V49" s="45"/>
      <c r="W49" s="4"/>
      <c r="X49" s="4"/>
      <c r="Y49" s="4"/>
      <c r="Z49" s="4"/>
      <c r="AA49" s="4"/>
      <c r="AB49" s="4"/>
      <c r="AC49" s="4"/>
    </row>
    <row r="50" spans="1:29">
      <c r="A50" s="4"/>
      <c r="B50" s="35" t="s">
        <v>100</v>
      </c>
      <c r="C50" s="3"/>
      <c r="D50" s="3"/>
      <c r="E50" s="3"/>
      <c r="F50" s="3"/>
      <c r="G50" s="16"/>
      <c r="H50" s="4"/>
      <c r="I50" s="20"/>
      <c r="J50" s="19"/>
      <c r="K50" s="19"/>
      <c r="L50" s="19"/>
      <c r="M50" s="19"/>
      <c r="N50" s="38"/>
      <c r="O50" s="37">
        <f>U47+V47</f>
        <v>8.7182448036951499</v>
      </c>
      <c r="P50" s="35" t="s">
        <v>31</v>
      </c>
      <c r="Q50" s="3"/>
      <c r="R50" s="3"/>
      <c r="S50" s="4"/>
      <c r="T50" s="3"/>
      <c r="U50" s="3"/>
      <c r="V50" s="45"/>
      <c r="W50" s="4"/>
      <c r="X50" s="4"/>
      <c r="Y50" s="4"/>
      <c r="Z50" s="4"/>
      <c r="AA50" s="4"/>
      <c r="AB50" s="4"/>
      <c r="AC50" s="4"/>
    </row>
    <row r="51" spans="1:29">
      <c r="A51" s="4"/>
      <c r="B51" s="35" t="s">
        <v>101</v>
      </c>
      <c r="C51" s="3"/>
      <c r="D51" s="3"/>
      <c r="E51" s="3"/>
      <c r="F51" s="3"/>
      <c r="G51" s="16"/>
      <c r="H51" s="4"/>
      <c r="I51" s="20"/>
      <c r="J51" s="19"/>
      <c r="K51" s="19"/>
      <c r="L51" s="19"/>
      <c r="M51" s="19"/>
      <c r="N51" s="38"/>
      <c r="O51" s="37">
        <f>R47</f>
        <v>0.82448036951501147</v>
      </c>
      <c r="P51" s="35" t="s">
        <v>31</v>
      </c>
      <c r="Q51" s="3"/>
      <c r="R51" s="3"/>
      <c r="S51" s="4"/>
      <c r="T51" s="3"/>
      <c r="U51" s="3"/>
      <c r="V51" s="45"/>
      <c r="W51" s="4"/>
      <c r="X51" s="4"/>
      <c r="Y51" s="4"/>
      <c r="Z51" s="4"/>
      <c r="AA51" s="4"/>
      <c r="AB51" s="4"/>
      <c r="AC51" s="4"/>
    </row>
    <row r="52" spans="1:29">
      <c r="A52" s="4"/>
      <c r="B52" s="35" t="s">
        <v>102</v>
      </c>
      <c r="C52" s="3"/>
      <c r="D52" s="3"/>
      <c r="E52" s="3"/>
      <c r="F52" s="3"/>
      <c r="G52" s="16"/>
      <c r="H52" s="4"/>
      <c r="I52" s="20"/>
      <c r="J52" s="19"/>
      <c r="K52" s="19"/>
      <c r="L52" s="19"/>
      <c r="M52" s="19"/>
      <c r="N52" s="38"/>
      <c r="O52" s="37">
        <f>W47</f>
        <v>13.568129330254042</v>
      </c>
      <c r="P52" s="35" t="s">
        <v>31</v>
      </c>
      <c r="Q52" s="3"/>
      <c r="R52" s="3"/>
      <c r="S52" s="4"/>
      <c r="T52" s="3"/>
      <c r="U52" s="3"/>
      <c r="V52" s="45"/>
      <c r="W52" s="4"/>
      <c r="X52" s="4"/>
      <c r="Y52" s="4"/>
      <c r="Z52" s="4"/>
      <c r="AA52" s="4"/>
      <c r="AB52" s="4"/>
      <c r="AC52" s="4"/>
    </row>
    <row r="53" spans="1:29">
      <c r="A53" s="4"/>
      <c r="B53" s="14"/>
      <c r="C53" s="18"/>
      <c r="D53" s="18"/>
      <c r="E53" s="18"/>
      <c r="F53" s="16"/>
      <c r="G53" s="16"/>
      <c r="H53" s="4"/>
      <c r="I53" s="19"/>
      <c r="J53" s="26"/>
      <c r="K53" s="19"/>
      <c r="L53" s="19"/>
      <c r="M53" s="26"/>
      <c r="N53" s="38"/>
      <c r="O53" s="19"/>
      <c r="P53" s="19"/>
      <c r="Q53" s="19"/>
      <c r="R53" s="19"/>
      <c r="S53" s="4"/>
      <c r="T53" s="4"/>
      <c r="U53" s="4"/>
      <c r="V53" s="39"/>
      <c r="W53" s="19"/>
      <c r="X53" s="19"/>
      <c r="Y53" s="19"/>
      <c r="Z53" s="19"/>
      <c r="AA53" s="19"/>
      <c r="AB53" s="19"/>
      <c r="AC53" s="19"/>
    </row>
  </sheetData>
  <mergeCells count="17">
    <mergeCell ref="A9:A10"/>
    <mergeCell ref="B9:B10"/>
    <mergeCell ref="H9:H10"/>
    <mergeCell ref="O9:P9"/>
    <mergeCell ref="C9:E10"/>
    <mergeCell ref="F9:G10"/>
    <mergeCell ref="AC9:AC10"/>
    <mergeCell ref="Q9:R9"/>
    <mergeCell ref="I9:I10"/>
    <mergeCell ref="G4:I4"/>
    <mergeCell ref="AA9:AA10"/>
    <mergeCell ref="AB9:AB10"/>
    <mergeCell ref="Y9:Y10"/>
    <mergeCell ref="X8:AB8"/>
    <mergeCell ref="I8:W8"/>
    <mergeCell ref="X9:X10"/>
    <mergeCell ref="S9:T9"/>
  </mergeCells>
  <phoneticPr fontId="7" type="noConversion"/>
  <pageMargins left="0.55118110236220474" right="0.70866141732283472" top="0.74803149606299213" bottom="0.74803149606299213" header="0.31496062992125984" footer="0.31496062992125984"/>
  <pageSetup paperSize="8" scale="70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URS</vt:lpstr>
      <vt:lpstr>URS!Print_Area</vt:lpstr>
      <vt:lpstr>URS!Print_Titles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2023-12-07T12:59:53Z</dcterms:modified>
</cp:coreProperties>
</file>