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00" windowWidth="27495" windowHeight="11955" activeTab="2"/>
  </bookViews>
  <sheets>
    <sheet name="Setup" sheetId="1" r:id="rId1"/>
    <sheet name="Summary" sheetId="2" r:id="rId2"/>
    <sheet name="Cards" sheetId="3" r:id="rId3"/>
    <sheet name="Missing Cards" sheetId="4" r:id="rId4"/>
    <sheet name="Pack Statistics" sheetId="5" r:id="rId5"/>
    <sheet name="Deck Check" sheetId="6" r:id="rId6"/>
    <sheet name="Feedback" sheetId="7" r:id="rId7"/>
    <sheet name="Changelog" sheetId="8" r:id="rId8"/>
    <sheet name="Reference" sheetId="9" r:id="rId9"/>
    <sheet name="Misc Data" sheetId="10" r:id="rId10"/>
  </sheets>
  <definedNames>
    <definedName name="_xlnm._FilterDatabase" localSheetId="1" hidden="1">Summary!$A$1</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ort_Full_Collection">Cards!$B$1:$AI$878</definedName>
    <definedName name="Sort_Pre_TOG_If_Unsorted">Cards!$B$1:$AI$744</definedName>
    <definedName name="TOG_If_Unsorted">Cards!$B$745:$AI$874</definedName>
  </definedNames>
  <calcPr calcId="145621"/>
  <fileRecoveryPr repairLoad="1"/>
</workbook>
</file>

<file path=xl/calcChain.xml><?xml version="1.0" encoding="utf-8"?>
<calcChain xmlns="http://schemas.openxmlformats.org/spreadsheetml/2006/main">
  <c r="C389" i="10" l="1"/>
  <c r="K389" i="10" s="1"/>
  <c r="C388" i="10"/>
  <c r="K388" i="10" s="1"/>
  <c r="C387" i="10"/>
  <c r="K387" i="10" s="1"/>
  <c r="C386" i="10"/>
  <c r="C385" i="10"/>
  <c r="C384" i="10"/>
  <c r="C383" i="10"/>
  <c r="C382" i="10"/>
  <c r="C381" i="10"/>
  <c r="C380" i="10"/>
  <c r="C379" i="10"/>
  <c r="C374" i="10"/>
  <c r="C373" i="10"/>
  <c r="C372" i="10"/>
  <c r="C371" i="10"/>
  <c r="C370" i="10"/>
  <c r="C369" i="10"/>
  <c r="C368" i="10"/>
  <c r="C367" i="10"/>
  <c r="C366" i="10"/>
  <c r="C365" i="10"/>
  <c r="C364" i="10"/>
  <c r="E357" i="10"/>
  <c r="C357" i="10"/>
  <c r="D357" i="10" s="1"/>
  <c r="F356" i="10"/>
  <c r="C356" i="10"/>
  <c r="E356" i="10" s="1"/>
  <c r="G355" i="10"/>
  <c r="D355" i="10"/>
  <c r="C355" i="10"/>
  <c r="F355" i="10" s="1"/>
  <c r="H354" i="10"/>
  <c r="F354" i="10"/>
  <c r="E354" i="10"/>
  <c r="D354" i="10"/>
  <c r="C354" i="10"/>
  <c r="G354" i="10" s="1"/>
  <c r="I353" i="10"/>
  <c r="G353" i="10"/>
  <c r="F353" i="10"/>
  <c r="E353" i="10"/>
  <c r="C353" i="10"/>
  <c r="H353" i="10" s="1"/>
  <c r="J352" i="10"/>
  <c r="H352" i="10"/>
  <c r="G352" i="10"/>
  <c r="F352" i="10"/>
  <c r="C352" i="10"/>
  <c r="I352" i="10" s="1"/>
  <c r="H351" i="10"/>
  <c r="C351" i="10"/>
  <c r="K351" i="10" s="1"/>
  <c r="J350" i="10"/>
  <c r="I350" i="10"/>
  <c r="H350" i="10"/>
  <c r="E350" i="10"/>
  <c r="D350" i="10"/>
  <c r="C350" i="10"/>
  <c r="K350" i="10" s="1"/>
  <c r="K349" i="10"/>
  <c r="J349" i="10"/>
  <c r="C349" i="10"/>
  <c r="F348" i="10"/>
  <c r="C348" i="10"/>
  <c r="G347" i="10"/>
  <c r="E347" i="10"/>
  <c r="D347" i="10"/>
  <c r="C347" i="10"/>
  <c r="J342" i="10"/>
  <c r="I342" i="10"/>
  <c r="G342" i="10"/>
  <c r="F342" i="10"/>
  <c r="E342" i="10"/>
  <c r="C342" i="10"/>
  <c r="H342" i="10" s="1"/>
  <c r="J341" i="10"/>
  <c r="H341" i="10"/>
  <c r="G341" i="10"/>
  <c r="F341" i="10"/>
  <c r="C341" i="10"/>
  <c r="I341" i="10" s="1"/>
  <c r="K340" i="10"/>
  <c r="H340" i="10"/>
  <c r="C340" i="10"/>
  <c r="J339" i="10"/>
  <c r="I339" i="10"/>
  <c r="H339" i="10"/>
  <c r="E339" i="10"/>
  <c r="D339" i="10"/>
  <c r="C339" i="10"/>
  <c r="K339" i="10" s="1"/>
  <c r="I338" i="10"/>
  <c r="E338" i="10"/>
  <c r="C338" i="10"/>
  <c r="K338" i="10" s="1"/>
  <c r="K337" i="10"/>
  <c r="F337" i="10"/>
  <c r="C337" i="10"/>
  <c r="K336" i="10"/>
  <c r="G336" i="10"/>
  <c r="E336" i="10"/>
  <c r="D336" i="10"/>
  <c r="C336" i="10"/>
  <c r="H335" i="10"/>
  <c r="F335" i="10"/>
  <c r="E335" i="10"/>
  <c r="D335" i="10"/>
  <c r="C335" i="10"/>
  <c r="G335" i="10" s="1"/>
  <c r="J334" i="10"/>
  <c r="I334" i="10"/>
  <c r="G334" i="10"/>
  <c r="F334" i="10"/>
  <c r="E334" i="10"/>
  <c r="D334" i="10"/>
  <c r="C334" i="10"/>
  <c r="H334" i="10" s="1"/>
  <c r="J333" i="10"/>
  <c r="H333" i="10"/>
  <c r="G333" i="10"/>
  <c r="F333" i="10"/>
  <c r="E333" i="10"/>
  <c r="C333" i="10"/>
  <c r="I333" i="10" s="1"/>
  <c r="I332" i="10"/>
  <c r="H332" i="10"/>
  <c r="C332" i="10"/>
  <c r="K332" i="10" s="1"/>
  <c r="J325" i="10"/>
  <c r="F325" i="10"/>
  <c r="E325" i="10"/>
  <c r="C325" i="10"/>
  <c r="K325" i="10" s="1"/>
  <c r="D324" i="10"/>
  <c r="C324" i="10"/>
  <c r="K324" i="10" s="1"/>
  <c r="C323" i="10"/>
  <c r="K322" i="10"/>
  <c r="I322" i="10"/>
  <c r="H322" i="10"/>
  <c r="E322" i="10"/>
  <c r="C322" i="10"/>
  <c r="J321" i="10"/>
  <c r="I321" i="10"/>
  <c r="G321" i="10"/>
  <c r="F321" i="10"/>
  <c r="E321" i="10"/>
  <c r="D321" i="10"/>
  <c r="C321" i="10"/>
  <c r="H321" i="10" s="1"/>
  <c r="J320" i="10"/>
  <c r="H320" i="10"/>
  <c r="C320" i="10"/>
  <c r="K320" i="10" s="1"/>
  <c r="H319" i="10"/>
  <c r="G319" i="10"/>
  <c r="F319" i="10"/>
  <c r="D319" i="10"/>
  <c r="C319" i="10"/>
  <c r="K319" i="10" s="1"/>
  <c r="J318" i="10"/>
  <c r="I318" i="10"/>
  <c r="H318" i="10"/>
  <c r="G318" i="10"/>
  <c r="F318" i="10"/>
  <c r="E318" i="10"/>
  <c r="D318" i="10"/>
  <c r="C318" i="10"/>
  <c r="K318" i="10" s="1"/>
  <c r="K317" i="10"/>
  <c r="H317" i="10"/>
  <c r="F317" i="10"/>
  <c r="C317" i="10"/>
  <c r="J317" i="10" s="1"/>
  <c r="J316" i="10"/>
  <c r="F316" i="10"/>
  <c r="D316" i="10"/>
  <c r="C316" i="10"/>
  <c r="K316" i="10" s="1"/>
  <c r="D315" i="10"/>
  <c r="C315" i="10"/>
  <c r="K315" i="10" s="1"/>
  <c r="J310" i="10"/>
  <c r="I310" i="10"/>
  <c r="G310" i="10"/>
  <c r="F310" i="10"/>
  <c r="E310" i="10"/>
  <c r="D310" i="10"/>
  <c r="C310" i="10"/>
  <c r="H310" i="10" s="1"/>
  <c r="K309" i="10"/>
  <c r="J309" i="10"/>
  <c r="H309" i="10"/>
  <c r="G309" i="10"/>
  <c r="F309" i="10"/>
  <c r="E309" i="10"/>
  <c r="C309" i="10"/>
  <c r="I309" i="10" s="1"/>
  <c r="K308" i="10"/>
  <c r="I308" i="10"/>
  <c r="H308" i="10"/>
  <c r="G308" i="10"/>
  <c r="F308" i="10"/>
  <c r="E308" i="10"/>
  <c r="C308" i="10"/>
  <c r="J308" i="10" s="1"/>
  <c r="J307" i="10"/>
  <c r="I307" i="10"/>
  <c r="H307" i="10"/>
  <c r="G307" i="10"/>
  <c r="F307" i="10"/>
  <c r="E307" i="10"/>
  <c r="D307" i="10"/>
  <c r="C307" i="10"/>
  <c r="K307" i="10" s="1"/>
  <c r="K306" i="10"/>
  <c r="J306" i="10"/>
  <c r="I306" i="10"/>
  <c r="H306" i="10"/>
  <c r="F306" i="10"/>
  <c r="C306" i="10"/>
  <c r="D306" i="10" s="1"/>
  <c r="K305" i="10"/>
  <c r="J305" i="10"/>
  <c r="I305" i="10"/>
  <c r="H305" i="10"/>
  <c r="F305" i="10"/>
  <c r="C305" i="10"/>
  <c r="E305" i="10" s="1"/>
  <c r="K304" i="10"/>
  <c r="J304" i="10"/>
  <c r="I304" i="10"/>
  <c r="H304" i="10"/>
  <c r="E304" i="10"/>
  <c r="C304" i="10"/>
  <c r="F304" i="10" s="1"/>
  <c r="K303" i="10"/>
  <c r="J303" i="10"/>
  <c r="H303" i="10"/>
  <c r="E303" i="10"/>
  <c r="C303" i="10"/>
  <c r="G303" i="10" s="1"/>
  <c r="K302" i="10"/>
  <c r="J302" i="10"/>
  <c r="G302" i="10"/>
  <c r="E302" i="10"/>
  <c r="C302" i="10"/>
  <c r="H302" i="10" s="1"/>
  <c r="K301" i="10"/>
  <c r="J301" i="10"/>
  <c r="E301" i="10"/>
  <c r="C301" i="10"/>
  <c r="I301" i="10" s="1"/>
  <c r="K300" i="10"/>
  <c r="I300" i="10"/>
  <c r="E300" i="10"/>
  <c r="C300" i="10"/>
  <c r="J300" i="10" s="1"/>
  <c r="K293" i="10"/>
  <c r="J293" i="10"/>
  <c r="I293" i="10"/>
  <c r="H293" i="10"/>
  <c r="G293" i="10"/>
  <c r="F293" i="10"/>
  <c r="E293" i="10"/>
  <c r="C293" i="10"/>
  <c r="D293" i="10" s="1"/>
  <c r="K292" i="10"/>
  <c r="J292" i="10"/>
  <c r="I292" i="10"/>
  <c r="H292" i="10"/>
  <c r="G292" i="10"/>
  <c r="F292" i="10"/>
  <c r="D292" i="10"/>
  <c r="C292" i="10"/>
  <c r="E292" i="10" s="1"/>
  <c r="K291" i="10"/>
  <c r="J291" i="10"/>
  <c r="I291" i="10"/>
  <c r="H291" i="10"/>
  <c r="G291" i="10"/>
  <c r="E291" i="10"/>
  <c r="D291" i="10"/>
  <c r="C291" i="10"/>
  <c r="F291" i="10" s="1"/>
  <c r="K290" i="10"/>
  <c r="J290" i="10"/>
  <c r="I290" i="10"/>
  <c r="H290" i="10"/>
  <c r="F290" i="10"/>
  <c r="E290" i="10"/>
  <c r="D290" i="10"/>
  <c r="C290" i="10"/>
  <c r="G290" i="10" s="1"/>
  <c r="K289" i="10"/>
  <c r="J289" i="10"/>
  <c r="I289" i="10"/>
  <c r="G289" i="10"/>
  <c r="F289" i="10"/>
  <c r="E289" i="10"/>
  <c r="D289" i="10"/>
  <c r="C289" i="10"/>
  <c r="H289" i="10" s="1"/>
  <c r="K288" i="10"/>
  <c r="J288" i="10"/>
  <c r="H288" i="10"/>
  <c r="G288" i="10"/>
  <c r="F288" i="10"/>
  <c r="E288" i="10"/>
  <c r="D288" i="10"/>
  <c r="C288" i="10"/>
  <c r="I288" i="10" s="1"/>
  <c r="K287" i="10"/>
  <c r="I287" i="10"/>
  <c r="H287" i="10"/>
  <c r="G287" i="10"/>
  <c r="F287" i="10"/>
  <c r="D287" i="10"/>
  <c r="C287" i="10"/>
  <c r="J287" i="10" s="1"/>
  <c r="J286" i="10"/>
  <c r="I286" i="10"/>
  <c r="H286" i="10"/>
  <c r="G286" i="10"/>
  <c r="F286" i="10"/>
  <c r="E286" i="10"/>
  <c r="D286" i="10"/>
  <c r="C286" i="10"/>
  <c r="K286" i="10" s="1"/>
  <c r="K285" i="10"/>
  <c r="J285" i="10"/>
  <c r="I285" i="10"/>
  <c r="H285" i="10"/>
  <c r="G285" i="10"/>
  <c r="E285" i="10"/>
  <c r="C285" i="10"/>
  <c r="D285" i="10" s="1"/>
  <c r="H284" i="10"/>
  <c r="C284" i="10"/>
  <c r="J283" i="10"/>
  <c r="H283" i="10"/>
  <c r="F283" i="10"/>
  <c r="D283" i="10"/>
  <c r="C283" i="10"/>
  <c r="K283" i="10" s="1"/>
  <c r="C278" i="10"/>
  <c r="C277" i="10"/>
  <c r="K277" i="10" s="1"/>
  <c r="J276" i="10"/>
  <c r="I276" i="10"/>
  <c r="H276" i="10"/>
  <c r="G276" i="10"/>
  <c r="F276" i="10"/>
  <c r="E276" i="10"/>
  <c r="D276" i="10"/>
  <c r="C276" i="10"/>
  <c r="K276" i="10" s="1"/>
  <c r="K275" i="10"/>
  <c r="I275" i="10"/>
  <c r="H275" i="10"/>
  <c r="G275" i="10"/>
  <c r="F275" i="10"/>
  <c r="E275" i="10"/>
  <c r="C275" i="10"/>
  <c r="J274" i="10"/>
  <c r="I274" i="10"/>
  <c r="H274" i="10"/>
  <c r="G274" i="10"/>
  <c r="F274" i="10"/>
  <c r="D274" i="10"/>
  <c r="C274" i="10"/>
  <c r="E274" i="10" s="1"/>
  <c r="J273" i="10"/>
  <c r="I273" i="10"/>
  <c r="H273" i="10"/>
  <c r="E273" i="10"/>
  <c r="C273" i="10"/>
  <c r="F273" i="10" s="1"/>
  <c r="J272" i="10"/>
  <c r="I272" i="10"/>
  <c r="E272" i="10"/>
  <c r="C272" i="10"/>
  <c r="G272" i="10" s="1"/>
  <c r="I271" i="10"/>
  <c r="E271" i="10"/>
  <c r="C271" i="10"/>
  <c r="J271" i="10" s="1"/>
  <c r="C270" i="10"/>
  <c r="H269" i="10"/>
  <c r="E269" i="10"/>
  <c r="C269" i="10"/>
  <c r="I269" i="10" s="1"/>
  <c r="J268" i="10"/>
  <c r="I268" i="10"/>
  <c r="H268" i="10"/>
  <c r="G268" i="10"/>
  <c r="F268" i="10"/>
  <c r="E268" i="10"/>
  <c r="D268" i="10"/>
  <c r="C268" i="10"/>
  <c r="K268" i="10" s="1"/>
  <c r="J261" i="10"/>
  <c r="I261" i="10"/>
  <c r="H261" i="10"/>
  <c r="C261" i="10"/>
  <c r="C260" i="10"/>
  <c r="J260" i="10" s="1"/>
  <c r="C259" i="10"/>
  <c r="I258" i="10"/>
  <c r="G258" i="10"/>
  <c r="E258" i="10"/>
  <c r="C258" i="10"/>
  <c r="J258" i="10" s="1"/>
  <c r="C257" i="10"/>
  <c r="I256" i="10"/>
  <c r="H256" i="10"/>
  <c r="E256" i="10"/>
  <c r="C256" i="10"/>
  <c r="J255" i="10"/>
  <c r="I255" i="10"/>
  <c r="H255" i="10"/>
  <c r="G255" i="10"/>
  <c r="F255" i="10"/>
  <c r="E255" i="10"/>
  <c r="D255" i="10"/>
  <c r="C255" i="10"/>
  <c r="K255" i="10" s="1"/>
  <c r="H254" i="10"/>
  <c r="F254" i="10"/>
  <c r="C254" i="10"/>
  <c r="J254" i="10" s="1"/>
  <c r="J253" i="10"/>
  <c r="I253" i="10"/>
  <c r="H253" i="10"/>
  <c r="F253" i="10"/>
  <c r="C253" i="10"/>
  <c r="J252" i="10"/>
  <c r="I252" i="10"/>
  <c r="H252" i="10"/>
  <c r="C252" i="10"/>
  <c r="C251" i="10"/>
  <c r="J251" i="10" s="1"/>
  <c r="H246" i="10"/>
  <c r="G246" i="10"/>
  <c r="E246" i="10"/>
  <c r="C246" i="10"/>
  <c r="J246" i="10" s="1"/>
  <c r="C245" i="10"/>
  <c r="J244" i="10"/>
  <c r="I244" i="10"/>
  <c r="H244" i="10"/>
  <c r="G244" i="10"/>
  <c r="F244" i="10"/>
  <c r="E244" i="10"/>
  <c r="D244" i="10"/>
  <c r="C244" i="10"/>
  <c r="K244" i="10" s="1"/>
  <c r="J243" i="10"/>
  <c r="I243" i="10"/>
  <c r="H243" i="10"/>
  <c r="F243" i="10"/>
  <c r="C243" i="10"/>
  <c r="H242" i="10"/>
  <c r="F242" i="10"/>
  <c r="C242" i="10"/>
  <c r="J242" i="10" s="1"/>
  <c r="J241" i="10"/>
  <c r="I241" i="10"/>
  <c r="H241" i="10"/>
  <c r="E241" i="10"/>
  <c r="C241" i="10"/>
  <c r="J240" i="10"/>
  <c r="I240" i="10"/>
  <c r="H240" i="10"/>
  <c r="C240" i="10"/>
  <c r="C239" i="10"/>
  <c r="J239" i="10" s="1"/>
  <c r="J238" i="10"/>
  <c r="G238" i="10"/>
  <c r="C238" i="10"/>
  <c r="H237" i="10"/>
  <c r="G237" i="10"/>
  <c r="E237" i="10"/>
  <c r="C237" i="10"/>
  <c r="C247" i="10" s="1"/>
  <c r="J236" i="10"/>
  <c r="I236" i="10"/>
  <c r="H236" i="10"/>
  <c r="G236" i="10"/>
  <c r="F236" i="10"/>
  <c r="E236" i="10"/>
  <c r="D236" i="10"/>
  <c r="C236" i="10"/>
  <c r="K236" i="10" s="1"/>
  <c r="J228" i="10"/>
  <c r="I228" i="10"/>
  <c r="H228" i="10"/>
  <c r="G228" i="10"/>
  <c r="F228" i="10"/>
  <c r="C228" i="10"/>
  <c r="J227" i="10"/>
  <c r="I227" i="10"/>
  <c r="H227" i="10"/>
  <c r="G227" i="10"/>
  <c r="E227" i="10"/>
  <c r="C227" i="10"/>
  <c r="H226" i="10"/>
  <c r="F226" i="10"/>
  <c r="E226" i="10"/>
  <c r="C226" i="10"/>
  <c r="J226" i="10" s="1"/>
  <c r="C225" i="10"/>
  <c r="J224" i="10"/>
  <c r="H224" i="10"/>
  <c r="G224" i="10"/>
  <c r="F224" i="10"/>
  <c r="E224" i="10"/>
  <c r="C224" i="10"/>
  <c r="I223" i="10"/>
  <c r="H223" i="10"/>
  <c r="G223" i="10"/>
  <c r="F223" i="10"/>
  <c r="E223" i="10"/>
  <c r="C223" i="10"/>
  <c r="J222" i="10"/>
  <c r="I222" i="10"/>
  <c r="H222" i="10"/>
  <c r="G222" i="10"/>
  <c r="F222" i="10"/>
  <c r="E222" i="10"/>
  <c r="D222" i="10"/>
  <c r="C222" i="10"/>
  <c r="K222" i="10" s="1"/>
  <c r="H221" i="10"/>
  <c r="G221" i="10"/>
  <c r="F221" i="10"/>
  <c r="C221" i="10"/>
  <c r="J221" i="10" s="1"/>
  <c r="F220" i="10"/>
  <c r="C220" i="10"/>
  <c r="C229" i="10" s="1"/>
  <c r="J219" i="10"/>
  <c r="I219" i="10"/>
  <c r="H219" i="10"/>
  <c r="G219" i="10"/>
  <c r="E219" i="10"/>
  <c r="C219" i="10"/>
  <c r="J218" i="10"/>
  <c r="I218" i="10"/>
  <c r="H218" i="10"/>
  <c r="F218" i="10"/>
  <c r="E218" i="10"/>
  <c r="C218" i="10"/>
  <c r="C213" i="10"/>
  <c r="I212" i="10"/>
  <c r="H212" i="10"/>
  <c r="G212" i="10"/>
  <c r="F212" i="10"/>
  <c r="E212" i="10"/>
  <c r="C212" i="10"/>
  <c r="J211" i="10"/>
  <c r="I211" i="10"/>
  <c r="H211" i="10"/>
  <c r="G211" i="10"/>
  <c r="F211" i="10"/>
  <c r="E211" i="10"/>
  <c r="D211" i="10"/>
  <c r="C211" i="10"/>
  <c r="K211" i="10" s="1"/>
  <c r="C210" i="10"/>
  <c r="C209" i="10"/>
  <c r="C208" i="10"/>
  <c r="J207" i="10"/>
  <c r="I207" i="10"/>
  <c r="H207" i="10"/>
  <c r="F207" i="10"/>
  <c r="E207" i="10"/>
  <c r="C207" i="10"/>
  <c r="C206" i="10"/>
  <c r="C205" i="10"/>
  <c r="J204" i="10"/>
  <c r="I204" i="10"/>
  <c r="H204" i="10"/>
  <c r="G204" i="10"/>
  <c r="F204" i="10"/>
  <c r="E204" i="10"/>
  <c r="D204" i="10"/>
  <c r="C204" i="10"/>
  <c r="K204" i="10" s="1"/>
  <c r="K203" i="10"/>
  <c r="F203" i="10"/>
  <c r="E203" i="10"/>
  <c r="C203" i="10"/>
  <c r="C197" i="10"/>
  <c r="K196" i="10"/>
  <c r="J196" i="10"/>
  <c r="G196" i="10"/>
  <c r="E196" i="10"/>
  <c r="D196" i="10"/>
  <c r="C196" i="10"/>
  <c r="F195" i="10"/>
  <c r="C195" i="10"/>
  <c r="J195" i="10" s="1"/>
  <c r="C194" i="10"/>
  <c r="K193" i="10"/>
  <c r="C193" i="10"/>
  <c r="K192" i="10"/>
  <c r="I192" i="10"/>
  <c r="F192" i="10"/>
  <c r="E192" i="10"/>
  <c r="D192" i="10"/>
  <c r="C192" i="10"/>
  <c r="J191" i="10"/>
  <c r="I191" i="10"/>
  <c r="H191" i="10"/>
  <c r="G191" i="10"/>
  <c r="F191" i="10"/>
  <c r="E191" i="10"/>
  <c r="D191" i="10"/>
  <c r="C191" i="10"/>
  <c r="K191" i="10" s="1"/>
  <c r="G190" i="10"/>
  <c r="C190" i="10"/>
  <c r="K189" i="10"/>
  <c r="C189" i="10"/>
  <c r="C188" i="10"/>
  <c r="F187" i="10"/>
  <c r="C187" i="10"/>
  <c r="F182" i="10"/>
  <c r="C182" i="10"/>
  <c r="J182" i="10" s="1"/>
  <c r="D181" i="10"/>
  <c r="C181" i="10"/>
  <c r="F180" i="10"/>
  <c r="E180" i="10"/>
  <c r="C180" i="10"/>
  <c r="J179" i="10"/>
  <c r="I179" i="10"/>
  <c r="H179" i="10"/>
  <c r="G179" i="10"/>
  <c r="F179" i="10"/>
  <c r="E179" i="10"/>
  <c r="D179" i="10"/>
  <c r="C179" i="10"/>
  <c r="K179" i="10" s="1"/>
  <c r="J178" i="10"/>
  <c r="C178" i="10"/>
  <c r="K178" i="10" s="1"/>
  <c r="D177" i="10"/>
  <c r="C177" i="10"/>
  <c r="E176" i="10"/>
  <c r="C176" i="10"/>
  <c r="K175" i="10"/>
  <c r="J175" i="10"/>
  <c r="F175" i="10"/>
  <c r="C175" i="10"/>
  <c r="K174" i="10"/>
  <c r="C174" i="10"/>
  <c r="C173" i="10"/>
  <c r="K172" i="10"/>
  <c r="I172" i="10"/>
  <c r="E172" i="10"/>
  <c r="C172" i="10"/>
  <c r="H139" i="10"/>
  <c r="J136" i="10"/>
  <c r="K132" i="10"/>
  <c r="J132" i="10"/>
  <c r="I132" i="10"/>
  <c r="H132" i="10"/>
  <c r="G132" i="10"/>
  <c r="F132" i="10"/>
  <c r="E132" i="10"/>
  <c r="D132" i="10"/>
  <c r="J135" i="10" s="1"/>
  <c r="D137" i="10" s="1"/>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32" i="10" s="1"/>
  <c r="C101" i="10"/>
  <c r="C100" i="10"/>
  <c r="C99" i="10"/>
  <c r="D93" i="10"/>
  <c r="C93" i="10"/>
  <c r="I92" i="10"/>
  <c r="H92" i="10"/>
  <c r="G92" i="10"/>
  <c r="F92" i="10"/>
  <c r="E92" i="10"/>
  <c r="C91" i="10"/>
  <c r="D91" i="10" s="1"/>
  <c r="I90" i="10"/>
  <c r="H90" i="10"/>
  <c r="G90" i="10"/>
  <c r="F90" i="10"/>
  <c r="E90" i="10"/>
  <c r="D89" i="10"/>
  <c r="C89" i="10"/>
  <c r="I88" i="10"/>
  <c r="H88" i="10"/>
  <c r="G88" i="10"/>
  <c r="F88" i="10"/>
  <c r="E88" i="10"/>
  <c r="D87" i="10"/>
  <c r="C87" i="10"/>
  <c r="I86" i="10"/>
  <c r="H86" i="10"/>
  <c r="G86" i="10"/>
  <c r="C86" i="10" s="1"/>
  <c r="D86" i="10" s="1"/>
  <c r="F86" i="10"/>
  <c r="E86" i="10"/>
  <c r="D85" i="10"/>
  <c r="C85" i="10"/>
  <c r="I84" i="10"/>
  <c r="H84" i="10"/>
  <c r="G84" i="10"/>
  <c r="C84" i="10" s="1"/>
  <c r="D84" i="10" s="1"/>
  <c r="F84" i="10"/>
  <c r="E84" i="10"/>
  <c r="D83" i="10"/>
  <c r="C83" i="10"/>
  <c r="I82" i="10"/>
  <c r="H82" i="10"/>
  <c r="G82" i="10"/>
  <c r="F82" i="10"/>
  <c r="E82" i="10"/>
  <c r="C81" i="10"/>
  <c r="D81" i="10" s="1"/>
  <c r="I80" i="10"/>
  <c r="H80" i="10"/>
  <c r="G80" i="10"/>
  <c r="F80" i="10"/>
  <c r="E80" i="10"/>
  <c r="C79" i="10"/>
  <c r="D79" i="10" s="1"/>
  <c r="I78" i="10"/>
  <c r="H78" i="10"/>
  <c r="G78" i="10"/>
  <c r="F78" i="10"/>
  <c r="E78" i="10"/>
  <c r="D77" i="10"/>
  <c r="C77" i="10"/>
  <c r="I76" i="10"/>
  <c r="H76" i="10"/>
  <c r="G76" i="10"/>
  <c r="F76" i="10"/>
  <c r="C76" i="10" s="1"/>
  <c r="D76" i="10" s="1"/>
  <c r="E76" i="10"/>
  <c r="C75" i="10"/>
  <c r="D75" i="10" s="1"/>
  <c r="I74" i="10"/>
  <c r="H74" i="10"/>
  <c r="G74" i="10"/>
  <c r="F74" i="10"/>
  <c r="E74" i="10"/>
  <c r="D73" i="10"/>
  <c r="C73" i="10"/>
  <c r="I72" i="10"/>
  <c r="H72" i="10"/>
  <c r="G72" i="10"/>
  <c r="F72" i="10"/>
  <c r="C72" i="10" s="1"/>
  <c r="D72" i="10" s="1"/>
  <c r="E72" i="10"/>
  <c r="D71" i="10"/>
  <c r="C71" i="10"/>
  <c r="I70" i="10"/>
  <c r="H70" i="10"/>
  <c r="C70" i="10" s="1"/>
  <c r="D70" i="10" s="1"/>
  <c r="G70" i="10"/>
  <c r="F70" i="10"/>
  <c r="E70" i="10"/>
  <c r="D69" i="10"/>
  <c r="C69" i="10"/>
  <c r="H62" i="10"/>
  <c r="F62" i="10"/>
  <c r="F61" i="10"/>
  <c r="H61" i="10" s="1"/>
  <c r="H60" i="10"/>
  <c r="F60" i="10"/>
  <c r="F59" i="10"/>
  <c r="H59" i="10" s="1"/>
  <c r="F58" i="10"/>
  <c r="H58" i="10" s="1"/>
  <c r="H57" i="10"/>
  <c r="F57" i="10"/>
  <c r="H56" i="10"/>
  <c r="F56" i="10"/>
  <c r="F55" i="10"/>
  <c r="H55" i="10" s="1"/>
  <c r="F54" i="10"/>
  <c r="H54" i="10" s="1"/>
  <c r="F53" i="10"/>
  <c r="H53" i="10" s="1"/>
  <c r="H52" i="10"/>
  <c r="F52" i="10"/>
  <c r="F51" i="10"/>
  <c r="H51" i="10" s="1"/>
  <c r="H50" i="10"/>
  <c r="F50" i="10"/>
  <c r="H49" i="10"/>
  <c r="F49" i="10"/>
  <c r="H48" i="10"/>
  <c r="F48" i="10"/>
  <c r="F47" i="10"/>
  <c r="H47" i="10" s="1"/>
  <c r="F46" i="10"/>
  <c r="H46" i="10" s="1"/>
  <c r="F45" i="10"/>
  <c r="H45" i="10" s="1"/>
  <c r="H44" i="10"/>
  <c r="F44" i="10"/>
  <c r="F43" i="10"/>
  <c r="H43" i="10" s="1"/>
  <c r="H42" i="10"/>
  <c r="F42" i="10"/>
  <c r="H41" i="10"/>
  <c r="F41" i="10"/>
  <c r="H40" i="10"/>
  <c r="F40" i="10"/>
  <c r="F39" i="10"/>
  <c r="H39" i="10" s="1"/>
  <c r="F38" i="10"/>
  <c r="H38" i="10" s="1"/>
  <c r="F37" i="10"/>
  <c r="H37" i="10" s="1"/>
  <c r="H36" i="10"/>
  <c r="F36" i="10"/>
  <c r="F35" i="10"/>
  <c r="H35" i="10" s="1"/>
  <c r="F34" i="10"/>
  <c r="H34" i="10" s="1"/>
  <c r="H33" i="10"/>
  <c r="F33" i="10"/>
  <c r="H32" i="10"/>
  <c r="F32" i="10"/>
  <c r="F31" i="10"/>
  <c r="H31" i="10" s="1"/>
  <c r="H30" i="10"/>
  <c r="H63" i="10" s="1"/>
  <c r="F30" i="10"/>
  <c r="H29" i="10"/>
  <c r="F29" i="10"/>
  <c r="H28" i="10"/>
  <c r="F28" i="10"/>
  <c r="F27" i="10"/>
  <c r="H27" i="10" s="1"/>
  <c r="B26" i="10"/>
  <c r="E23" i="10"/>
  <c r="D23" i="10"/>
  <c r="C23" i="10"/>
  <c r="E22" i="10"/>
  <c r="D22" i="10"/>
  <c r="C22" i="10"/>
  <c r="E21" i="10"/>
  <c r="D21" i="10"/>
  <c r="C21" i="10"/>
  <c r="E20" i="10"/>
  <c r="D20" i="10"/>
  <c r="C20" i="10"/>
  <c r="B13" i="10"/>
  <c r="B12" i="10"/>
  <c r="B11" i="10"/>
  <c r="B10" i="10"/>
  <c r="B9" i="10"/>
  <c r="B8" i="10"/>
  <c r="B7" i="10"/>
  <c r="B6" i="10"/>
  <c r="B5" i="10"/>
  <c r="B4" i="10"/>
  <c r="B275" i="9"/>
  <c r="C2" i="7"/>
  <c r="H32" i="6"/>
  <c r="G32" i="6"/>
  <c r="F32" i="6"/>
  <c r="E32" i="6"/>
  <c r="D32" i="6"/>
  <c r="C32" i="6"/>
  <c r="H31" i="6"/>
  <c r="G31" i="6"/>
  <c r="F31" i="6"/>
  <c r="E31" i="6"/>
  <c r="D31" i="6"/>
  <c r="C31" i="6"/>
  <c r="H30" i="6"/>
  <c r="G30" i="6"/>
  <c r="F30" i="6"/>
  <c r="E30" i="6"/>
  <c r="D30" i="6"/>
  <c r="C30" i="6"/>
  <c r="H29" i="6"/>
  <c r="G29" i="6"/>
  <c r="F29" i="6"/>
  <c r="E29" i="6"/>
  <c r="D29" i="6"/>
  <c r="C29" i="6"/>
  <c r="H28" i="6"/>
  <c r="G28" i="6"/>
  <c r="F28" i="6"/>
  <c r="E28" i="6"/>
  <c r="D28" i="6"/>
  <c r="C28" i="6"/>
  <c r="H27" i="6"/>
  <c r="G27" i="6"/>
  <c r="F27" i="6"/>
  <c r="E27" i="6"/>
  <c r="D27" i="6"/>
  <c r="C27" i="6"/>
  <c r="H26" i="6"/>
  <c r="G26" i="6"/>
  <c r="F26" i="6"/>
  <c r="E26" i="6"/>
  <c r="D26" i="6"/>
  <c r="C26" i="6"/>
  <c r="H25" i="6"/>
  <c r="G25" i="6"/>
  <c r="F25" i="6"/>
  <c r="E25" i="6"/>
  <c r="D25" i="6"/>
  <c r="C25" i="6"/>
  <c r="H24" i="6"/>
  <c r="G24" i="6"/>
  <c r="F24" i="6"/>
  <c r="E24" i="6"/>
  <c r="D24" i="6"/>
  <c r="C24" i="6"/>
  <c r="H23" i="6"/>
  <c r="G23" i="6"/>
  <c r="F23" i="6"/>
  <c r="E23" i="6"/>
  <c r="D23" i="6"/>
  <c r="C23" i="6"/>
  <c r="G22" i="6"/>
  <c r="D22" i="6"/>
  <c r="C22" i="6"/>
  <c r="D21" i="6"/>
  <c r="C21" i="6"/>
  <c r="G21" i="6" s="1"/>
  <c r="D20" i="6"/>
  <c r="C20" i="6"/>
  <c r="G20" i="6" s="1"/>
  <c r="D19" i="6"/>
  <c r="C19" i="6"/>
  <c r="G18" i="6"/>
  <c r="D18" i="6"/>
  <c r="C18" i="6"/>
  <c r="G17" i="6"/>
  <c r="D17" i="6"/>
  <c r="C17" i="6"/>
  <c r="D16" i="6"/>
  <c r="C16" i="6"/>
  <c r="G16" i="6" s="1"/>
  <c r="G15" i="6"/>
  <c r="D15" i="6"/>
  <c r="C15" i="6"/>
  <c r="G14" i="6"/>
  <c r="D14" i="6"/>
  <c r="C14" i="6"/>
  <c r="G13" i="6"/>
  <c r="D13" i="6"/>
  <c r="C13" i="6"/>
  <c r="D12" i="6"/>
  <c r="C12" i="6"/>
  <c r="G12" i="6" s="1"/>
  <c r="G11" i="6"/>
  <c r="D11" i="6"/>
  <c r="C11" i="6"/>
  <c r="G10" i="6"/>
  <c r="D10" i="6"/>
  <c r="C10" i="6"/>
  <c r="D9" i="6"/>
  <c r="C9" i="6"/>
  <c r="D8" i="6"/>
  <c r="C8" i="6"/>
  <c r="G7" i="6"/>
  <c r="D7" i="6"/>
  <c r="C7" i="6"/>
  <c r="G6" i="6"/>
  <c r="D6" i="6"/>
  <c r="C6" i="6"/>
  <c r="D5" i="6"/>
  <c r="C5" i="6"/>
  <c r="G5" i="6" s="1"/>
  <c r="D4" i="6"/>
  <c r="C4" i="6"/>
  <c r="G4" i="6" s="1"/>
  <c r="D3" i="6"/>
  <c r="C3" i="6"/>
  <c r="B44" i="5"/>
  <c r="B42" i="5"/>
  <c r="L39" i="5"/>
  <c r="K39" i="5"/>
  <c r="L38" i="5"/>
  <c r="K38" i="5"/>
  <c r="L37" i="5"/>
  <c r="K37" i="5"/>
  <c r="L36" i="5"/>
  <c r="K42" i="5" s="1"/>
  <c r="K36" i="5"/>
  <c r="G35" i="5"/>
  <c r="F35" i="5"/>
  <c r="E35" i="5"/>
  <c r="D35" i="5"/>
  <c r="C35" i="5"/>
  <c r="C34" i="5"/>
  <c r="AH878" i="3"/>
  <c r="AF878" i="3"/>
  <c r="AD878" i="3"/>
  <c r="AC878" i="3"/>
  <c r="Z878" i="3"/>
  <c r="W878" i="3"/>
  <c r="AH877" i="3"/>
  <c r="AG877" i="3"/>
  <c r="AF877" i="3"/>
  <c r="AD877" i="3"/>
  <c r="AC877" i="3"/>
  <c r="AB877" i="3"/>
  <c r="AA877" i="3"/>
  <c r="Z877" i="3"/>
  <c r="Y877" i="3"/>
  <c r="X877" i="3"/>
  <c r="W877" i="3"/>
  <c r="AH876" i="3"/>
  <c r="AF876" i="3"/>
  <c r="AD876" i="3"/>
  <c r="AC876" i="3"/>
  <c r="Z876" i="3"/>
  <c r="Y876" i="3"/>
  <c r="W876" i="3"/>
  <c r="AH875" i="3"/>
  <c r="AG875" i="3"/>
  <c r="AF875" i="3"/>
  <c r="AD875" i="3"/>
  <c r="AC875" i="3"/>
  <c r="AB875" i="3"/>
  <c r="AA875" i="3"/>
  <c r="Z875" i="3"/>
  <c r="Y875" i="3"/>
  <c r="X875" i="3"/>
  <c r="W875" i="3"/>
  <c r="AE875" i="3" s="1"/>
  <c r="AF874" i="3"/>
  <c r="AD874" i="3"/>
  <c r="AC874" i="3"/>
  <c r="Z874" i="3"/>
  <c r="W874" i="3"/>
  <c r="AH873" i="3"/>
  <c r="AG873" i="3"/>
  <c r="AF873" i="3"/>
  <c r="AD873" i="3"/>
  <c r="AC873" i="3"/>
  <c r="AB873" i="3"/>
  <c r="AA873" i="3"/>
  <c r="Z873" i="3"/>
  <c r="Y873" i="3"/>
  <c r="X873" i="3"/>
  <c r="W873" i="3"/>
  <c r="AE873" i="3" s="1"/>
  <c r="AH872" i="3"/>
  <c r="AG872" i="3"/>
  <c r="AF872" i="3"/>
  <c r="AD872" i="3"/>
  <c r="AC872" i="3"/>
  <c r="AB872" i="3"/>
  <c r="AE872" i="3" s="1"/>
  <c r="Z872" i="3"/>
  <c r="Y872" i="3"/>
  <c r="X872" i="3"/>
  <c r="W872" i="3"/>
  <c r="AA872" i="3" s="1"/>
  <c r="AH871" i="3"/>
  <c r="AG871" i="3"/>
  <c r="AF871" i="3"/>
  <c r="AD871" i="3"/>
  <c r="AC871" i="3"/>
  <c r="AB871" i="3"/>
  <c r="AA871" i="3"/>
  <c r="Z871" i="3"/>
  <c r="Y871" i="3"/>
  <c r="X871" i="3"/>
  <c r="W871" i="3"/>
  <c r="AG870" i="3"/>
  <c r="AF870" i="3"/>
  <c r="AD870" i="3"/>
  <c r="AC870" i="3"/>
  <c r="Z870" i="3"/>
  <c r="X870" i="3"/>
  <c r="W870" i="3"/>
  <c r="AA870" i="3" s="1"/>
  <c r="AH869" i="3"/>
  <c r="AG869" i="3"/>
  <c r="AF869" i="3"/>
  <c r="AD869" i="3"/>
  <c r="AC869" i="3"/>
  <c r="AB869" i="3"/>
  <c r="AA869" i="3"/>
  <c r="Z869" i="3"/>
  <c r="Y869" i="3"/>
  <c r="X869" i="3"/>
  <c r="W869" i="3"/>
  <c r="AF868" i="3"/>
  <c r="AD868" i="3"/>
  <c r="AC868" i="3"/>
  <c r="Z868" i="3"/>
  <c r="Y868" i="3"/>
  <c r="W868" i="3"/>
  <c r="AH868" i="3" s="1"/>
  <c r="AH867" i="3"/>
  <c r="AG867" i="3"/>
  <c r="AF867" i="3"/>
  <c r="AD867" i="3"/>
  <c r="AC867" i="3"/>
  <c r="AB867" i="3"/>
  <c r="AA867" i="3"/>
  <c r="Z867" i="3"/>
  <c r="Y867" i="3"/>
  <c r="X867" i="3"/>
  <c r="W867" i="3"/>
  <c r="AF866" i="3"/>
  <c r="AD866" i="3"/>
  <c r="AC866" i="3"/>
  <c r="AB866" i="3"/>
  <c r="Z866" i="3"/>
  <c r="W866" i="3"/>
  <c r="AH865" i="3"/>
  <c r="AG865" i="3"/>
  <c r="AF865" i="3"/>
  <c r="AD865" i="3"/>
  <c r="AC865" i="3"/>
  <c r="AB865" i="3"/>
  <c r="AA865" i="3"/>
  <c r="Z865" i="3"/>
  <c r="Y865" i="3"/>
  <c r="X865" i="3"/>
  <c r="W865" i="3"/>
  <c r="AE865" i="3" s="1"/>
  <c r="AH864" i="3"/>
  <c r="AG864" i="3"/>
  <c r="AF864" i="3"/>
  <c r="AD864" i="3"/>
  <c r="AC864" i="3"/>
  <c r="AB864" i="3"/>
  <c r="AE864" i="3" s="1"/>
  <c r="Z864" i="3"/>
  <c r="Y864" i="3"/>
  <c r="X864" i="3"/>
  <c r="W864" i="3"/>
  <c r="AA864" i="3" s="1"/>
  <c r="AH863" i="3"/>
  <c r="AG863" i="3"/>
  <c r="AF863" i="3"/>
  <c r="AD863" i="3"/>
  <c r="AC863" i="3"/>
  <c r="AB863" i="3"/>
  <c r="AA863" i="3"/>
  <c r="Z863" i="3"/>
  <c r="Y863" i="3"/>
  <c r="X863" i="3"/>
  <c r="W863" i="3"/>
  <c r="AH862" i="3"/>
  <c r="AF862" i="3"/>
  <c r="AD862" i="3"/>
  <c r="AC862" i="3"/>
  <c r="Z862" i="3"/>
  <c r="Y862" i="3"/>
  <c r="W862" i="3"/>
  <c r="AH861" i="3"/>
  <c r="AG861" i="3"/>
  <c r="AF861" i="3"/>
  <c r="AD861" i="3"/>
  <c r="AC861" i="3"/>
  <c r="AB861" i="3"/>
  <c r="AA861" i="3"/>
  <c r="Z861" i="3"/>
  <c r="Y861" i="3"/>
  <c r="X861" i="3"/>
  <c r="W861" i="3"/>
  <c r="AF860" i="3"/>
  <c r="AD860" i="3"/>
  <c r="AC860" i="3"/>
  <c r="Z860" i="3"/>
  <c r="W860" i="3"/>
  <c r="AH859" i="3"/>
  <c r="AG859" i="3"/>
  <c r="AF859" i="3"/>
  <c r="AD859" i="3"/>
  <c r="AC859" i="3"/>
  <c r="AB859" i="3"/>
  <c r="AA859" i="3"/>
  <c r="Z859" i="3"/>
  <c r="Y859" i="3"/>
  <c r="X859" i="3"/>
  <c r="W859" i="3"/>
  <c r="AE859" i="3" s="1"/>
  <c r="AF858" i="3"/>
  <c r="AD858" i="3"/>
  <c r="AC858" i="3"/>
  <c r="AB858" i="3"/>
  <c r="Z858" i="3"/>
  <c r="W858" i="3"/>
  <c r="AH857" i="3"/>
  <c r="AG857" i="3"/>
  <c r="AF857" i="3"/>
  <c r="AD857" i="3"/>
  <c r="AC857" i="3"/>
  <c r="AB857" i="3"/>
  <c r="AA857" i="3"/>
  <c r="Z857" i="3"/>
  <c r="Y857" i="3"/>
  <c r="X857" i="3"/>
  <c r="W857" i="3"/>
  <c r="AE857" i="3" s="1"/>
  <c r="AH856" i="3"/>
  <c r="AG856" i="3"/>
  <c r="AF856" i="3"/>
  <c r="AD856" i="3"/>
  <c r="AC856" i="3"/>
  <c r="AB856" i="3"/>
  <c r="Z856" i="3"/>
  <c r="Y856" i="3"/>
  <c r="X856" i="3"/>
  <c r="W856" i="3"/>
  <c r="AA856" i="3" s="1"/>
  <c r="AH855" i="3"/>
  <c r="AG855" i="3"/>
  <c r="AF855" i="3"/>
  <c r="AD855" i="3"/>
  <c r="AC855" i="3"/>
  <c r="AB855" i="3"/>
  <c r="AA855" i="3"/>
  <c r="Z855" i="3"/>
  <c r="Y855" i="3"/>
  <c r="X855" i="3"/>
  <c r="W855" i="3"/>
  <c r="AG854" i="3"/>
  <c r="AF854" i="3"/>
  <c r="AE854" i="3"/>
  <c r="AD854" i="3"/>
  <c r="AC854" i="3"/>
  <c r="AB854" i="3"/>
  <c r="Z854" i="3"/>
  <c r="X854" i="3"/>
  <c r="W854" i="3"/>
  <c r="AA854" i="3" s="1"/>
  <c r="AH853" i="3"/>
  <c r="AG853" i="3"/>
  <c r="AF853" i="3"/>
  <c r="AD853" i="3"/>
  <c r="AC853" i="3"/>
  <c r="AB853" i="3"/>
  <c r="AA853" i="3"/>
  <c r="Z853" i="3"/>
  <c r="Y853" i="3"/>
  <c r="X853" i="3"/>
  <c r="W853" i="3"/>
  <c r="AF852" i="3"/>
  <c r="AD852" i="3"/>
  <c r="AC852" i="3"/>
  <c r="Z852" i="3"/>
  <c r="W852" i="3"/>
  <c r="AH851" i="3"/>
  <c r="AF851" i="3"/>
  <c r="AD851" i="3"/>
  <c r="AC851" i="3"/>
  <c r="AB851" i="3"/>
  <c r="Z851" i="3"/>
  <c r="Y851" i="3"/>
  <c r="X851" i="3"/>
  <c r="W851" i="3"/>
  <c r="AG850" i="3"/>
  <c r="AF850" i="3"/>
  <c r="AD850" i="3"/>
  <c r="AC850" i="3"/>
  <c r="AB850" i="3"/>
  <c r="AA850" i="3"/>
  <c r="Z850" i="3"/>
  <c r="Y850" i="3"/>
  <c r="X850" i="3"/>
  <c r="W850" i="3"/>
  <c r="AH850" i="3" s="1"/>
  <c r="AF849" i="3"/>
  <c r="AD849" i="3"/>
  <c r="AC849" i="3"/>
  <c r="Z849" i="3"/>
  <c r="W849" i="3"/>
  <c r="AG848" i="3"/>
  <c r="AF848" i="3"/>
  <c r="AD848" i="3"/>
  <c r="AC848" i="3"/>
  <c r="AB848" i="3"/>
  <c r="AA848" i="3"/>
  <c r="Z848" i="3"/>
  <c r="Y848" i="3"/>
  <c r="X848" i="3"/>
  <c r="W848" i="3"/>
  <c r="AH848" i="3" s="1"/>
  <c r="AF847" i="3"/>
  <c r="AD847" i="3"/>
  <c r="AC847" i="3"/>
  <c r="Z847" i="3"/>
  <c r="W847" i="3"/>
  <c r="AB847" i="3" s="1"/>
  <c r="AG846" i="3"/>
  <c r="AF846" i="3"/>
  <c r="AD846" i="3"/>
  <c r="AC846" i="3"/>
  <c r="AB846" i="3"/>
  <c r="AA846" i="3"/>
  <c r="Z846" i="3"/>
  <c r="Y846" i="3"/>
  <c r="X846" i="3"/>
  <c r="W846" i="3"/>
  <c r="AH846" i="3" s="1"/>
  <c r="AH845" i="3"/>
  <c r="AG845" i="3"/>
  <c r="AF845" i="3"/>
  <c r="AD845" i="3"/>
  <c r="AC845" i="3"/>
  <c r="Z845" i="3"/>
  <c r="X845" i="3"/>
  <c r="W845" i="3"/>
  <c r="AG844" i="3"/>
  <c r="AF844" i="3"/>
  <c r="AD844" i="3"/>
  <c r="AC844" i="3"/>
  <c r="AB844" i="3"/>
  <c r="AA844" i="3"/>
  <c r="Z844" i="3"/>
  <c r="Y844" i="3"/>
  <c r="X844" i="3"/>
  <c r="W844" i="3"/>
  <c r="AH844" i="3" s="1"/>
  <c r="AF843" i="3"/>
  <c r="AD843" i="3"/>
  <c r="AC843" i="3"/>
  <c r="Z843" i="3"/>
  <c r="Y843" i="3"/>
  <c r="W843" i="3"/>
  <c r="AH843" i="3" s="1"/>
  <c r="AG842" i="3"/>
  <c r="AF842" i="3"/>
  <c r="AD842" i="3"/>
  <c r="AC842" i="3"/>
  <c r="AB842" i="3"/>
  <c r="AA842" i="3"/>
  <c r="Z842" i="3"/>
  <c r="Y842" i="3"/>
  <c r="X842" i="3"/>
  <c r="W842" i="3"/>
  <c r="AH842" i="3" s="1"/>
  <c r="AH841" i="3"/>
  <c r="AG841" i="3"/>
  <c r="AF841" i="3"/>
  <c r="AE841" i="3"/>
  <c r="AD841" i="3"/>
  <c r="AC841" i="3"/>
  <c r="AB841" i="3"/>
  <c r="Z841" i="3"/>
  <c r="Y841" i="3"/>
  <c r="X841" i="3"/>
  <c r="W841" i="3"/>
  <c r="AA841" i="3" s="1"/>
  <c r="AF840" i="3"/>
  <c r="AD840" i="3"/>
  <c r="AC840" i="3"/>
  <c r="Z840" i="3"/>
  <c r="Y840" i="3"/>
  <c r="X840" i="3"/>
  <c r="W840" i="3"/>
  <c r="AH840" i="3" s="1"/>
  <c r="AH839" i="3"/>
  <c r="AF839" i="3"/>
  <c r="AD839" i="3"/>
  <c r="AC839" i="3"/>
  <c r="Z839" i="3"/>
  <c r="Y839" i="3"/>
  <c r="W839" i="3"/>
  <c r="AA839" i="3" s="1"/>
  <c r="AG838" i="3"/>
  <c r="AF838" i="3"/>
  <c r="AD838" i="3"/>
  <c r="AC838" i="3"/>
  <c r="AB838" i="3"/>
  <c r="AA838" i="3"/>
  <c r="Z838" i="3"/>
  <c r="Y838" i="3"/>
  <c r="X838" i="3"/>
  <c r="W838" i="3"/>
  <c r="AH838" i="3" s="1"/>
  <c r="AG837" i="3"/>
  <c r="AF837" i="3"/>
  <c r="AE837" i="3"/>
  <c r="AD837" i="3"/>
  <c r="AC837" i="3"/>
  <c r="AB837" i="3"/>
  <c r="Z837" i="3"/>
  <c r="X837" i="3"/>
  <c r="W837" i="3"/>
  <c r="AA837" i="3" s="1"/>
  <c r="AG836" i="3"/>
  <c r="AF836" i="3"/>
  <c r="AD836" i="3"/>
  <c r="AC836" i="3"/>
  <c r="AB836" i="3"/>
  <c r="AA836" i="3"/>
  <c r="Z836" i="3"/>
  <c r="Y836" i="3"/>
  <c r="X836" i="3"/>
  <c r="W836" i="3"/>
  <c r="AH836" i="3" s="1"/>
  <c r="AH835" i="3"/>
  <c r="AG835" i="3"/>
  <c r="AF835" i="3"/>
  <c r="AD835" i="3"/>
  <c r="AC835" i="3"/>
  <c r="AB835" i="3"/>
  <c r="Z835" i="3"/>
  <c r="Y835" i="3"/>
  <c r="X835" i="3"/>
  <c r="W835" i="3"/>
  <c r="AA835" i="3" s="1"/>
  <c r="AG834" i="3"/>
  <c r="AF834" i="3"/>
  <c r="AD834" i="3"/>
  <c r="AC834" i="3"/>
  <c r="AB834" i="3"/>
  <c r="AA834" i="3"/>
  <c r="Z834" i="3"/>
  <c r="Y834" i="3"/>
  <c r="X834" i="3"/>
  <c r="W834" i="3"/>
  <c r="AH834" i="3" s="1"/>
  <c r="AF833" i="3"/>
  <c r="AD833" i="3"/>
  <c r="AC833" i="3"/>
  <c r="Z833" i="3"/>
  <c r="W833" i="3"/>
  <c r="AG832" i="3"/>
  <c r="AF832" i="3"/>
  <c r="AD832" i="3"/>
  <c r="AC832" i="3"/>
  <c r="AB832" i="3"/>
  <c r="AA832" i="3"/>
  <c r="Z832" i="3"/>
  <c r="Y832" i="3"/>
  <c r="X832" i="3"/>
  <c r="W832" i="3"/>
  <c r="AH832" i="3" s="1"/>
  <c r="AF831" i="3"/>
  <c r="AD831" i="3"/>
  <c r="AC831" i="3"/>
  <c r="AB831" i="3"/>
  <c r="Z831" i="3"/>
  <c r="W831" i="3"/>
  <c r="AG830" i="3"/>
  <c r="AF830" i="3"/>
  <c r="AD830" i="3"/>
  <c r="AC830" i="3"/>
  <c r="AB830" i="3"/>
  <c r="AA830" i="3"/>
  <c r="Z830" i="3"/>
  <c r="Y830" i="3"/>
  <c r="X830" i="3"/>
  <c r="W830" i="3"/>
  <c r="AH830" i="3" s="1"/>
  <c r="AF829" i="3"/>
  <c r="AD829" i="3"/>
  <c r="AC829" i="3"/>
  <c r="Z829" i="3"/>
  <c r="W829" i="3"/>
  <c r="AH829" i="3" s="1"/>
  <c r="AG828" i="3"/>
  <c r="AF828" i="3"/>
  <c r="AD828" i="3"/>
  <c r="AC828" i="3"/>
  <c r="AB828" i="3"/>
  <c r="AA828" i="3"/>
  <c r="Z828" i="3"/>
  <c r="Y828" i="3"/>
  <c r="X828" i="3"/>
  <c r="W828" i="3"/>
  <c r="AH828" i="3" s="1"/>
  <c r="AH827" i="3"/>
  <c r="AF827" i="3"/>
  <c r="AD827" i="3"/>
  <c r="AC827" i="3"/>
  <c r="Z827" i="3"/>
  <c r="Y827" i="3"/>
  <c r="W827" i="3"/>
  <c r="AG826" i="3"/>
  <c r="AF826" i="3"/>
  <c r="AD826" i="3"/>
  <c r="AC826" i="3"/>
  <c r="AB826" i="3"/>
  <c r="AA826" i="3"/>
  <c r="Z826" i="3"/>
  <c r="Y826" i="3"/>
  <c r="X826" i="3"/>
  <c r="W826" i="3"/>
  <c r="AH826" i="3" s="1"/>
  <c r="AH825" i="3"/>
  <c r="AG825" i="3"/>
  <c r="AF825" i="3"/>
  <c r="AD825" i="3"/>
  <c r="AC825" i="3"/>
  <c r="AB825" i="3"/>
  <c r="AE825" i="3" s="1"/>
  <c r="Z825" i="3"/>
  <c r="Y825" i="3"/>
  <c r="X825" i="3"/>
  <c r="W825" i="3"/>
  <c r="AA825" i="3" s="1"/>
  <c r="AG824" i="3"/>
  <c r="AF824" i="3"/>
  <c r="AD824" i="3"/>
  <c r="AC824" i="3"/>
  <c r="AB824" i="3"/>
  <c r="AA824" i="3"/>
  <c r="Z824" i="3"/>
  <c r="Y824" i="3"/>
  <c r="X824" i="3"/>
  <c r="W824" i="3"/>
  <c r="AH824" i="3" s="1"/>
  <c r="AG823" i="3"/>
  <c r="AF823" i="3"/>
  <c r="AD823" i="3"/>
  <c r="AC823" i="3"/>
  <c r="Z823" i="3"/>
  <c r="X823" i="3"/>
  <c r="W823" i="3"/>
  <c r="AA823" i="3" s="1"/>
  <c r="AG822" i="3"/>
  <c r="AF822" i="3"/>
  <c r="AD822" i="3"/>
  <c r="AC822" i="3"/>
  <c r="AB822" i="3"/>
  <c r="AA822" i="3"/>
  <c r="Z822" i="3"/>
  <c r="Y822" i="3"/>
  <c r="X822" i="3"/>
  <c r="W822" i="3"/>
  <c r="AH822" i="3" s="1"/>
  <c r="AG821" i="3"/>
  <c r="AF821" i="3"/>
  <c r="AD821" i="3"/>
  <c r="AC821" i="3"/>
  <c r="AB821" i="3"/>
  <c r="Z821" i="3"/>
  <c r="W821" i="3"/>
  <c r="AG820" i="3"/>
  <c r="AF820" i="3"/>
  <c r="AD820" i="3"/>
  <c r="AC820" i="3"/>
  <c r="AB820" i="3"/>
  <c r="AA820" i="3"/>
  <c r="Z820" i="3"/>
  <c r="Y820" i="3"/>
  <c r="X820" i="3"/>
  <c r="W820" i="3"/>
  <c r="AH820" i="3" s="1"/>
  <c r="AH819" i="3"/>
  <c r="AG819" i="3"/>
  <c r="AF819" i="3"/>
  <c r="AD819" i="3"/>
  <c r="AC819" i="3"/>
  <c r="AB819" i="3"/>
  <c r="Z819" i="3"/>
  <c r="Y819" i="3"/>
  <c r="X819" i="3"/>
  <c r="W819" i="3"/>
  <c r="AA819" i="3" s="1"/>
  <c r="AG818" i="3"/>
  <c r="AF818" i="3"/>
  <c r="AD818" i="3"/>
  <c r="AC818" i="3"/>
  <c r="AB818" i="3"/>
  <c r="AA818" i="3"/>
  <c r="Z818" i="3"/>
  <c r="Y818" i="3"/>
  <c r="X818" i="3"/>
  <c r="W818" i="3"/>
  <c r="AH818" i="3" s="1"/>
  <c r="AF817" i="3"/>
  <c r="AD817" i="3"/>
  <c r="AC817" i="3"/>
  <c r="Z817" i="3"/>
  <c r="Y817" i="3"/>
  <c r="W817" i="3"/>
  <c r="AG817" i="3" s="1"/>
  <c r="AG816" i="3"/>
  <c r="AF816" i="3"/>
  <c r="AD816" i="3"/>
  <c r="AC816" i="3"/>
  <c r="AB816" i="3"/>
  <c r="AA816" i="3"/>
  <c r="Z816" i="3"/>
  <c r="Y816" i="3"/>
  <c r="X816" i="3"/>
  <c r="W816" i="3"/>
  <c r="AH816" i="3" s="1"/>
  <c r="AF815" i="3"/>
  <c r="AD815" i="3"/>
  <c r="AC815" i="3"/>
  <c r="Z815" i="3"/>
  <c r="W815" i="3"/>
  <c r="AG814" i="3"/>
  <c r="AF814" i="3"/>
  <c r="AD814" i="3"/>
  <c r="AC814" i="3"/>
  <c r="AB814" i="3"/>
  <c r="AA814" i="3"/>
  <c r="Z814" i="3"/>
  <c r="Y814" i="3"/>
  <c r="X814" i="3"/>
  <c r="W814" i="3"/>
  <c r="AH814" i="3" s="1"/>
  <c r="AF813" i="3"/>
  <c r="AD813" i="3"/>
  <c r="AC813" i="3"/>
  <c r="AB813" i="3"/>
  <c r="Z813" i="3"/>
  <c r="W813" i="3"/>
  <c r="Y813" i="3" s="1"/>
  <c r="AG812" i="3"/>
  <c r="AF812" i="3"/>
  <c r="AD812" i="3"/>
  <c r="AC812" i="3"/>
  <c r="AB812" i="3"/>
  <c r="AA812" i="3"/>
  <c r="Z812" i="3"/>
  <c r="Y812" i="3"/>
  <c r="X812" i="3"/>
  <c r="W812" i="3"/>
  <c r="AH812" i="3" s="1"/>
  <c r="AF811" i="3"/>
  <c r="AD811" i="3"/>
  <c r="AC811" i="3"/>
  <c r="Z811" i="3"/>
  <c r="W811" i="3"/>
  <c r="AG811" i="3" s="1"/>
  <c r="AG810" i="3"/>
  <c r="AF810" i="3"/>
  <c r="AD810" i="3"/>
  <c r="AC810" i="3"/>
  <c r="AB810" i="3"/>
  <c r="AA810" i="3"/>
  <c r="Z810" i="3"/>
  <c r="Y810" i="3"/>
  <c r="X810" i="3"/>
  <c r="W810" i="3"/>
  <c r="AH810" i="3" s="1"/>
  <c r="AH809" i="3"/>
  <c r="AG809" i="3"/>
  <c r="AF809" i="3"/>
  <c r="AD809" i="3"/>
  <c r="AC809" i="3"/>
  <c r="AB809" i="3"/>
  <c r="AE809" i="3" s="1"/>
  <c r="Z809" i="3"/>
  <c r="Y809" i="3"/>
  <c r="X809" i="3"/>
  <c r="W809" i="3"/>
  <c r="AA809" i="3" s="1"/>
  <c r="AG808" i="3"/>
  <c r="AF808" i="3"/>
  <c r="AD808" i="3"/>
  <c r="AC808" i="3"/>
  <c r="AB808" i="3"/>
  <c r="AA808" i="3"/>
  <c r="Z808" i="3"/>
  <c r="Y808" i="3"/>
  <c r="X808" i="3"/>
  <c r="W808" i="3"/>
  <c r="AH808" i="3" s="1"/>
  <c r="AF807" i="3"/>
  <c r="AD807" i="3"/>
  <c r="AC807" i="3"/>
  <c r="Z807" i="3"/>
  <c r="W807" i="3"/>
  <c r="AG806" i="3"/>
  <c r="AF806" i="3"/>
  <c r="AD806" i="3"/>
  <c r="AC806" i="3"/>
  <c r="AB806" i="3"/>
  <c r="AA806" i="3"/>
  <c r="Z806" i="3"/>
  <c r="Y806" i="3"/>
  <c r="X806" i="3"/>
  <c r="W806" i="3"/>
  <c r="AH806" i="3" s="1"/>
  <c r="AF805" i="3"/>
  <c r="AD805" i="3"/>
  <c r="AC805" i="3"/>
  <c r="AB805" i="3"/>
  <c r="Z805" i="3"/>
  <c r="W805" i="3"/>
  <c r="AG804" i="3"/>
  <c r="AF804" i="3"/>
  <c r="AD804" i="3"/>
  <c r="AC804" i="3"/>
  <c r="AB804" i="3"/>
  <c r="AA804" i="3"/>
  <c r="Z804" i="3"/>
  <c r="Y804" i="3"/>
  <c r="X804" i="3"/>
  <c r="W804" i="3"/>
  <c r="AH804" i="3" s="1"/>
  <c r="AH803" i="3"/>
  <c r="AG803" i="3"/>
  <c r="AF803" i="3"/>
  <c r="AD803" i="3"/>
  <c r="AC803" i="3"/>
  <c r="AB803" i="3"/>
  <c r="Z803" i="3"/>
  <c r="Y803" i="3"/>
  <c r="X803" i="3"/>
  <c r="W803" i="3"/>
  <c r="AA803" i="3" s="1"/>
  <c r="AG802" i="3"/>
  <c r="AF802" i="3"/>
  <c r="AD802" i="3"/>
  <c r="AC802" i="3"/>
  <c r="AB802" i="3"/>
  <c r="AA802" i="3"/>
  <c r="Z802" i="3"/>
  <c r="Y802" i="3"/>
  <c r="X802" i="3"/>
  <c r="W802" i="3"/>
  <c r="AH802" i="3" s="1"/>
  <c r="AF801" i="3"/>
  <c r="AD801" i="3"/>
  <c r="AC801" i="3"/>
  <c r="Z801" i="3"/>
  <c r="Y801" i="3"/>
  <c r="W801" i="3"/>
  <c r="AG800" i="3"/>
  <c r="AF800" i="3"/>
  <c r="AD800" i="3"/>
  <c r="AC800" i="3"/>
  <c r="AB800" i="3"/>
  <c r="AA800" i="3"/>
  <c r="Z800" i="3"/>
  <c r="Y800" i="3"/>
  <c r="X800" i="3"/>
  <c r="W800" i="3"/>
  <c r="AH800" i="3" s="1"/>
  <c r="AF799" i="3"/>
  <c r="AD799" i="3"/>
  <c r="AC799" i="3"/>
  <c r="AB799" i="3"/>
  <c r="Z799" i="3"/>
  <c r="W799" i="3"/>
  <c r="AG798" i="3"/>
  <c r="AF798" i="3"/>
  <c r="AD798" i="3"/>
  <c r="AC798" i="3"/>
  <c r="AB798" i="3"/>
  <c r="AA798" i="3"/>
  <c r="Z798" i="3"/>
  <c r="Y798" i="3"/>
  <c r="X798" i="3"/>
  <c r="W798" i="3"/>
  <c r="AH798" i="3" s="1"/>
  <c r="AG797" i="3"/>
  <c r="AF797" i="3"/>
  <c r="AD797" i="3"/>
  <c r="AC797" i="3"/>
  <c r="Z797" i="3"/>
  <c r="Y797" i="3"/>
  <c r="X797" i="3"/>
  <c r="W797" i="3"/>
  <c r="AG796" i="3"/>
  <c r="AF796" i="3"/>
  <c r="AD796" i="3"/>
  <c r="AC796" i="3"/>
  <c r="AB796" i="3"/>
  <c r="AA796" i="3"/>
  <c r="Z796" i="3"/>
  <c r="Y796" i="3"/>
  <c r="X796" i="3"/>
  <c r="W796" i="3"/>
  <c r="AH796" i="3" s="1"/>
  <c r="AH795" i="3"/>
  <c r="AF795" i="3"/>
  <c r="AD795" i="3"/>
  <c r="AC795" i="3"/>
  <c r="Z795" i="3"/>
  <c r="Y795" i="3"/>
  <c r="X795" i="3"/>
  <c r="W795" i="3"/>
  <c r="AG794" i="3"/>
  <c r="AF794" i="3"/>
  <c r="AD794" i="3"/>
  <c r="AC794" i="3"/>
  <c r="AB794" i="3"/>
  <c r="AA794" i="3"/>
  <c r="Z794" i="3"/>
  <c r="Y794" i="3"/>
  <c r="X794" i="3"/>
  <c r="W794" i="3"/>
  <c r="AH794" i="3" s="1"/>
  <c r="AH793" i="3"/>
  <c r="AG793" i="3"/>
  <c r="AF793" i="3"/>
  <c r="AE793" i="3"/>
  <c r="AD793" i="3"/>
  <c r="AC793" i="3"/>
  <c r="AB793" i="3"/>
  <c r="Z793" i="3"/>
  <c r="Y793" i="3"/>
  <c r="X793" i="3"/>
  <c r="W793" i="3"/>
  <c r="AA793" i="3" s="1"/>
  <c r="AG792" i="3"/>
  <c r="AF792" i="3"/>
  <c r="AD792" i="3"/>
  <c r="AC792" i="3"/>
  <c r="AB792" i="3"/>
  <c r="AA792" i="3"/>
  <c r="Z792" i="3"/>
  <c r="Y792" i="3"/>
  <c r="X792" i="3"/>
  <c r="W792" i="3"/>
  <c r="AH792" i="3" s="1"/>
  <c r="AF791" i="3"/>
  <c r="AD791" i="3"/>
  <c r="AC791" i="3"/>
  <c r="AB791" i="3"/>
  <c r="Z791" i="3"/>
  <c r="X791" i="3"/>
  <c r="W791" i="3"/>
  <c r="AG790" i="3"/>
  <c r="AF790" i="3"/>
  <c r="AD790" i="3"/>
  <c r="AC790" i="3"/>
  <c r="AB790" i="3"/>
  <c r="AA790" i="3"/>
  <c r="Z790" i="3"/>
  <c r="Y790" i="3"/>
  <c r="X790" i="3"/>
  <c r="W790" i="3"/>
  <c r="AH790" i="3" s="1"/>
  <c r="AF789" i="3"/>
  <c r="AD789" i="3"/>
  <c r="AC789" i="3"/>
  <c r="Z789" i="3"/>
  <c r="W789" i="3"/>
  <c r="AG788" i="3"/>
  <c r="AF788" i="3"/>
  <c r="AD788" i="3"/>
  <c r="AC788" i="3"/>
  <c r="AB788" i="3"/>
  <c r="AA788" i="3"/>
  <c r="Z788" i="3"/>
  <c r="Y788" i="3"/>
  <c r="X788" i="3"/>
  <c r="W788" i="3"/>
  <c r="AH788" i="3" s="1"/>
  <c r="AH787" i="3"/>
  <c r="AG787" i="3"/>
  <c r="AF787" i="3"/>
  <c r="AD787" i="3"/>
  <c r="AC787" i="3"/>
  <c r="AB787" i="3"/>
  <c r="Z787" i="3"/>
  <c r="Y787" i="3"/>
  <c r="X787" i="3"/>
  <c r="W787" i="3"/>
  <c r="AA787" i="3" s="1"/>
  <c r="AG786" i="3"/>
  <c r="AF786" i="3"/>
  <c r="AD786" i="3"/>
  <c r="AC786" i="3"/>
  <c r="AB786" i="3"/>
  <c r="AA786" i="3"/>
  <c r="Z786" i="3"/>
  <c r="Y786" i="3"/>
  <c r="X786" i="3"/>
  <c r="W786" i="3"/>
  <c r="AH786" i="3" s="1"/>
  <c r="AF785" i="3"/>
  <c r="AD785" i="3"/>
  <c r="AC785" i="3"/>
  <c r="Z785" i="3"/>
  <c r="W785" i="3"/>
  <c r="AG784" i="3"/>
  <c r="AF784" i="3"/>
  <c r="AD784" i="3"/>
  <c r="AC784" i="3"/>
  <c r="AB784" i="3"/>
  <c r="AA784" i="3"/>
  <c r="Z784" i="3"/>
  <c r="Y784" i="3"/>
  <c r="X784" i="3"/>
  <c r="W784" i="3"/>
  <c r="AH784" i="3" s="1"/>
  <c r="AF783" i="3"/>
  <c r="AD783" i="3"/>
  <c r="AC783" i="3"/>
  <c r="AB783" i="3"/>
  <c r="Z783" i="3"/>
  <c r="W783" i="3"/>
  <c r="AG782" i="3"/>
  <c r="AF782" i="3"/>
  <c r="AD782" i="3"/>
  <c r="AC782" i="3"/>
  <c r="AB782" i="3"/>
  <c r="AA782" i="3"/>
  <c r="Z782" i="3"/>
  <c r="Y782" i="3"/>
  <c r="X782" i="3"/>
  <c r="W782" i="3"/>
  <c r="AH782" i="3" s="1"/>
  <c r="AF781" i="3"/>
  <c r="AD781" i="3"/>
  <c r="AC781" i="3"/>
  <c r="Z781" i="3"/>
  <c r="X781" i="3"/>
  <c r="W781" i="3"/>
  <c r="AG781" i="3" s="1"/>
  <c r="AG780" i="3"/>
  <c r="AF780" i="3"/>
  <c r="AD780" i="3"/>
  <c r="AC780" i="3"/>
  <c r="AB780" i="3"/>
  <c r="AA780" i="3"/>
  <c r="Z780" i="3"/>
  <c r="Y780" i="3"/>
  <c r="X780" i="3"/>
  <c r="W780" i="3"/>
  <c r="AH780" i="3" s="1"/>
  <c r="AG779" i="3"/>
  <c r="AF779" i="3"/>
  <c r="AD779" i="3"/>
  <c r="AC779" i="3"/>
  <c r="Z779" i="3"/>
  <c r="X779" i="3"/>
  <c r="W779" i="3"/>
  <c r="Y779" i="3" s="1"/>
  <c r="AG778" i="3"/>
  <c r="AF778" i="3"/>
  <c r="AD778" i="3"/>
  <c r="AC778" i="3"/>
  <c r="AB778" i="3"/>
  <c r="AA778" i="3"/>
  <c r="Z778" i="3"/>
  <c r="Y778" i="3"/>
  <c r="X778" i="3"/>
  <c r="W778" i="3"/>
  <c r="AH778" i="3" s="1"/>
  <c r="AH777" i="3"/>
  <c r="AG777" i="3"/>
  <c r="AF777" i="3"/>
  <c r="AD777" i="3"/>
  <c r="AC777" i="3"/>
  <c r="AB777" i="3"/>
  <c r="AE777" i="3" s="1"/>
  <c r="Z777" i="3"/>
  <c r="Y777" i="3"/>
  <c r="X777" i="3"/>
  <c r="W777" i="3"/>
  <c r="AA777" i="3" s="1"/>
  <c r="AG776" i="3"/>
  <c r="AF776" i="3"/>
  <c r="AD776" i="3"/>
  <c r="AC776" i="3"/>
  <c r="AB776" i="3"/>
  <c r="AA776" i="3"/>
  <c r="Z776" i="3"/>
  <c r="Y776" i="3"/>
  <c r="X776" i="3"/>
  <c r="W776" i="3"/>
  <c r="AH776" i="3" s="1"/>
  <c r="AH775" i="3"/>
  <c r="AG775" i="3"/>
  <c r="AF775" i="3"/>
  <c r="AE775" i="3"/>
  <c r="AD775" i="3"/>
  <c r="AC775" i="3"/>
  <c r="AB775" i="3"/>
  <c r="Z775" i="3"/>
  <c r="Y775" i="3"/>
  <c r="X775" i="3"/>
  <c r="W775" i="3"/>
  <c r="AA775" i="3" s="1"/>
  <c r="AG774" i="3"/>
  <c r="AF774" i="3"/>
  <c r="AD774" i="3"/>
  <c r="AC774" i="3"/>
  <c r="AB774" i="3"/>
  <c r="AA774" i="3"/>
  <c r="Z774" i="3"/>
  <c r="Y774" i="3"/>
  <c r="X774" i="3"/>
  <c r="W774" i="3"/>
  <c r="AH774" i="3" s="1"/>
  <c r="AF773" i="3"/>
  <c r="AD773" i="3"/>
  <c r="AC773" i="3"/>
  <c r="Z773" i="3"/>
  <c r="W773" i="3"/>
  <c r="AG773" i="3" s="1"/>
  <c r="AG772" i="3"/>
  <c r="AF772" i="3"/>
  <c r="AD772" i="3"/>
  <c r="AC772" i="3"/>
  <c r="AB772" i="3"/>
  <c r="AA772" i="3"/>
  <c r="Z772" i="3"/>
  <c r="Y772" i="3"/>
  <c r="X772" i="3"/>
  <c r="W772" i="3"/>
  <c r="AH772" i="3" s="1"/>
  <c r="AH771" i="3"/>
  <c r="AG771" i="3"/>
  <c r="AF771" i="3"/>
  <c r="AD771" i="3"/>
  <c r="AC771" i="3"/>
  <c r="AB771" i="3"/>
  <c r="Z771" i="3"/>
  <c r="Y771" i="3"/>
  <c r="X771" i="3"/>
  <c r="W771" i="3"/>
  <c r="AA771" i="3" s="1"/>
  <c r="AG770" i="3"/>
  <c r="AF770" i="3"/>
  <c r="AD770" i="3"/>
  <c r="AC770" i="3"/>
  <c r="AB770" i="3"/>
  <c r="AA770" i="3"/>
  <c r="Z770" i="3"/>
  <c r="Y770" i="3"/>
  <c r="X770" i="3"/>
  <c r="W770" i="3"/>
  <c r="AH770" i="3" s="1"/>
  <c r="AF769" i="3"/>
  <c r="AD769" i="3"/>
  <c r="AC769" i="3"/>
  <c r="Z769" i="3"/>
  <c r="W769" i="3"/>
  <c r="AG768" i="3"/>
  <c r="AF768" i="3"/>
  <c r="AD768" i="3"/>
  <c r="AC768" i="3"/>
  <c r="AB768" i="3"/>
  <c r="AA768" i="3"/>
  <c r="Z768" i="3"/>
  <c r="Y768" i="3"/>
  <c r="X768" i="3"/>
  <c r="W768" i="3"/>
  <c r="AH768" i="3" s="1"/>
  <c r="AF767" i="3"/>
  <c r="AD767" i="3"/>
  <c r="AC767" i="3"/>
  <c r="Z767" i="3"/>
  <c r="W767" i="3"/>
  <c r="AG766" i="3"/>
  <c r="AF766" i="3"/>
  <c r="AD766" i="3"/>
  <c r="AC766" i="3"/>
  <c r="AB766" i="3"/>
  <c r="AA766" i="3"/>
  <c r="Z766" i="3"/>
  <c r="Y766" i="3"/>
  <c r="X766" i="3"/>
  <c r="W766" i="3"/>
  <c r="AH766" i="3" s="1"/>
  <c r="AH765" i="3"/>
  <c r="AF765" i="3"/>
  <c r="AD765" i="3"/>
  <c r="AC765" i="3"/>
  <c r="AB765" i="3"/>
  <c r="Z765" i="3"/>
  <c r="Y765" i="3"/>
  <c r="X765" i="3"/>
  <c r="W765" i="3"/>
  <c r="AG764" i="3"/>
  <c r="AF764" i="3"/>
  <c r="AD764" i="3"/>
  <c r="AC764" i="3"/>
  <c r="AB764" i="3"/>
  <c r="AA764" i="3"/>
  <c r="Z764" i="3"/>
  <c r="Y764" i="3"/>
  <c r="X764" i="3"/>
  <c r="W764" i="3"/>
  <c r="AH764" i="3" s="1"/>
  <c r="AF763" i="3"/>
  <c r="AD763" i="3"/>
  <c r="AC763" i="3"/>
  <c r="Z763" i="3"/>
  <c r="W763" i="3"/>
  <c r="AG762" i="3"/>
  <c r="AF762" i="3"/>
  <c r="AD762" i="3"/>
  <c r="AC762" i="3"/>
  <c r="AB762" i="3"/>
  <c r="AA762" i="3"/>
  <c r="Z762" i="3"/>
  <c r="Y762" i="3"/>
  <c r="X762" i="3"/>
  <c r="W762" i="3"/>
  <c r="AH762" i="3" s="1"/>
  <c r="AH761" i="3"/>
  <c r="AG761" i="3"/>
  <c r="AF761" i="3"/>
  <c r="AD761" i="3"/>
  <c r="AC761" i="3"/>
  <c r="AB761" i="3"/>
  <c r="AE761" i="3" s="1"/>
  <c r="Z761" i="3"/>
  <c r="Y761" i="3"/>
  <c r="X761" i="3"/>
  <c r="W761" i="3"/>
  <c r="AA761" i="3" s="1"/>
  <c r="AG760" i="3"/>
  <c r="AF760" i="3"/>
  <c r="AD760" i="3"/>
  <c r="AC760" i="3"/>
  <c r="AB760" i="3"/>
  <c r="AA760" i="3"/>
  <c r="Z760" i="3"/>
  <c r="Y760" i="3"/>
  <c r="X760" i="3"/>
  <c r="W760" i="3"/>
  <c r="AH760" i="3" s="1"/>
  <c r="AH759" i="3"/>
  <c r="AG759" i="3"/>
  <c r="AF759" i="3"/>
  <c r="AE759" i="3"/>
  <c r="AD759" i="3"/>
  <c r="AC759" i="3"/>
  <c r="AB759" i="3"/>
  <c r="Z759" i="3"/>
  <c r="Y759" i="3"/>
  <c r="X759" i="3"/>
  <c r="W759" i="3"/>
  <c r="AA759" i="3" s="1"/>
  <c r="AG758" i="3"/>
  <c r="AF758" i="3"/>
  <c r="AD758" i="3"/>
  <c r="AC758" i="3"/>
  <c r="AB758" i="3"/>
  <c r="AA758" i="3"/>
  <c r="Z758" i="3"/>
  <c r="Y758" i="3"/>
  <c r="X758" i="3"/>
  <c r="W758" i="3"/>
  <c r="AH758" i="3" s="1"/>
  <c r="AG757" i="3"/>
  <c r="AF757" i="3"/>
  <c r="AD757" i="3"/>
  <c r="AC757" i="3"/>
  <c r="Z757" i="3"/>
  <c r="W757" i="3"/>
  <c r="AG756" i="3"/>
  <c r="AF756" i="3"/>
  <c r="AD756" i="3"/>
  <c r="AC756" i="3"/>
  <c r="AB756" i="3"/>
  <c r="AA756" i="3"/>
  <c r="Z756" i="3"/>
  <c r="Y756" i="3"/>
  <c r="X756" i="3"/>
  <c r="W756" i="3"/>
  <c r="AH756" i="3" s="1"/>
  <c r="AH755" i="3"/>
  <c r="AG755" i="3"/>
  <c r="AF755" i="3"/>
  <c r="AD755" i="3"/>
  <c r="AC755" i="3"/>
  <c r="AB755" i="3"/>
  <c r="Z755" i="3"/>
  <c r="Y755" i="3"/>
  <c r="X755" i="3"/>
  <c r="W755" i="3"/>
  <c r="AA755" i="3" s="1"/>
  <c r="AG754" i="3"/>
  <c r="AF754" i="3"/>
  <c r="AD754" i="3"/>
  <c r="AC754" i="3"/>
  <c r="AB754" i="3"/>
  <c r="AA754" i="3"/>
  <c r="Z754" i="3"/>
  <c r="Y754" i="3"/>
  <c r="X754" i="3"/>
  <c r="W754" i="3"/>
  <c r="AH754" i="3" s="1"/>
  <c r="AG753" i="3"/>
  <c r="AF753" i="3"/>
  <c r="AD753" i="3"/>
  <c r="AC753" i="3"/>
  <c r="Z753" i="3"/>
  <c r="Y753" i="3"/>
  <c r="W753" i="3"/>
  <c r="AG752" i="3"/>
  <c r="AF752" i="3"/>
  <c r="AD752" i="3"/>
  <c r="AC752" i="3"/>
  <c r="AB752" i="3"/>
  <c r="AA752" i="3"/>
  <c r="Z752" i="3"/>
  <c r="Y752" i="3"/>
  <c r="X752" i="3"/>
  <c r="W752" i="3"/>
  <c r="AH752" i="3" s="1"/>
  <c r="AF751" i="3"/>
  <c r="AD751" i="3"/>
  <c r="AC751" i="3"/>
  <c r="Z751" i="3"/>
  <c r="W751" i="3"/>
  <c r="AG750" i="3"/>
  <c r="AF750" i="3"/>
  <c r="AD750" i="3"/>
  <c r="AC750" i="3"/>
  <c r="AB750" i="3"/>
  <c r="AA750" i="3"/>
  <c r="Z750" i="3"/>
  <c r="Y750" i="3"/>
  <c r="X750" i="3"/>
  <c r="W750" i="3"/>
  <c r="AH750" i="3" s="1"/>
  <c r="AH749" i="3"/>
  <c r="AF749" i="3"/>
  <c r="AD749" i="3"/>
  <c r="AC749" i="3"/>
  <c r="Z749" i="3"/>
  <c r="Y749" i="3"/>
  <c r="X749" i="3"/>
  <c r="W749" i="3"/>
  <c r="AB749" i="3" s="1"/>
  <c r="AG748" i="3"/>
  <c r="AF748" i="3"/>
  <c r="AD748" i="3"/>
  <c r="AC748" i="3"/>
  <c r="AB748" i="3"/>
  <c r="AA748" i="3"/>
  <c r="Z748" i="3"/>
  <c r="Y748" i="3"/>
  <c r="X748" i="3"/>
  <c r="W748" i="3"/>
  <c r="AH748" i="3" s="1"/>
  <c r="AF747" i="3"/>
  <c r="AD747" i="3"/>
  <c r="AC747" i="3"/>
  <c r="Z747" i="3"/>
  <c r="X747" i="3"/>
  <c r="W747" i="3"/>
  <c r="AG747" i="3" s="1"/>
  <c r="AG746" i="3"/>
  <c r="AF746" i="3"/>
  <c r="AD746" i="3"/>
  <c r="AC746" i="3"/>
  <c r="AB746" i="3"/>
  <c r="AA746" i="3"/>
  <c r="Z746" i="3"/>
  <c r="Y746" i="3"/>
  <c r="X746" i="3"/>
  <c r="W746" i="3"/>
  <c r="AH746" i="3" s="1"/>
  <c r="AH745" i="3"/>
  <c r="AG745" i="3"/>
  <c r="AF745" i="3"/>
  <c r="AD745" i="3"/>
  <c r="AC745" i="3"/>
  <c r="AB745" i="3"/>
  <c r="AE745" i="3" s="1"/>
  <c r="Z745" i="3"/>
  <c r="Y745" i="3"/>
  <c r="X745" i="3"/>
  <c r="W745" i="3"/>
  <c r="AA745" i="3" s="1"/>
  <c r="AG744" i="3"/>
  <c r="AF744" i="3"/>
  <c r="AD744" i="3"/>
  <c r="AC744" i="3"/>
  <c r="AA744" i="3"/>
  <c r="Z744" i="3"/>
  <c r="Y744" i="3"/>
  <c r="X744" i="3"/>
  <c r="W744" i="3"/>
  <c r="AH744" i="3" s="1"/>
  <c r="V744" i="3"/>
  <c r="U744" i="3"/>
  <c r="T744" i="3"/>
  <c r="S744" i="3"/>
  <c r="AB744" i="3" s="1"/>
  <c r="AG743" i="3"/>
  <c r="AF743" i="3"/>
  <c r="AD743" i="3"/>
  <c r="AC743" i="3"/>
  <c r="AB743" i="3"/>
  <c r="AA743" i="3"/>
  <c r="Z743" i="3"/>
  <c r="Y743" i="3"/>
  <c r="X743" i="3"/>
  <c r="W743" i="3"/>
  <c r="AH743" i="3" s="1"/>
  <c r="V743" i="3"/>
  <c r="U743" i="3"/>
  <c r="T743" i="3"/>
  <c r="S743" i="3"/>
  <c r="AG742" i="3"/>
  <c r="AF742" i="3"/>
  <c r="AD742" i="3"/>
  <c r="AC742" i="3"/>
  <c r="AA742" i="3"/>
  <c r="Z742" i="3"/>
  <c r="Y742" i="3"/>
  <c r="X742" i="3"/>
  <c r="W742" i="3"/>
  <c r="AH742" i="3" s="1"/>
  <c r="V742" i="3"/>
  <c r="U742" i="3"/>
  <c r="T742" i="3"/>
  <c r="S742" i="3"/>
  <c r="AB742" i="3" s="1"/>
  <c r="AG741" i="3"/>
  <c r="AF741" i="3"/>
  <c r="AD741" i="3"/>
  <c r="AC741" i="3"/>
  <c r="AB741" i="3"/>
  <c r="AA741" i="3"/>
  <c r="Z741" i="3"/>
  <c r="Y741" i="3"/>
  <c r="X741" i="3"/>
  <c r="W741" i="3"/>
  <c r="AH741" i="3" s="1"/>
  <c r="V741" i="3"/>
  <c r="U741" i="3"/>
  <c r="T741" i="3"/>
  <c r="S741" i="3"/>
  <c r="AG740" i="3"/>
  <c r="AF740" i="3"/>
  <c r="AD740" i="3"/>
  <c r="AC740" i="3"/>
  <c r="AB740" i="3"/>
  <c r="AA740" i="3"/>
  <c r="Z740" i="3"/>
  <c r="Y740" i="3"/>
  <c r="X740" i="3"/>
  <c r="W740" i="3"/>
  <c r="AH740" i="3" s="1"/>
  <c r="V740" i="3"/>
  <c r="U740" i="3"/>
  <c r="T740" i="3"/>
  <c r="S740" i="3"/>
  <c r="AG739" i="3"/>
  <c r="AF739" i="3"/>
  <c r="AD739" i="3"/>
  <c r="AC739" i="3"/>
  <c r="AA739" i="3"/>
  <c r="Z739" i="3"/>
  <c r="Y739" i="3"/>
  <c r="X739" i="3"/>
  <c r="W739" i="3"/>
  <c r="AH739" i="3" s="1"/>
  <c r="V739" i="3"/>
  <c r="U739" i="3"/>
  <c r="T739" i="3"/>
  <c r="S739" i="3"/>
  <c r="AB739" i="3" s="1"/>
  <c r="AG738" i="3"/>
  <c r="AF738" i="3"/>
  <c r="AD738" i="3"/>
  <c r="AC738" i="3"/>
  <c r="AA738" i="3"/>
  <c r="Z738" i="3"/>
  <c r="Y738" i="3"/>
  <c r="X738" i="3"/>
  <c r="W738" i="3"/>
  <c r="AH738" i="3" s="1"/>
  <c r="V738" i="3"/>
  <c r="U738" i="3"/>
  <c r="T738" i="3"/>
  <c r="S738" i="3"/>
  <c r="AB738" i="3" s="1"/>
  <c r="AG737" i="3"/>
  <c r="AF737" i="3"/>
  <c r="AD737" i="3"/>
  <c r="AC737" i="3"/>
  <c r="AB737" i="3"/>
  <c r="AA737" i="3"/>
  <c r="Z737" i="3"/>
  <c r="Y737" i="3"/>
  <c r="X737" i="3"/>
  <c r="W737" i="3"/>
  <c r="AH737" i="3" s="1"/>
  <c r="V737" i="3"/>
  <c r="U737" i="3"/>
  <c r="T737" i="3"/>
  <c r="S737" i="3"/>
  <c r="AG736" i="3"/>
  <c r="AF736" i="3"/>
  <c r="AD736" i="3"/>
  <c r="AC736" i="3"/>
  <c r="AB736" i="3"/>
  <c r="AA736" i="3"/>
  <c r="Z736" i="3"/>
  <c r="Y736" i="3"/>
  <c r="X736" i="3"/>
  <c r="W736" i="3"/>
  <c r="AH736" i="3" s="1"/>
  <c r="V736" i="3"/>
  <c r="U736" i="3"/>
  <c r="T736" i="3"/>
  <c r="S736" i="3"/>
  <c r="AG735" i="3"/>
  <c r="AF735" i="3"/>
  <c r="AD735" i="3"/>
  <c r="AC735" i="3"/>
  <c r="AB735" i="3"/>
  <c r="AA735" i="3"/>
  <c r="Z735" i="3"/>
  <c r="Y735" i="3"/>
  <c r="X735" i="3"/>
  <c r="W735" i="3"/>
  <c r="AH735" i="3" s="1"/>
  <c r="V735" i="3"/>
  <c r="U735" i="3"/>
  <c r="T735" i="3"/>
  <c r="S735" i="3"/>
  <c r="AF734" i="3"/>
  <c r="AD734" i="3"/>
  <c r="AC734" i="3"/>
  <c r="Z734" i="3"/>
  <c r="W734" i="3"/>
  <c r="V734" i="3"/>
  <c r="U734" i="3"/>
  <c r="T734" i="3"/>
  <c r="S734" i="3"/>
  <c r="AF733" i="3"/>
  <c r="AD733" i="3"/>
  <c r="AC733" i="3"/>
  <c r="Z733" i="3"/>
  <c r="W733" i="3"/>
  <c r="AH733" i="3" s="1"/>
  <c r="V733" i="3"/>
  <c r="U733" i="3"/>
  <c r="T733" i="3"/>
  <c r="S733" i="3"/>
  <c r="AF732" i="3"/>
  <c r="AD732" i="3"/>
  <c r="AC732" i="3"/>
  <c r="Z732" i="3"/>
  <c r="Y732" i="3"/>
  <c r="X732" i="3"/>
  <c r="W732" i="3"/>
  <c r="V732" i="3"/>
  <c r="U732" i="3"/>
  <c r="T732" i="3"/>
  <c r="S732" i="3"/>
  <c r="AF731" i="3"/>
  <c r="AD731" i="3"/>
  <c r="AC731" i="3"/>
  <c r="Z731" i="3"/>
  <c r="W731" i="3"/>
  <c r="V731" i="3"/>
  <c r="U731" i="3"/>
  <c r="T731" i="3"/>
  <c r="S731" i="3"/>
  <c r="AF730" i="3"/>
  <c r="AD730" i="3"/>
  <c r="AC730" i="3"/>
  <c r="Z730" i="3"/>
  <c r="X730" i="3"/>
  <c r="W730" i="3"/>
  <c r="V730" i="3"/>
  <c r="U730" i="3"/>
  <c r="T730" i="3"/>
  <c r="S730" i="3"/>
  <c r="AB730" i="3" s="1"/>
  <c r="AF729" i="3"/>
  <c r="AD729" i="3"/>
  <c r="AC729" i="3"/>
  <c r="Z729" i="3"/>
  <c r="W729" i="3"/>
  <c r="V729" i="3"/>
  <c r="U729" i="3"/>
  <c r="T729" i="3"/>
  <c r="S729" i="3"/>
  <c r="AG728" i="3"/>
  <c r="AF728" i="3"/>
  <c r="AD728" i="3"/>
  <c r="AC728" i="3"/>
  <c r="AA728" i="3"/>
  <c r="Z728" i="3"/>
  <c r="Y728" i="3"/>
  <c r="X728" i="3"/>
  <c r="W728" i="3"/>
  <c r="AH728" i="3" s="1"/>
  <c r="V728" i="3"/>
  <c r="U728" i="3"/>
  <c r="T728" i="3"/>
  <c r="S728" i="3"/>
  <c r="AB728" i="3" s="1"/>
  <c r="AG727" i="3"/>
  <c r="AF727" i="3"/>
  <c r="AD727" i="3"/>
  <c r="AC727" i="3"/>
  <c r="AB727" i="3"/>
  <c r="AA727" i="3"/>
  <c r="Z727" i="3"/>
  <c r="Y727" i="3"/>
  <c r="X727" i="3"/>
  <c r="W727" i="3"/>
  <c r="AH727" i="3" s="1"/>
  <c r="V727" i="3"/>
  <c r="U727" i="3"/>
  <c r="T727" i="3"/>
  <c r="S727" i="3"/>
  <c r="AF726" i="3"/>
  <c r="AD726" i="3"/>
  <c r="AC726" i="3"/>
  <c r="Z726" i="3"/>
  <c r="W726" i="3"/>
  <c r="V726" i="3"/>
  <c r="U726" i="3"/>
  <c r="T726" i="3"/>
  <c r="S726" i="3"/>
  <c r="AB726" i="3" s="1"/>
  <c r="AG725" i="3"/>
  <c r="AF725" i="3"/>
  <c r="AE725" i="3"/>
  <c r="AD725" i="3"/>
  <c r="AC725" i="3"/>
  <c r="AA725" i="3"/>
  <c r="Z725" i="3"/>
  <c r="Y725" i="3"/>
  <c r="X725" i="3"/>
  <c r="W725" i="3"/>
  <c r="AH725" i="3" s="1"/>
  <c r="V725" i="3"/>
  <c r="U725" i="3"/>
  <c r="T725" i="3"/>
  <c r="S725" i="3"/>
  <c r="AB725" i="3" s="1"/>
  <c r="AF724" i="3"/>
  <c r="AD724" i="3"/>
  <c r="AC724" i="3"/>
  <c r="Z724" i="3"/>
  <c r="Y724" i="3"/>
  <c r="W724" i="3"/>
  <c r="V724" i="3"/>
  <c r="U724" i="3"/>
  <c r="T724" i="3"/>
  <c r="S724" i="3"/>
  <c r="AG723" i="3"/>
  <c r="AF723" i="3"/>
  <c r="AD723" i="3"/>
  <c r="AC723" i="3"/>
  <c r="Z723" i="3"/>
  <c r="X723" i="3"/>
  <c r="W723" i="3"/>
  <c r="V723" i="3"/>
  <c r="U723" i="3"/>
  <c r="T723" i="3"/>
  <c r="S723" i="3"/>
  <c r="AF722" i="3"/>
  <c r="AD722" i="3"/>
  <c r="AC722" i="3"/>
  <c r="AA722" i="3"/>
  <c r="AE722" i="3" s="1"/>
  <c r="Z722" i="3"/>
  <c r="X722" i="3"/>
  <c r="W722" i="3"/>
  <c r="V722" i="3"/>
  <c r="U722" i="3"/>
  <c r="T722" i="3"/>
  <c r="S722" i="3"/>
  <c r="AB722" i="3" s="1"/>
  <c r="AF721" i="3"/>
  <c r="AD721" i="3"/>
  <c r="AC721" i="3"/>
  <c r="AB721" i="3"/>
  <c r="AA721" i="3"/>
  <c r="AE721" i="3" s="1"/>
  <c r="Z721" i="3"/>
  <c r="W721" i="3"/>
  <c r="V721" i="3"/>
  <c r="U721" i="3"/>
  <c r="T721" i="3"/>
  <c r="S721" i="3"/>
  <c r="AG720" i="3"/>
  <c r="AF720" i="3"/>
  <c r="AD720" i="3"/>
  <c r="AC720" i="3"/>
  <c r="AB720" i="3"/>
  <c r="AA720" i="3"/>
  <c r="Z720" i="3"/>
  <c r="Y720" i="3"/>
  <c r="X720" i="3"/>
  <c r="W720" i="3"/>
  <c r="AH720" i="3" s="1"/>
  <c r="V720" i="3"/>
  <c r="U720" i="3"/>
  <c r="T720" i="3"/>
  <c r="S720" i="3"/>
  <c r="AG719" i="3"/>
  <c r="AF719" i="3"/>
  <c r="AD719" i="3"/>
  <c r="AC719" i="3"/>
  <c r="AB719" i="3"/>
  <c r="AA719" i="3"/>
  <c r="Z719" i="3"/>
  <c r="Y719" i="3"/>
  <c r="X719" i="3"/>
  <c r="W719" i="3"/>
  <c r="AH719" i="3" s="1"/>
  <c r="V719" i="3"/>
  <c r="U719" i="3"/>
  <c r="T719" i="3"/>
  <c r="S719" i="3"/>
  <c r="AG718" i="3"/>
  <c r="AF718" i="3"/>
  <c r="AD718" i="3"/>
  <c r="AC718" i="3"/>
  <c r="AB718" i="3"/>
  <c r="AA718" i="3"/>
  <c r="Z718" i="3"/>
  <c r="Y718" i="3"/>
  <c r="W718" i="3"/>
  <c r="AH718" i="3" s="1"/>
  <c r="V718" i="3"/>
  <c r="U718" i="3"/>
  <c r="T718" i="3"/>
  <c r="S718" i="3"/>
  <c r="AF717" i="3"/>
  <c r="AD717" i="3"/>
  <c r="AC717" i="3"/>
  <c r="Z717" i="3"/>
  <c r="Y717" i="3"/>
  <c r="W717" i="3"/>
  <c r="AH717" i="3" s="1"/>
  <c r="V717" i="3"/>
  <c r="U717" i="3"/>
  <c r="T717" i="3"/>
  <c r="S717" i="3"/>
  <c r="AG716" i="3"/>
  <c r="AF716" i="3"/>
  <c r="AD716" i="3"/>
  <c r="AC716" i="3"/>
  <c r="Z716" i="3"/>
  <c r="X716" i="3"/>
  <c r="W716" i="3"/>
  <c r="V716" i="3"/>
  <c r="U716" i="3"/>
  <c r="T716" i="3"/>
  <c r="S716" i="3"/>
  <c r="AG715" i="3"/>
  <c r="AF715" i="3"/>
  <c r="AD715" i="3"/>
  <c r="AC715" i="3"/>
  <c r="AB715" i="3"/>
  <c r="Z715" i="3"/>
  <c r="Y715" i="3"/>
  <c r="X715" i="3"/>
  <c r="W715" i="3"/>
  <c r="V715" i="3"/>
  <c r="U715" i="3"/>
  <c r="T715" i="3"/>
  <c r="S715" i="3"/>
  <c r="AF714" i="3"/>
  <c r="AD714" i="3"/>
  <c r="AC714" i="3"/>
  <c r="AA714" i="3"/>
  <c r="Z714" i="3"/>
  <c r="X714" i="3"/>
  <c r="W714" i="3"/>
  <c r="V714" i="3"/>
  <c r="U714" i="3"/>
  <c r="T714" i="3"/>
  <c r="S714" i="3"/>
  <c r="AB714" i="3" s="1"/>
  <c r="AE714" i="3" s="1"/>
  <c r="AF713" i="3"/>
  <c r="AD713" i="3"/>
  <c r="AC713" i="3"/>
  <c r="AB713" i="3"/>
  <c r="Z713" i="3"/>
  <c r="W713" i="3"/>
  <c r="V713" i="3"/>
  <c r="U713" i="3"/>
  <c r="T713" i="3"/>
  <c r="S713" i="3"/>
  <c r="AG712" i="3"/>
  <c r="AF712" i="3"/>
  <c r="AD712" i="3"/>
  <c r="AC712" i="3"/>
  <c r="AA712" i="3"/>
  <c r="Z712" i="3"/>
  <c r="Y712" i="3"/>
  <c r="X712" i="3"/>
  <c r="W712" i="3"/>
  <c r="AH712" i="3" s="1"/>
  <c r="V712" i="3"/>
  <c r="U712" i="3"/>
  <c r="T712" i="3"/>
  <c r="S712" i="3"/>
  <c r="AB712" i="3" s="1"/>
  <c r="AG711" i="3"/>
  <c r="AF711" i="3"/>
  <c r="AD711" i="3"/>
  <c r="AC711" i="3"/>
  <c r="AA711" i="3"/>
  <c r="Z711" i="3"/>
  <c r="Y711" i="3"/>
  <c r="X711" i="3"/>
  <c r="W711" i="3"/>
  <c r="AH711" i="3" s="1"/>
  <c r="V711" i="3"/>
  <c r="U711" i="3"/>
  <c r="T711" i="3"/>
  <c r="S711" i="3"/>
  <c r="AB711" i="3" s="1"/>
  <c r="AG710" i="3"/>
  <c r="AF710" i="3"/>
  <c r="AD710" i="3"/>
  <c r="AC710" i="3"/>
  <c r="AB710" i="3"/>
  <c r="Z710" i="3"/>
  <c r="Y710" i="3"/>
  <c r="X710" i="3"/>
  <c r="W710" i="3"/>
  <c r="V710" i="3"/>
  <c r="U710" i="3"/>
  <c r="T710" i="3"/>
  <c r="S710" i="3"/>
  <c r="AF709" i="3"/>
  <c r="AD709" i="3"/>
  <c r="AC709" i="3"/>
  <c r="AA709" i="3"/>
  <c r="AE709" i="3" s="1"/>
  <c r="Z709" i="3"/>
  <c r="X709" i="3"/>
  <c r="W709" i="3"/>
  <c r="V709" i="3"/>
  <c r="U709" i="3"/>
  <c r="T709" i="3"/>
  <c r="S709" i="3"/>
  <c r="AB709" i="3" s="1"/>
  <c r="AF708" i="3"/>
  <c r="AD708" i="3"/>
  <c r="AC708" i="3"/>
  <c r="Z708" i="3"/>
  <c r="X708" i="3"/>
  <c r="W708" i="3"/>
  <c r="V708" i="3"/>
  <c r="U708" i="3"/>
  <c r="T708" i="3"/>
  <c r="S708" i="3"/>
  <c r="AG707" i="3"/>
  <c r="AF707" i="3"/>
  <c r="AD707" i="3"/>
  <c r="AC707" i="3"/>
  <c r="AB707" i="3"/>
  <c r="Z707" i="3"/>
  <c r="Y707" i="3"/>
  <c r="X707" i="3"/>
  <c r="W707" i="3"/>
  <c r="V707" i="3"/>
  <c r="U707" i="3"/>
  <c r="T707" i="3"/>
  <c r="S707" i="3"/>
  <c r="AF706" i="3"/>
  <c r="AD706" i="3"/>
  <c r="AC706" i="3"/>
  <c r="AA706" i="3"/>
  <c r="AE706" i="3" s="1"/>
  <c r="Z706" i="3"/>
  <c r="X706" i="3"/>
  <c r="W706" i="3"/>
  <c r="V706" i="3"/>
  <c r="U706" i="3"/>
  <c r="T706" i="3"/>
  <c r="S706" i="3"/>
  <c r="AB706" i="3" s="1"/>
  <c r="AF705" i="3"/>
  <c r="AD705" i="3"/>
  <c r="AC705" i="3"/>
  <c r="AA705" i="3"/>
  <c r="Z705" i="3"/>
  <c r="W705" i="3"/>
  <c r="V705" i="3"/>
  <c r="U705" i="3"/>
  <c r="T705" i="3"/>
  <c r="S705" i="3"/>
  <c r="AB705" i="3" s="1"/>
  <c r="AG704" i="3"/>
  <c r="AF704" i="3"/>
  <c r="AD704" i="3"/>
  <c r="AC704" i="3"/>
  <c r="AB704" i="3"/>
  <c r="AA704" i="3"/>
  <c r="Z704" i="3"/>
  <c r="Y704" i="3"/>
  <c r="X704" i="3"/>
  <c r="W704" i="3"/>
  <c r="AH704" i="3" s="1"/>
  <c r="V704" i="3"/>
  <c r="U704" i="3"/>
  <c r="T704" i="3"/>
  <c r="S704" i="3"/>
  <c r="AG703" i="3"/>
  <c r="AF703" i="3"/>
  <c r="AD703" i="3"/>
  <c r="AC703" i="3"/>
  <c r="AB703" i="3"/>
  <c r="AA703" i="3"/>
  <c r="Z703" i="3"/>
  <c r="Y703" i="3"/>
  <c r="X703" i="3"/>
  <c r="W703" i="3"/>
  <c r="AH703" i="3" s="1"/>
  <c r="V703" i="3"/>
  <c r="U703" i="3"/>
  <c r="T703" i="3"/>
  <c r="S703" i="3"/>
  <c r="AH702" i="3"/>
  <c r="AG702" i="3"/>
  <c r="AF702" i="3"/>
  <c r="AD702" i="3"/>
  <c r="AC702" i="3"/>
  <c r="AA702" i="3"/>
  <c r="Z702" i="3"/>
  <c r="Y702" i="3"/>
  <c r="X702" i="3"/>
  <c r="W702" i="3"/>
  <c r="V702" i="3"/>
  <c r="U702" i="3"/>
  <c r="T702" i="3"/>
  <c r="S702" i="3"/>
  <c r="AB702" i="3" s="1"/>
  <c r="AH701" i="3"/>
  <c r="AG701" i="3"/>
  <c r="AF701" i="3"/>
  <c r="AD701" i="3"/>
  <c r="AC701" i="3"/>
  <c r="AA701" i="3"/>
  <c r="Z701" i="3"/>
  <c r="Y701" i="3"/>
  <c r="X701" i="3"/>
  <c r="W701" i="3"/>
  <c r="V701" i="3"/>
  <c r="U701" i="3"/>
  <c r="T701" i="3"/>
  <c r="S701" i="3"/>
  <c r="AB701" i="3" s="1"/>
  <c r="AH700" i="3"/>
  <c r="AG700" i="3"/>
  <c r="AF700" i="3"/>
  <c r="AD700" i="3"/>
  <c r="AC700" i="3"/>
  <c r="AB700" i="3"/>
  <c r="AA700" i="3"/>
  <c r="Z700" i="3"/>
  <c r="Y700" i="3"/>
  <c r="X700" i="3"/>
  <c r="W700" i="3"/>
  <c r="AE700" i="3" s="1"/>
  <c r="V700" i="3"/>
  <c r="U700" i="3"/>
  <c r="T700" i="3"/>
  <c r="S700" i="3"/>
  <c r="AH699" i="3"/>
  <c r="AG699" i="3"/>
  <c r="AF699" i="3"/>
  <c r="AD699" i="3"/>
  <c r="AC699" i="3"/>
  <c r="AA699" i="3"/>
  <c r="Z699" i="3"/>
  <c r="Y699" i="3"/>
  <c r="X699" i="3"/>
  <c r="W699" i="3"/>
  <c r="V699" i="3"/>
  <c r="U699" i="3"/>
  <c r="T699" i="3"/>
  <c r="S699" i="3"/>
  <c r="AB699" i="3" s="1"/>
  <c r="AH698" i="3"/>
  <c r="AG698" i="3"/>
  <c r="AF698" i="3"/>
  <c r="AD698" i="3"/>
  <c r="AC698" i="3"/>
  <c r="AA698" i="3"/>
  <c r="Z698" i="3"/>
  <c r="Y698" i="3"/>
  <c r="X698" i="3"/>
  <c r="W698" i="3"/>
  <c r="V698" i="3"/>
  <c r="U698" i="3"/>
  <c r="T698" i="3"/>
  <c r="S698" i="3"/>
  <c r="AB698" i="3" s="1"/>
  <c r="AH697" i="3"/>
  <c r="AG697" i="3"/>
  <c r="AF697" i="3"/>
  <c r="AD697" i="3"/>
  <c r="AC697" i="3"/>
  <c r="AB697" i="3"/>
  <c r="AA697" i="3"/>
  <c r="Z697" i="3"/>
  <c r="Y697" i="3"/>
  <c r="X697" i="3"/>
  <c r="W697" i="3"/>
  <c r="V697" i="3"/>
  <c r="U697" i="3"/>
  <c r="T697" i="3"/>
  <c r="S697" i="3"/>
  <c r="AH696" i="3"/>
  <c r="AG696" i="3"/>
  <c r="AF696" i="3"/>
  <c r="AD696" i="3"/>
  <c r="AC696" i="3"/>
  <c r="AB696" i="3"/>
  <c r="AA696" i="3"/>
  <c r="Z696" i="3"/>
  <c r="Y696" i="3"/>
  <c r="X696" i="3"/>
  <c r="W696" i="3"/>
  <c r="AE696" i="3" s="1"/>
  <c r="V696" i="3"/>
  <c r="U696" i="3"/>
  <c r="T696" i="3"/>
  <c r="S696" i="3"/>
  <c r="AH695" i="3"/>
  <c r="AG695" i="3"/>
  <c r="AF695" i="3"/>
  <c r="AD695" i="3"/>
  <c r="AC695" i="3"/>
  <c r="AA695" i="3"/>
  <c r="Z695" i="3"/>
  <c r="Y695" i="3"/>
  <c r="X695" i="3"/>
  <c r="W695" i="3"/>
  <c r="V695" i="3"/>
  <c r="U695" i="3"/>
  <c r="T695" i="3"/>
  <c r="S695" i="3"/>
  <c r="AB695" i="3" s="1"/>
  <c r="AF694" i="3"/>
  <c r="AD694" i="3"/>
  <c r="AC694" i="3"/>
  <c r="Z694" i="3"/>
  <c r="Y694" i="3"/>
  <c r="W694" i="3"/>
  <c r="V694" i="3"/>
  <c r="U694" i="3"/>
  <c r="T694" i="3"/>
  <c r="S694" i="3"/>
  <c r="AB694" i="3" s="1"/>
  <c r="AF693" i="3"/>
  <c r="AD693" i="3"/>
  <c r="AC693" i="3"/>
  <c r="AA693" i="3"/>
  <c r="Z693" i="3"/>
  <c r="W693" i="3"/>
  <c r="X693" i="3" s="1"/>
  <c r="V693" i="3"/>
  <c r="U693" i="3"/>
  <c r="T693" i="3"/>
  <c r="S693" i="3"/>
  <c r="AB693" i="3" s="1"/>
  <c r="AH692" i="3"/>
  <c r="AF692" i="3"/>
  <c r="AD692" i="3"/>
  <c r="AC692" i="3"/>
  <c r="Z692" i="3"/>
  <c r="W692" i="3"/>
  <c r="X692" i="3" s="1"/>
  <c r="V692" i="3"/>
  <c r="U692" i="3"/>
  <c r="T692" i="3"/>
  <c r="S692" i="3"/>
  <c r="AB692" i="3" s="1"/>
  <c r="AG691" i="3"/>
  <c r="AF691" i="3"/>
  <c r="AD691" i="3"/>
  <c r="AC691" i="3"/>
  <c r="AA691" i="3"/>
  <c r="Z691" i="3"/>
  <c r="Y691" i="3"/>
  <c r="W691" i="3"/>
  <c r="X691" i="3" s="1"/>
  <c r="V691" i="3"/>
  <c r="U691" i="3"/>
  <c r="T691" i="3"/>
  <c r="S691" i="3"/>
  <c r="AB691" i="3" s="1"/>
  <c r="AH690" i="3"/>
  <c r="AF690" i="3"/>
  <c r="AD690" i="3"/>
  <c r="AC690" i="3"/>
  <c r="AA690" i="3"/>
  <c r="Z690" i="3"/>
  <c r="W690" i="3"/>
  <c r="X690" i="3" s="1"/>
  <c r="V690" i="3"/>
  <c r="U690" i="3"/>
  <c r="T690" i="3"/>
  <c r="S690" i="3"/>
  <c r="AB690" i="3" s="1"/>
  <c r="AH689" i="3"/>
  <c r="AG689" i="3"/>
  <c r="AF689" i="3"/>
  <c r="AD689" i="3"/>
  <c r="AC689" i="3"/>
  <c r="AA689" i="3"/>
  <c r="Z689" i="3"/>
  <c r="Y689" i="3"/>
  <c r="W689" i="3"/>
  <c r="X689" i="3" s="1"/>
  <c r="V689" i="3"/>
  <c r="U689" i="3"/>
  <c r="T689" i="3"/>
  <c r="S689" i="3"/>
  <c r="AB689" i="3" s="1"/>
  <c r="AE689" i="3" s="1"/>
  <c r="AF688" i="3"/>
  <c r="AD688" i="3"/>
  <c r="AC688" i="3"/>
  <c r="Z688" i="3"/>
  <c r="Y688" i="3"/>
  <c r="W688" i="3"/>
  <c r="V688" i="3"/>
  <c r="U688" i="3"/>
  <c r="T688" i="3"/>
  <c r="S688" i="3"/>
  <c r="AF687" i="3"/>
  <c r="AD687" i="3"/>
  <c r="AC687" i="3"/>
  <c r="Z687" i="3"/>
  <c r="W687" i="3"/>
  <c r="V687" i="3"/>
  <c r="U687" i="3"/>
  <c r="T687" i="3"/>
  <c r="S687" i="3"/>
  <c r="AH686" i="3"/>
  <c r="AG686" i="3"/>
  <c r="AF686" i="3"/>
  <c r="AD686" i="3"/>
  <c r="AC686" i="3"/>
  <c r="Z686" i="3"/>
  <c r="Y686" i="3"/>
  <c r="W686" i="3"/>
  <c r="X686" i="3" s="1"/>
  <c r="V686" i="3"/>
  <c r="U686" i="3"/>
  <c r="T686" i="3"/>
  <c r="S686" i="3"/>
  <c r="AB686" i="3" s="1"/>
  <c r="AF685" i="3"/>
  <c r="AD685" i="3"/>
  <c r="AC685" i="3"/>
  <c r="AA685" i="3"/>
  <c r="Z685" i="3"/>
  <c r="W685" i="3"/>
  <c r="X685" i="3" s="1"/>
  <c r="V685" i="3"/>
  <c r="U685" i="3"/>
  <c r="T685" i="3"/>
  <c r="S685" i="3"/>
  <c r="AB685" i="3" s="1"/>
  <c r="AH684" i="3"/>
  <c r="AF684" i="3"/>
  <c r="AD684" i="3"/>
  <c r="AC684" i="3"/>
  <c r="Z684" i="3"/>
  <c r="W684" i="3"/>
  <c r="X684" i="3" s="1"/>
  <c r="V684" i="3"/>
  <c r="U684" i="3"/>
  <c r="T684" i="3"/>
  <c r="S684" i="3"/>
  <c r="AB684" i="3" s="1"/>
  <c r="AG683" i="3"/>
  <c r="AF683" i="3"/>
  <c r="AD683" i="3"/>
  <c r="AC683" i="3"/>
  <c r="AA683" i="3"/>
  <c r="Z683" i="3"/>
  <c r="Y683" i="3"/>
  <c r="W683" i="3"/>
  <c r="X683" i="3" s="1"/>
  <c r="V683" i="3"/>
  <c r="U683" i="3"/>
  <c r="T683" i="3"/>
  <c r="S683" i="3"/>
  <c r="AB683" i="3" s="1"/>
  <c r="AF682" i="3"/>
  <c r="AD682" i="3"/>
  <c r="AC682" i="3"/>
  <c r="Z682" i="3"/>
  <c r="W682" i="3"/>
  <c r="AH682" i="3" s="1"/>
  <c r="V682" i="3"/>
  <c r="U682" i="3"/>
  <c r="T682" i="3"/>
  <c r="S682" i="3"/>
  <c r="AB682" i="3" s="1"/>
  <c r="AH681" i="3"/>
  <c r="AG681" i="3"/>
  <c r="AF681" i="3"/>
  <c r="AE681" i="3"/>
  <c r="AD681" i="3"/>
  <c r="AC681" i="3"/>
  <c r="AA681" i="3"/>
  <c r="Z681" i="3"/>
  <c r="Y681" i="3"/>
  <c r="W681" i="3"/>
  <c r="X681" i="3" s="1"/>
  <c r="V681" i="3"/>
  <c r="U681" i="3"/>
  <c r="T681" i="3"/>
  <c r="S681" i="3"/>
  <c r="AB681" i="3" s="1"/>
  <c r="AG680" i="3"/>
  <c r="AF680" i="3"/>
  <c r="AD680" i="3"/>
  <c r="AC680" i="3"/>
  <c r="Z680" i="3"/>
  <c r="Y680" i="3"/>
  <c r="W680" i="3"/>
  <c r="V680" i="3"/>
  <c r="U680" i="3"/>
  <c r="T680" i="3"/>
  <c r="S680" i="3"/>
  <c r="AB680" i="3" s="1"/>
  <c r="AF679" i="3"/>
  <c r="AD679" i="3"/>
  <c r="AC679" i="3"/>
  <c r="Z679" i="3"/>
  <c r="W679" i="3"/>
  <c r="V679" i="3"/>
  <c r="U679" i="3"/>
  <c r="T679" i="3"/>
  <c r="S679" i="3"/>
  <c r="AH678" i="3"/>
  <c r="AG678" i="3"/>
  <c r="AF678" i="3"/>
  <c r="AD678" i="3"/>
  <c r="AC678" i="3"/>
  <c r="Z678" i="3"/>
  <c r="Y678" i="3"/>
  <c r="W678" i="3"/>
  <c r="X678" i="3" s="1"/>
  <c r="V678" i="3"/>
  <c r="U678" i="3"/>
  <c r="T678" i="3"/>
  <c r="S678" i="3"/>
  <c r="AB678" i="3" s="1"/>
  <c r="AF677" i="3"/>
  <c r="AD677" i="3"/>
  <c r="AC677" i="3"/>
  <c r="AA677" i="3"/>
  <c r="Z677" i="3"/>
  <c r="W677" i="3"/>
  <c r="X677" i="3" s="1"/>
  <c r="V677" i="3"/>
  <c r="U677" i="3"/>
  <c r="T677" i="3"/>
  <c r="S677" i="3"/>
  <c r="AB677" i="3" s="1"/>
  <c r="AH676" i="3"/>
  <c r="AF676" i="3"/>
  <c r="AD676" i="3"/>
  <c r="AC676" i="3"/>
  <c r="AB676" i="3"/>
  <c r="Z676" i="3"/>
  <c r="W676" i="3"/>
  <c r="X676" i="3" s="1"/>
  <c r="V676" i="3"/>
  <c r="U676" i="3"/>
  <c r="T676" i="3"/>
  <c r="S676" i="3"/>
  <c r="AG675" i="3"/>
  <c r="AF675" i="3"/>
  <c r="AD675" i="3"/>
  <c r="AC675" i="3"/>
  <c r="AA675" i="3"/>
  <c r="Z675" i="3"/>
  <c r="Y675" i="3"/>
  <c r="W675" i="3"/>
  <c r="X675" i="3" s="1"/>
  <c r="V675" i="3"/>
  <c r="U675" i="3"/>
  <c r="T675" i="3"/>
  <c r="S675" i="3"/>
  <c r="AB675" i="3" s="1"/>
  <c r="AH674" i="3"/>
  <c r="AF674" i="3"/>
  <c r="AD674" i="3"/>
  <c r="AC674" i="3"/>
  <c r="AA674" i="3"/>
  <c r="Z674" i="3"/>
  <c r="W674" i="3"/>
  <c r="V674" i="3"/>
  <c r="U674" i="3"/>
  <c r="T674" i="3"/>
  <c r="S674" i="3"/>
  <c r="AH673" i="3"/>
  <c r="AG673" i="3"/>
  <c r="AF673" i="3"/>
  <c r="AD673" i="3"/>
  <c r="AC673" i="3"/>
  <c r="AA673" i="3"/>
  <c r="Z673" i="3"/>
  <c r="Y673" i="3"/>
  <c r="W673" i="3"/>
  <c r="X673" i="3" s="1"/>
  <c r="V673" i="3"/>
  <c r="U673" i="3"/>
  <c r="T673" i="3"/>
  <c r="S673" i="3"/>
  <c r="AB673" i="3" s="1"/>
  <c r="AE673" i="3" s="1"/>
  <c r="AF672" i="3"/>
  <c r="AD672" i="3"/>
  <c r="AC672" i="3"/>
  <c r="Z672" i="3"/>
  <c r="W672" i="3"/>
  <c r="AG672" i="3" s="1"/>
  <c r="V672" i="3"/>
  <c r="U672" i="3"/>
  <c r="T672" i="3"/>
  <c r="S672" i="3"/>
  <c r="AB672" i="3" s="1"/>
  <c r="AF671" i="3"/>
  <c r="AD671" i="3"/>
  <c r="AC671" i="3"/>
  <c r="Z671" i="3"/>
  <c r="W671" i="3"/>
  <c r="V671" i="3"/>
  <c r="U671" i="3"/>
  <c r="T671" i="3"/>
  <c r="S671" i="3"/>
  <c r="AB671" i="3" s="1"/>
  <c r="AH670" i="3"/>
  <c r="AG670" i="3"/>
  <c r="AF670" i="3"/>
  <c r="AD670" i="3"/>
  <c r="AC670" i="3"/>
  <c r="Z670" i="3"/>
  <c r="Y670" i="3"/>
  <c r="W670" i="3"/>
  <c r="X670" i="3" s="1"/>
  <c r="V670" i="3"/>
  <c r="U670" i="3"/>
  <c r="T670" i="3"/>
  <c r="S670" i="3"/>
  <c r="AB670" i="3" s="1"/>
  <c r="AF669" i="3"/>
  <c r="AD669" i="3"/>
  <c r="AC669" i="3"/>
  <c r="AA669" i="3"/>
  <c r="Z669" i="3"/>
  <c r="W669" i="3"/>
  <c r="X669" i="3" s="1"/>
  <c r="V669" i="3"/>
  <c r="U669" i="3"/>
  <c r="T669" i="3"/>
  <c r="S669" i="3"/>
  <c r="AB669" i="3" s="1"/>
  <c r="AH668" i="3"/>
  <c r="AF668" i="3"/>
  <c r="AD668" i="3"/>
  <c r="AC668" i="3"/>
  <c r="Z668" i="3"/>
  <c r="W668" i="3"/>
  <c r="X668" i="3" s="1"/>
  <c r="V668" i="3"/>
  <c r="U668" i="3"/>
  <c r="T668" i="3"/>
  <c r="S668" i="3"/>
  <c r="AB668" i="3" s="1"/>
  <c r="AG667" i="3"/>
  <c r="AF667" i="3"/>
  <c r="AD667" i="3"/>
  <c r="AC667" i="3"/>
  <c r="AA667" i="3"/>
  <c r="Z667" i="3"/>
  <c r="Y667" i="3"/>
  <c r="W667" i="3"/>
  <c r="X667" i="3" s="1"/>
  <c r="V667" i="3"/>
  <c r="U667" i="3"/>
  <c r="T667" i="3"/>
  <c r="S667" i="3"/>
  <c r="AB667" i="3" s="1"/>
  <c r="AF666" i="3"/>
  <c r="AD666" i="3"/>
  <c r="AC666" i="3"/>
  <c r="Z666" i="3"/>
  <c r="W666" i="3"/>
  <c r="V666" i="3"/>
  <c r="U666" i="3"/>
  <c r="T666" i="3"/>
  <c r="S666" i="3"/>
  <c r="AH665" i="3"/>
  <c r="AG665" i="3"/>
  <c r="AF665" i="3"/>
  <c r="AE665" i="3"/>
  <c r="AD665" i="3"/>
  <c r="AC665" i="3"/>
  <c r="AA665" i="3"/>
  <c r="Z665" i="3"/>
  <c r="Y665" i="3"/>
  <c r="W665" i="3"/>
  <c r="X665" i="3" s="1"/>
  <c r="V665" i="3"/>
  <c r="U665" i="3"/>
  <c r="T665" i="3"/>
  <c r="S665" i="3"/>
  <c r="AB665" i="3" s="1"/>
  <c r="AF664" i="3"/>
  <c r="AD664" i="3"/>
  <c r="AC664" i="3"/>
  <c r="Z664" i="3"/>
  <c r="W664" i="3"/>
  <c r="V664" i="3"/>
  <c r="U664" i="3"/>
  <c r="T664" i="3"/>
  <c r="S664" i="3"/>
  <c r="AF663" i="3"/>
  <c r="AD663" i="3"/>
  <c r="AC663" i="3"/>
  <c r="Z663" i="3"/>
  <c r="W663" i="3"/>
  <c r="V663" i="3"/>
  <c r="U663" i="3"/>
  <c r="T663" i="3"/>
  <c r="S663" i="3"/>
  <c r="AB663" i="3" s="1"/>
  <c r="AH662" i="3"/>
  <c r="AG662" i="3"/>
  <c r="AF662" i="3"/>
  <c r="AD662" i="3"/>
  <c r="AC662" i="3"/>
  <c r="AA662" i="3"/>
  <c r="Z662" i="3"/>
  <c r="Y662" i="3"/>
  <c r="W662" i="3"/>
  <c r="X662" i="3" s="1"/>
  <c r="V662" i="3"/>
  <c r="U662" i="3"/>
  <c r="T662" i="3"/>
  <c r="S662" i="3"/>
  <c r="AB662" i="3" s="1"/>
  <c r="AE662" i="3" s="1"/>
  <c r="AF661" i="3"/>
  <c r="AD661" i="3"/>
  <c r="AC661" i="3"/>
  <c r="AA661" i="3"/>
  <c r="Z661" i="3"/>
  <c r="W661" i="3"/>
  <c r="X661" i="3" s="1"/>
  <c r="V661" i="3"/>
  <c r="U661" i="3"/>
  <c r="T661" i="3"/>
  <c r="S661" i="3"/>
  <c r="AB661" i="3" s="1"/>
  <c r="AH660" i="3"/>
  <c r="AF660" i="3"/>
  <c r="AD660" i="3"/>
  <c r="AC660" i="3"/>
  <c r="Z660" i="3"/>
  <c r="W660" i="3"/>
  <c r="X660" i="3" s="1"/>
  <c r="V660" i="3"/>
  <c r="U660" i="3"/>
  <c r="T660" i="3"/>
  <c r="S660" i="3"/>
  <c r="AB660" i="3" s="1"/>
  <c r="AG659" i="3"/>
  <c r="AF659" i="3"/>
  <c r="AD659" i="3"/>
  <c r="AC659" i="3"/>
  <c r="AA659" i="3"/>
  <c r="Z659" i="3"/>
  <c r="Y659" i="3"/>
  <c r="W659" i="3"/>
  <c r="X659" i="3" s="1"/>
  <c r="V659" i="3"/>
  <c r="U659" i="3"/>
  <c r="T659" i="3"/>
  <c r="S659" i="3"/>
  <c r="AB659" i="3" s="1"/>
  <c r="AF658" i="3"/>
  <c r="AD658" i="3"/>
  <c r="AC658" i="3"/>
  <c r="Z658" i="3"/>
  <c r="W658" i="3"/>
  <c r="AH658" i="3" s="1"/>
  <c r="V658" i="3"/>
  <c r="U658" i="3"/>
  <c r="T658" i="3"/>
  <c r="S658" i="3"/>
  <c r="AH657" i="3"/>
  <c r="AG657" i="3"/>
  <c r="AF657" i="3"/>
  <c r="AD657" i="3"/>
  <c r="AC657" i="3"/>
  <c r="AA657" i="3"/>
  <c r="Z657" i="3"/>
  <c r="Y657" i="3"/>
  <c r="W657" i="3"/>
  <c r="X657" i="3" s="1"/>
  <c r="V657" i="3"/>
  <c r="U657" i="3"/>
  <c r="T657" i="3"/>
  <c r="S657" i="3"/>
  <c r="AB657" i="3" s="1"/>
  <c r="AE657" i="3" s="1"/>
  <c r="AG656" i="3"/>
  <c r="AF656" i="3"/>
  <c r="AD656" i="3"/>
  <c r="AC656" i="3"/>
  <c r="AA656" i="3"/>
  <c r="Z656" i="3"/>
  <c r="Y656" i="3"/>
  <c r="W656" i="3"/>
  <c r="V656" i="3"/>
  <c r="U656" i="3"/>
  <c r="T656" i="3"/>
  <c r="S656" i="3"/>
  <c r="AH655" i="3"/>
  <c r="AF655" i="3"/>
  <c r="AD655" i="3"/>
  <c r="AC655" i="3"/>
  <c r="Z655" i="3"/>
  <c r="W655" i="3"/>
  <c r="V655" i="3"/>
  <c r="U655" i="3"/>
  <c r="T655" i="3"/>
  <c r="S655" i="3"/>
  <c r="AB655" i="3" s="1"/>
  <c r="AH654" i="3"/>
  <c r="AG654" i="3"/>
  <c r="AF654" i="3"/>
  <c r="AD654" i="3"/>
  <c r="AC654" i="3"/>
  <c r="AA654" i="3"/>
  <c r="Z654" i="3"/>
  <c r="Y654" i="3"/>
  <c r="W654" i="3"/>
  <c r="X654" i="3" s="1"/>
  <c r="V654" i="3"/>
  <c r="U654" i="3"/>
  <c r="T654" i="3"/>
  <c r="S654" i="3"/>
  <c r="AB654" i="3" s="1"/>
  <c r="AE654" i="3" s="1"/>
  <c r="AF653" i="3"/>
  <c r="AD653" i="3"/>
  <c r="AC653" i="3"/>
  <c r="AA653" i="3"/>
  <c r="Z653" i="3"/>
  <c r="W653" i="3"/>
  <c r="V653" i="3"/>
  <c r="U653" i="3"/>
  <c r="T653" i="3"/>
  <c r="S653" i="3"/>
  <c r="AH652" i="3"/>
  <c r="AF652" i="3"/>
  <c r="AD652" i="3"/>
  <c r="AC652" i="3"/>
  <c r="AB652" i="3"/>
  <c r="Z652" i="3"/>
  <c r="W652" i="3"/>
  <c r="X652" i="3" s="1"/>
  <c r="V652" i="3"/>
  <c r="U652" i="3"/>
  <c r="T652" i="3"/>
  <c r="S652" i="3"/>
  <c r="AG651" i="3"/>
  <c r="AF651" i="3"/>
  <c r="AD651" i="3"/>
  <c r="AC651" i="3"/>
  <c r="AA651" i="3"/>
  <c r="Z651" i="3"/>
  <c r="Y651" i="3"/>
  <c r="W651" i="3"/>
  <c r="X651" i="3" s="1"/>
  <c r="V651" i="3"/>
  <c r="U651" i="3"/>
  <c r="T651" i="3"/>
  <c r="S651" i="3"/>
  <c r="AB651" i="3" s="1"/>
  <c r="AH650" i="3"/>
  <c r="AF650" i="3"/>
  <c r="AD650" i="3"/>
  <c r="AC650" i="3"/>
  <c r="AA650" i="3"/>
  <c r="Z650" i="3"/>
  <c r="W650" i="3"/>
  <c r="V650" i="3"/>
  <c r="U650" i="3"/>
  <c r="T650" i="3"/>
  <c r="S650" i="3"/>
  <c r="AB650" i="3" s="1"/>
  <c r="AH649" i="3"/>
  <c r="AG649" i="3"/>
  <c r="AF649" i="3"/>
  <c r="AD649" i="3"/>
  <c r="AC649" i="3"/>
  <c r="AA649" i="3"/>
  <c r="Z649" i="3"/>
  <c r="Y649" i="3"/>
  <c r="W649" i="3"/>
  <c r="X649" i="3" s="1"/>
  <c r="V649" i="3"/>
  <c r="U649" i="3"/>
  <c r="T649" i="3"/>
  <c r="S649" i="3"/>
  <c r="AB649" i="3" s="1"/>
  <c r="AE649" i="3" s="1"/>
  <c r="AF648" i="3"/>
  <c r="AD648" i="3"/>
  <c r="AC648" i="3"/>
  <c r="AA648" i="3"/>
  <c r="Z648" i="3"/>
  <c r="W648" i="3"/>
  <c r="V648" i="3"/>
  <c r="U648" i="3"/>
  <c r="T648" i="3"/>
  <c r="S648" i="3"/>
  <c r="AB648" i="3" s="1"/>
  <c r="AH647" i="3"/>
  <c r="AF647" i="3"/>
  <c r="AD647" i="3"/>
  <c r="AC647" i="3"/>
  <c r="AA647" i="3"/>
  <c r="Z647" i="3"/>
  <c r="W647" i="3"/>
  <c r="AE647" i="3" s="1"/>
  <c r="V647" i="3"/>
  <c r="U647" i="3"/>
  <c r="T647" i="3"/>
  <c r="S647" i="3"/>
  <c r="AB647" i="3" s="1"/>
  <c r="AH646" i="3"/>
  <c r="AG646" i="3"/>
  <c r="AF646" i="3"/>
  <c r="AD646" i="3"/>
  <c r="AC646" i="3"/>
  <c r="AA646" i="3"/>
  <c r="Z646" i="3"/>
  <c r="Y646" i="3"/>
  <c r="W646" i="3"/>
  <c r="X646" i="3" s="1"/>
  <c r="V646" i="3"/>
  <c r="U646" i="3"/>
  <c r="T646" i="3"/>
  <c r="S646" i="3"/>
  <c r="AB646" i="3" s="1"/>
  <c r="AE646" i="3" s="1"/>
  <c r="AG645" i="3"/>
  <c r="AF645" i="3"/>
  <c r="AD645" i="3"/>
  <c r="AC645" i="3"/>
  <c r="AA645" i="3"/>
  <c r="Z645" i="3"/>
  <c r="Y645" i="3"/>
  <c r="W645" i="3"/>
  <c r="V645" i="3"/>
  <c r="U645" i="3"/>
  <c r="T645" i="3"/>
  <c r="S645" i="3"/>
  <c r="AB645" i="3" s="1"/>
  <c r="AF644" i="3"/>
  <c r="AD644" i="3"/>
  <c r="AC644" i="3"/>
  <c r="AB644" i="3"/>
  <c r="Z644" i="3"/>
  <c r="W644" i="3"/>
  <c r="V644" i="3"/>
  <c r="U644" i="3"/>
  <c r="T644" i="3"/>
  <c r="S644" i="3"/>
  <c r="AG643" i="3"/>
  <c r="AF643" i="3"/>
  <c r="AD643" i="3"/>
  <c r="AC643" i="3"/>
  <c r="AA643" i="3"/>
  <c r="Z643" i="3"/>
  <c r="Y643" i="3"/>
  <c r="W643" i="3"/>
  <c r="X643" i="3" s="1"/>
  <c r="V643" i="3"/>
  <c r="U643" i="3"/>
  <c r="T643" i="3"/>
  <c r="S643" i="3"/>
  <c r="AB643" i="3" s="1"/>
  <c r="AE643" i="3" s="1"/>
  <c r="AH642" i="3"/>
  <c r="AF642" i="3"/>
  <c r="AD642" i="3"/>
  <c r="AC642" i="3"/>
  <c r="AA642" i="3"/>
  <c r="Z642" i="3"/>
  <c r="W642" i="3"/>
  <c r="V642" i="3"/>
  <c r="U642" i="3"/>
  <c r="T642" i="3"/>
  <c r="S642" i="3"/>
  <c r="AB642" i="3" s="1"/>
  <c r="AH641" i="3"/>
  <c r="AG641" i="3"/>
  <c r="AF641" i="3"/>
  <c r="AD641" i="3"/>
  <c r="AC641" i="3"/>
  <c r="AA641" i="3"/>
  <c r="Z641" i="3"/>
  <c r="Y641" i="3"/>
  <c r="W641" i="3"/>
  <c r="X641" i="3" s="1"/>
  <c r="V641" i="3"/>
  <c r="U641" i="3"/>
  <c r="T641" i="3"/>
  <c r="S641" i="3"/>
  <c r="AB641" i="3" s="1"/>
  <c r="AE641" i="3" s="1"/>
  <c r="AF640" i="3"/>
  <c r="AD640" i="3"/>
  <c r="AC640" i="3"/>
  <c r="AA640" i="3"/>
  <c r="Z640" i="3"/>
  <c r="W640" i="3"/>
  <c r="V640" i="3"/>
  <c r="U640" i="3"/>
  <c r="T640" i="3"/>
  <c r="S640" i="3"/>
  <c r="AB640" i="3" s="1"/>
  <c r="AH639" i="3"/>
  <c r="AF639" i="3"/>
  <c r="AD639" i="3"/>
  <c r="AC639" i="3"/>
  <c r="AA639" i="3"/>
  <c r="Z639" i="3"/>
  <c r="W639" i="3"/>
  <c r="AE639" i="3" s="1"/>
  <c r="V639" i="3"/>
  <c r="U639" i="3"/>
  <c r="T639" i="3"/>
  <c r="S639" i="3"/>
  <c r="AB639" i="3" s="1"/>
  <c r="AH638" i="3"/>
  <c r="AG638" i="3"/>
  <c r="AF638" i="3"/>
  <c r="AD638" i="3"/>
  <c r="AC638" i="3"/>
  <c r="AA638" i="3"/>
  <c r="Z638" i="3"/>
  <c r="Y638" i="3"/>
  <c r="W638" i="3"/>
  <c r="X638" i="3" s="1"/>
  <c r="V638" i="3"/>
  <c r="U638" i="3"/>
  <c r="T638" i="3"/>
  <c r="S638" i="3"/>
  <c r="AB638" i="3" s="1"/>
  <c r="AE638" i="3" s="1"/>
  <c r="AG637" i="3"/>
  <c r="AF637" i="3"/>
  <c r="AD637" i="3"/>
  <c r="AC637" i="3"/>
  <c r="AA637" i="3"/>
  <c r="Z637" i="3"/>
  <c r="Y637" i="3"/>
  <c r="W637" i="3"/>
  <c r="V637" i="3"/>
  <c r="U637" i="3"/>
  <c r="T637" i="3"/>
  <c r="S637" i="3"/>
  <c r="AB637" i="3" s="1"/>
  <c r="AF636" i="3"/>
  <c r="AD636" i="3"/>
  <c r="AC636" i="3"/>
  <c r="AB636" i="3"/>
  <c r="Z636" i="3"/>
  <c r="W636" i="3"/>
  <c r="V636" i="3"/>
  <c r="U636" i="3"/>
  <c r="T636" i="3"/>
  <c r="S636" i="3"/>
  <c r="AG635" i="3"/>
  <c r="AF635" i="3"/>
  <c r="AD635" i="3"/>
  <c r="AC635" i="3"/>
  <c r="AA635" i="3"/>
  <c r="Z635" i="3"/>
  <c r="Y635" i="3"/>
  <c r="W635" i="3"/>
  <c r="X635" i="3" s="1"/>
  <c r="V635" i="3"/>
  <c r="U635" i="3"/>
  <c r="T635" i="3"/>
  <c r="S635" i="3"/>
  <c r="AB635" i="3" s="1"/>
  <c r="AE635" i="3" s="1"/>
  <c r="AH634" i="3"/>
  <c r="AF634" i="3"/>
  <c r="AD634" i="3"/>
  <c r="AC634" i="3"/>
  <c r="AA634" i="3"/>
  <c r="Z634" i="3"/>
  <c r="W634" i="3"/>
  <c r="V634" i="3"/>
  <c r="U634" i="3"/>
  <c r="T634" i="3"/>
  <c r="S634" i="3"/>
  <c r="AB634" i="3" s="1"/>
  <c r="AH633" i="3"/>
  <c r="AG633" i="3"/>
  <c r="AF633" i="3"/>
  <c r="AD633" i="3"/>
  <c r="AC633" i="3"/>
  <c r="AA633" i="3"/>
  <c r="Z633" i="3"/>
  <c r="Y633" i="3"/>
  <c r="W633" i="3"/>
  <c r="X633" i="3" s="1"/>
  <c r="V633" i="3"/>
  <c r="U633" i="3"/>
  <c r="T633" i="3"/>
  <c r="S633" i="3"/>
  <c r="AB633" i="3" s="1"/>
  <c r="AE633" i="3" s="1"/>
  <c r="AF632" i="3"/>
  <c r="AD632" i="3"/>
  <c r="AC632" i="3"/>
  <c r="AA632" i="3"/>
  <c r="Z632" i="3"/>
  <c r="W632" i="3"/>
  <c r="V632" i="3"/>
  <c r="U632" i="3"/>
  <c r="T632" i="3"/>
  <c r="S632" i="3"/>
  <c r="AB632" i="3" s="1"/>
  <c r="AF631" i="3"/>
  <c r="AD631" i="3"/>
  <c r="AC631" i="3"/>
  <c r="AA631" i="3"/>
  <c r="Z631" i="3"/>
  <c r="W631" i="3"/>
  <c r="V631" i="3"/>
  <c r="U631" i="3"/>
  <c r="T631" i="3"/>
  <c r="S631" i="3"/>
  <c r="AB631" i="3" s="1"/>
  <c r="AH630" i="3"/>
  <c r="AG630" i="3"/>
  <c r="AF630" i="3"/>
  <c r="AD630" i="3"/>
  <c r="AC630" i="3"/>
  <c r="AA630" i="3"/>
  <c r="AE630" i="3" s="1"/>
  <c r="Z630" i="3"/>
  <c r="Y630" i="3"/>
  <c r="W630" i="3"/>
  <c r="X630" i="3" s="1"/>
  <c r="V630" i="3"/>
  <c r="U630" i="3"/>
  <c r="T630" i="3"/>
  <c r="S630" i="3"/>
  <c r="AB630" i="3" s="1"/>
  <c r="AF629" i="3"/>
  <c r="AD629" i="3"/>
  <c r="AC629" i="3"/>
  <c r="Z629" i="3"/>
  <c r="W629" i="3"/>
  <c r="AG629" i="3" s="1"/>
  <c r="V629" i="3"/>
  <c r="U629" i="3"/>
  <c r="T629" i="3"/>
  <c r="S629" i="3"/>
  <c r="AH628" i="3"/>
  <c r="AF628" i="3"/>
  <c r="AD628" i="3"/>
  <c r="AC628" i="3"/>
  <c r="Z628" i="3"/>
  <c r="Y628" i="3"/>
  <c r="W628" i="3"/>
  <c r="V628" i="3"/>
  <c r="U628" i="3"/>
  <c r="T628" i="3"/>
  <c r="S628" i="3"/>
  <c r="AB628" i="3" s="1"/>
  <c r="AF627" i="3"/>
  <c r="AD627" i="3"/>
  <c r="AC627" i="3"/>
  <c r="AA627" i="3"/>
  <c r="Z627" i="3"/>
  <c r="W627" i="3"/>
  <c r="V627" i="3"/>
  <c r="U627" i="3"/>
  <c r="T627" i="3"/>
  <c r="S627" i="3"/>
  <c r="AB627" i="3" s="1"/>
  <c r="AF626" i="3"/>
  <c r="AD626" i="3"/>
  <c r="AC626" i="3"/>
  <c r="Z626" i="3"/>
  <c r="W626" i="3"/>
  <c r="V626" i="3"/>
  <c r="U626" i="3"/>
  <c r="T626" i="3"/>
  <c r="S626" i="3"/>
  <c r="AB626" i="3" s="1"/>
  <c r="AH625" i="3"/>
  <c r="AG625" i="3"/>
  <c r="AF625" i="3"/>
  <c r="AD625" i="3"/>
  <c r="AC625" i="3"/>
  <c r="AA625" i="3"/>
  <c r="Z625" i="3"/>
  <c r="Y625" i="3"/>
  <c r="W625" i="3"/>
  <c r="X625" i="3" s="1"/>
  <c r="V625" i="3"/>
  <c r="U625" i="3"/>
  <c r="T625" i="3"/>
  <c r="S625" i="3"/>
  <c r="AB625" i="3" s="1"/>
  <c r="AE625" i="3" s="1"/>
  <c r="AH624" i="3"/>
  <c r="AF624" i="3"/>
  <c r="AD624" i="3"/>
  <c r="AC624" i="3"/>
  <c r="AA624" i="3"/>
  <c r="Z624" i="3"/>
  <c r="Y624" i="3"/>
  <c r="W624" i="3"/>
  <c r="V624" i="3"/>
  <c r="U624" i="3"/>
  <c r="T624" i="3"/>
  <c r="S624" i="3"/>
  <c r="AB624" i="3" s="1"/>
  <c r="AF623" i="3"/>
  <c r="AD623" i="3"/>
  <c r="AC623" i="3"/>
  <c r="AA623" i="3"/>
  <c r="Z623" i="3"/>
  <c r="W623" i="3"/>
  <c r="X623" i="3" s="1"/>
  <c r="V623" i="3"/>
  <c r="U623" i="3"/>
  <c r="T623" i="3"/>
  <c r="S623" i="3"/>
  <c r="AB623" i="3" s="1"/>
  <c r="AH622" i="3"/>
  <c r="AF622" i="3"/>
  <c r="AD622" i="3"/>
  <c r="AC622" i="3"/>
  <c r="AA622" i="3"/>
  <c r="AE622" i="3" s="1"/>
  <c r="Z622" i="3"/>
  <c r="W622" i="3"/>
  <c r="X622" i="3" s="1"/>
  <c r="V622" i="3"/>
  <c r="U622" i="3"/>
  <c r="T622" i="3"/>
  <c r="S622" i="3"/>
  <c r="AB622" i="3" s="1"/>
  <c r="AH621" i="3"/>
  <c r="AF621" i="3"/>
  <c r="AD621" i="3"/>
  <c r="AC621" i="3"/>
  <c r="Z621" i="3"/>
  <c r="Y621" i="3"/>
  <c r="W621" i="3"/>
  <c r="X621" i="3" s="1"/>
  <c r="V621" i="3"/>
  <c r="U621" i="3"/>
  <c r="T621" i="3"/>
  <c r="S621" i="3"/>
  <c r="AF620" i="3"/>
  <c r="AD620" i="3"/>
  <c r="AC620" i="3"/>
  <c r="Z620" i="3"/>
  <c r="W620" i="3"/>
  <c r="V620" i="3"/>
  <c r="U620" i="3"/>
  <c r="T620" i="3"/>
  <c r="S620" i="3"/>
  <c r="AB620" i="3" s="1"/>
  <c r="AG619" i="3"/>
  <c r="AF619" i="3"/>
  <c r="AD619" i="3"/>
  <c r="AC619" i="3"/>
  <c r="AA619" i="3"/>
  <c r="Z619" i="3"/>
  <c r="Y619" i="3"/>
  <c r="W619" i="3"/>
  <c r="AE619" i="3" s="1"/>
  <c r="V619" i="3"/>
  <c r="U619" i="3"/>
  <c r="T619" i="3"/>
  <c r="S619" i="3"/>
  <c r="AB619" i="3" s="1"/>
  <c r="AF618" i="3"/>
  <c r="AD618" i="3"/>
  <c r="AC618" i="3"/>
  <c r="AB618" i="3"/>
  <c r="AA618" i="3"/>
  <c r="AE618" i="3" s="1"/>
  <c r="Z618" i="3"/>
  <c r="W618" i="3"/>
  <c r="V618" i="3"/>
  <c r="U618" i="3"/>
  <c r="T618" i="3"/>
  <c r="S618" i="3"/>
  <c r="AH617" i="3"/>
  <c r="AG617" i="3"/>
  <c r="AF617" i="3"/>
  <c r="AD617" i="3"/>
  <c r="AC617" i="3"/>
  <c r="AA617" i="3"/>
  <c r="Z617" i="3"/>
  <c r="Y617" i="3"/>
  <c r="W617" i="3"/>
  <c r="X617" i="3" s="1"/>
  <c r="V617" i="3"/>
  <c r="U617" i="3"/>
  <c r="T617" i="3"/>
  <c r="S617" i="3"/>
  <c r="AB617" i="3" s="1"/>
  <c r="AE617" i="3" s="1"/>
  <c r="AF616" i="3"/>
  <c r="AD616" i="3"/>
  <c r="AC616" i="3"/>
  <c r="Z616" i="3"/>
  <c r="W616" i="3"/>
  <c r="V616" i="3"/>
  <c r="U616" i="3"/>
  <c r="T616" i="3"/>
  <c r="S616" i="3"/>
  <c r="AB616" i="3" s="1"/>
  <c r="AH615" i="3"/>
  <c r="AG615" i="3"/>
  <c r="AF615" i="3"/>
  <c r="AD615" i="3"/>
  <c r="AC615" i="3"/>
  <c r="AA615" i="3"/>
  <c r="Z615" i="3"/>
  <c r="Y615" i="3"/>
  <c r="W615" i="3"/>
  <c r="X615" i="3" s="1"/>
  <c r="V615" i="3"/>
  <c r="U615" i="3"/>
  <c r="T615" i="3"/>
  <c r="S615" i="3"/>
  <c r="AB615" i="3" s="1"/>
  <c r="AE615" i="3" s="1"/>
  <c r="AH614" i="3"/>
  <c r="AG614" i="3"/>
  <c r="AF614" i="3"/>
  <c r="AD614" i="3"/>
  <c r="AC614" i="3"/>
  <c r="AA614" i="3"/>
  <c r="Z614" i="3"/>
  <c r="Y614" i="3"/>
  <c r="W614" i="3"/>
  <c r="X614" i="3" s="1"/>
  <c r="V614" i="3"/>
  <c r="U614" i="3"/>
  <c r="T614" i="3"/>
  <c r="S614" i="3"/>
  <c r="AB614" i="3" s="1"/>
  <c r="AF613" i="3"/>
  <c r="AD613" i="3"/>
  <c r="AC613" i="3"/>
  <c r="AA613" i="3"/>
  <c r="Z613" i="3"/>
  <c r="W613" i="3"/>
  <c r="X613" i="3" s="1"/>
  <c r="V613" i="3"/>
  <c r="U613" i="3"/>
  <c r="T613" i="3"/>
  <c r="S613" i="3"/>
  <c r="AB613" i="3" s="1"/>
  <c r="AH612" i="3"/>
  <c r="AF612" i="3"/>
  <c r="AD612" i="3"/>
  <c r="AC612" i="3"/>
  <c r="Z612" i="3"/>
  <c r="Y612" i="3"/>
  <c r="W612" i="3"/>
  <c r="V612" i="3"/>
  <c r="U612" i="3"/>
  <c r="T612" i="3"/>
  <c r="S612" i="3"/>
  <c r="AB612" i="3" s="1"/>
  <c r="AF611" i="3"/>
  <c r="AD611" i="3"/>
  <c r="AC611" i="3"/>
  <c r="Z611" i="3"/>
  <c r="W611" i="3"/>
  <c r="V611" i="3"/>
  <c r="U611" i="3"/>
  <c r="T611" i="3"/>
  <c r="S611" i="3"/>
  <c r="AB611" i="3" s="1"/>
  <c r="AF610" i="3"/>
  <c r="AD610" i="3"/>
  <c r="AC610" i="3"/>
  <c r="Z610" i="3"/>
  <c r="W610" i="3"/>
  <c r="V610" i="3"/>
  <c r="U610" i="3"/>
  <c r="T610" i="3"/>
  <c r="S610" i="3"/>
  <c r="AB610" i="3" s="1"/>
  <c r="AH609" i="3"/>
  <c r="AG609" i="3"/>
  <c r="AF609" i="3"/>
  <c r="AD609" i="3"/>
  <c r="AC609" i="3"/>
  <c r="AA609" i="3"/>
  <c r="AE609" i="3" s="1"/>
  <c r="Z609" i="3"/>
  <c r="Y609" i="3"/>
  <c r="W609" i="3"/>
  <c r="X609" i="3" s="1"/>
  <c r="V609" i="3"/>
  <c r="U609" i="3"/>
  <c r="T609" i="3"/>
  <c r="S609" i="3"/>
  <c r="AB609" i="3" s="1"/>
  <c r="AH608" i="3"/>
  <c r="AG608" i="3"/>
  <c r="AF608" i="3"/>
  <c r="AD608" i="3"/>
  <c r="AC608" i="3"/>
  <c r="Z608" i="3"/>
  <c r="X608" i="3"/>
  <c r="V608" i="3"/>
  <c r="U608" i="3"/>
  <c r="T608" i="3"/>
  <c r="S608" i="3"/>
  <c r="AB608" i="3" s="1"/>
  <c r="G608" i="3"/>
  <c r="W608" i="3" s="1"/>
  <c r="AA608" i="3" s="1"/>
  <c r="AG607" i="3"/>
  <c r="AF607" i="3"/>
  <c r="AD607" i="3"/>
  <c r="AC607" i="3"/>
  <c r="X607" i="3"/>
  <c r="V607" i="3"/>
  <c r="U607" i="3"/>
  <c r="T607" i="3"/>
  <c r="S607" i="3"/>
  <c r="AB607" i="3" s="1"/>
  <c r="G607" i="3"/>
  <c r="W607" i="3" s="1"/>
  <c r="AA607" i="3" s="1"/>
  <c r="AF606" i="3"/>
  <c r="AD606" i="3"/>
  <c r="AC606" i="3"/>
  <c r="V606" i="3"/>
  <c r="U606" i="3"/>
  <c r="T606" i="3"/>
  <c r="S606" i="3"/>
  <c r="G606" i="3"/>
  <c r="W606" i="3" s="1"/>
  <c r="AB606" i="3" s="1"/>
  <c r="AH605" i="3"/>
  <c r="AG605" i="3"/>
  <c r="AF605" i="3"/>
  <c r="AE605" i="3"/>
  <c r="AD605" i="3"/>
  <c r="AC605" i="3"/>
  <c r="AA605" i="3"/>
  <c r="Z605" i="3"/>
  <c r="X605" i="3"/>
  <c r="V605" i="3"/>
  <c r="U605" i="3"/>
  <c r="T605" i="3"/>
  <c r="S605" i="3"/>
  <c r="AB605" i="3" s="1"/>
  <c r="G605" i="3"/>
  <c r="W605" i="3" s="1"/>
  <c r="AF604" i="3"/>
  <c r="AD604" i="3"/>
  <c r="AC604" i="3"/>
  <c r="Z604" i="3"/>
  <c r="W604" i="3"/>
  <c r="V604" i="3"/>
  <c r="U604" i="3"/>
  <c r="T604" i="3"/>
  <c r="S604" i="3"/>
  <c r="AB604" i="3" s="1"/>
  <c r="G604" i="3"/>
  <c r="AF603" i="3"/>
  <c r="AD603" i="3"/>
  <c r="AC603" i="3"/>
  <c r="AA603" i="3"/>
  <c r="X603" i="3"/>
  <c r="W603" i="3"/>
  <c r="V603" i="3"/>
  <c r="U603" i="3"/>
  <c r="T603" i="3"/>
  <c r="S603" i="3"/>
  <c r="AB603" i="3" s="1"/>
  <c r="G603" i="3"/>
  <c r="Z603" i="3" s="1"/>
  <c r="AF602" i="3"/>
  <c r="AE602" i="3"/>
  <c r="AD602" i="3"/>
  <c r="AC602" i="3"/>
  <c r="AB602" i="3"/>
  <c r="AA602" i="3"/>
  <c r="Y602" i="3"/>
  <c r="W602" i="3"/>
  <c r="V602" i="3"/>
  <c r="U602" i="3"/>
  <c r="T602" i="3"/>
  <c r="S602" i="3"/>
  <c r="G602" i="3"/>
  <c r="AH602" i="3" s="1"/>
  <c r="AF601" i="3"/>
  <c r="AD601" i="3"/>
  <c r="AC601" i="3"/>
  <c r="V601" i="3"/>
  <c r="U601" i="3"/>
  <c r="T601" i="3"/>
  <c r="S601" i="3"/>
  <c r="G601" i="3"/>
  <c r="Z601" i="3" s="1"/>
  <c r="AF600" i="3"/>
  <c r="AD600" i="3"/>
  <c r="AC600" i="3"/>
  <c r="V600" i="3"/>
  <c r="U600" i="3"/>
  <c r="T600" i="3"/>
  <c r="S600" i="3"/>
  <c r="G600" i="3"/>
  <c r="AH599" i="3"/>
  <c r="AF599" i="3"/>
  <c r="AD599" i="3"/>
  <c r="AC599" i="3"/>
  <c r="Z599" i="3"/>
  <c r="X599" i="3"/>
  <c r="W599" i="3"/>
  <c r="V599" i="3"/>
  <c r="U599" i="3"/>
  <c r="T599" i="3"/>
  <c r="S599" i="3"/>
  <c r="AB599" i="3" s="1"/>
  <c r="G599" i="3"/>
  <c r="AF598" i="3"/>
  <c r="AD598" i="3"/>
  <c r="AC598" i="3"/>
  <c r="W598" i="3"/>
  <c r="AG598" i="3" s="1"/>
  <c r="V598" i="3"/>
  <c r="U598" i="3"/>
  <c r="T598" i="3"/>
  <c r="S598" i="3"/>
  <c r="G598" i="3"/>
  <c r="AF597" i="3"/>
  <c r="AE597" i="3"/>
  <c r="AD597" i="3"/>
  <c r="AC597" i="3"/>
  <c r="AA597" i="3"/>
  <c r="X597" i="3"/>
  <c r="W597" i="3"/>
  <c r="AG597" i="3" s="1"/>
  <c r="V597" i="3"/>
  <c r="U597" i="3"/>
  <c r="T597" i="3"/>
  <c r="S597" i="3"/>
  <c r="AB597" i="3" s="1"/>
  <c r="G597" i="3"/>
  <c r="AG596" i="3"/>
  <c r="AF596" i="3"/>
  <c r="AD596" i="3"/>
  <c r="AC596" i="3"/>
  <c r="AA596" i="3"/>
  <c r="X596" i="3"/>
  <c r="W596" i="3"/>
  <c r="Y596" i="3" s="1"/>
  <c r="V596" i="3"/>
  <c r="U596" i="3"/>
  <c r="T596" i="3"/>
  <c r="S596" i="3"/>
  <c r="AB596" i="3" s="1"/>
  <c r="G596" i="3"/>
  <c r="AH596" i="3" s="1"/>
  <c r="AF595" i="3"/>
  <c r="AD595" i="3"/>
  <c r="AC595" i="3"/>
  <c r="V595" i="3"/>
  <c r="U595" i="3"/>
  <c r="T595" i="3"/>
  <c r="S595" i="3"/>
  <c r="G595" i="3"/>
  <c r="AF594" i="3"/>
  <c r="AD594" i="3"/>
  <c r="AC594" i="3"/>
  <c r="Y594" i="3"/>
  <c r="W594" i="3"/>
  <c r="X594" i="3" s="1"/>
  <c r="V594" i="3"/>
  <c r="U594" i="3"/>
  <c r="T594" i="3"/>
  <c r="S594" i="3"/>
  <c r="AB594" i="3" s="1"/>
  <c r="G594" i="3"/>
  <c r="AF593" i="3"/>
  <c r="AD593" i="3"/>
  <c r="AC593" i="3"/>
  <c r="AA593" i="3"/>
  <c r="Z593" i="3"/>
  <c r="W593" i="3"/>
  <c r="V593" i="3"/>
  <c r="U593" i="3"/>
  <c r="T593" i="3"/>
  <c r="S593" i="3"/>
  <c r="AB593" i="3" s="1"/>
  <c r="AE593" i="3" s="1"/>
  <c r="G593" i="3"/>
  <c r="AG592" i="3"/>
  <c r="AF592" i="3"/>
  <c r="AD592" i="3"/>
  <c r="AC592" i="3"/>
  <c r="AA592" i="3"/>
  <c r="AE592" i="3" s="1"/>
  <c r="Y592" i="3"/>
  <c r="X592" i="3"/>
  <c r="W592" i="3"/>
  <c r="V592" i="3"/>
  <c r="U592" i="3"/>
  <c r="T592" i="3"/>
  <c r="S592" i="3"/>
  <c r="AB592" i="3" s="1"/>
  <c r="G592" i="3"/>
  <c r="AH592" i="3" s="1"/>
  <c r="AF591" i="3"/>
  <c r="AD591" i="3"/>
  <c r="AC591" i="3"/>
  <c r="V591" i="3"/>
  <c r="U591" i="3"/>
  <c r="T591" i="3"/>
  <c r="S591" i="3"/>
  <c r="G591" i="3"/>
  <c r="W591" i="3" s="1"/>
  <c r="AA591" i="3" s="1"/>
  <c r="AF590" i="3"/>
  <c r="AD590" i="3"/>
  <c r="AC590" i="3"/>
  <c r="V590" i="3"/>
  <c r="U590" i="3"/>
  <c r="T590" i="3"/>
  <c r="S590" i="3"/>
  <c r="G590" i="3"/>
  <c r="AF589" i="3"/>
  <c r="AD589" i="3"/>
  <c r="AC589" i="3"/>
  <c r="V589" i="3"/>
  <c r="U589" i="3"/>
  <c r="T589" i="3"/>
  <c r="S589" i="3"/>
  <c r="G589" i="3"/>
  <c r="AH588" i="3"/>
  <c r="AF588" i="3"/>
  <c r="AD588" i="3"/>
  <c r="AC588" i="3"/>
  <c r="Z588" i="3"/>
  <c r="X588" i="3"/>
  <c r="W588" i="3"/>
  <c r="V588" i="3"/>
  <c r="U588" i="3"/>
  <c r="T588" i="3"/>
  <c r="S588" i="3"/>
  <c r="AB588" i="3" s="1"/>
  <c r="G588" i="3"/>
  <c r="AF587" i="3"/>
  <c r="AD587" i="3"/>
  <c r="AC587" i="3"/>
  <c r="V587" i="3"/>
  <c r="U587" i="3"/>
  <c r="T587" i="3"/>
  <c r="S587" i="3"/>
  <c r="G587" i="3"/>
  <c r="Z587" i="3" s="1"/>
  <c r="AF586" i="3"/>
  <c r="AD586" i="3"/>
  <c r="AC586" i="3"/>
  <c r="V586" i="3"/>
  <c r="U586" i="3"/>
  <c r="T586" i="3"/>
  <c r="S586" i="3"/>
  <c r="G586" i="3"/>
  <c r="Z586" i="3" s="1"/>
  <c r="AF585" i="3"/>
  <c r="AD585" i="3"/>
  <c r="AC585" i="3"/>
  <c r="V585" i="3"/>
  <c r="U585" i="3"/>
  <c r="T585" i="3"/>
  <c r="S585" i="3"/>
  <c r="G585" i="3"/>
  <c r="AF584" i="3"/>
  <c r="AD584" i="3"/>
  <c r="AC584" i="3"/>
  <c r="X584" i="3"/>
  <c r="W584" i="3"/>
  <c r="V584" i="3"/>
  <c r="U584" i="3"/>
  <c r="T584" i="3"/>
  <c r="S584" i="3"/>
  <c r="AB584" i="3" s="1"/>
  <c r="G584" i="3"/>
  <c r="AF583" i="3"/>
  <c r="AD583" i="3"/>
  <c r="AC583" i="3"/>
  <c r="W583" i="3"/>
  <c r="AG583" i="3" s="1"/>
  <c r="V583" i="3"/>
  <c r="U583" i="3"/>
  <c r="T583" i="3"/>
  <c r="S583" i="3"/>
  <c r="G583" i="3"/>
  <c r="Z583" i="3" s="1"/>
  <c r="AF582" i="3"/>
  <c r="AD582" i="3"/>
  <c r="AC582" i="3"/>
  <c r="V582" i="3"/>
  <c r="U582" i="3"/>
  <c r="T582" i="3"/>
  <c r="S582" i="3"/>
  <c r="AB582" i="3" s="1"/>
  <c r="G582" i="3"/>
  <c r="W582" i="3" s="1"/>
  <c r="Y582" i="3" s="1"/>
  <c r="AF581" i="3"/>
  <c r="AD581" i="3"/>
  <c r="AC581" i="3"/>
  <c r="V581" i="3"/>
  <c r="U581" i="3"/>
  <c r="T581" i="3"/>
  <c r="S581" i="3"/>
  <c r="G581" i="3"/>
  <c r="AH580" i="3"/>
  <c r="AF580" i="3"/>
  <c r="AD580" i="3"/>
  <c r="AC580" i="3"/>
  <c r="Z580" i="3"/>
  <c r="X580" i="3"/>
  <c r="W580" i="3"/>
  <c r="V580" i="3"/>
  <c r="U580" i="3"/>
  <c r="T580" i="3"/>
  <c r="S580" i="3"/>
  <c r="AB580" i="3" s="1"/>
  <c r="G580" i="3"/>
  <c r="AG579" i="3"/>
  <c r="AF579" i="3"/>
  <c r="AD579" i="3"/>
  <c r="AC579" i="3"/>
  <c r="AA579" i="3"/>
  <c r="X579" i="3"/>
  <c r="W579" i="3"/>
  <c r="Y579" i="3" s="1"/>
  <c r="V579" i="3"/>
  <c r="U579" i="3"/>
  <c r="T579" i="3"/>
  <c r="S579" i="3"/>
  <c r="AB579" i="3" s="1"/>
  <c r="G579" i="3"/>
  <c r="AH579" i="3" s="1"/>
  <c r="AG578" i="3"/>
  <c r="AF578" i="3"/>
  <c r="AD578" i="3"/>
  <c r="AC578" i="3"/>
  <c r="AB578" i="3"/>
  <c r="Z578" i="3"/>
  <c r="X578" i="3"/>
  <c r="W578" i="3"/>
  <c r="AA578" i="3" s="1"/>
  <c r="G578" i="3"/>
  <c r="AH578" i="3" s="1"/>
  <c r="AG577" i="3"/>
  <c r="AF577" i="3"/>
  <c r="AD577" i="3"/>
  <c r="AC577" i="3"/>
  <c r="Y577" i="3"/>
  <c r="W577" i="3"/>
  <c r="X577" i="3" s="1"/>
  <c r="G577" i="3"/>
  <c r="AH577" i="3" s="1"/>
  <c r="AF576" i="3"/>
  <c r="AD576" i="3"/>
  <c r="AC576" i="3"/>
  <c r="G576" i="3"/>
  <c r="AG575" i="3"/>
  <c r="AF575" i="3"/>
  <c r="AD575" i="3"/>
  <c r="AC575" i="3"/>
  <c r="X575" i="3"/>
  <c r="W575" i="3"/>
  <c r="AB575" i="3" s="1"/>
  <c r="G575" i="3"/>
  <c r="AG574" i="3"/>
  <c r="AF574" i="3"/>
  <c r="AD574" i="3"/>
  <c r="AC574" i="3"/>
  <c r="AB574" i="3"/>
  <c r="AA574" i="3"/>
  <c r="Z574" i="3"/>
  <c r="X574" i="3"/>
  <c r="G574" i="3"/>
  <c r="W574" i="3" s="1"/>
  <c r="AF573" i="3"/>
  <c r="AD573" i="3"/>
  <c r="AC573" i="3"/>
  <c r="W573" i="3"/>
  <c r="G573" i="3"/>
  <c r="Z573" i="3" s="1"/>
  <c r="AF572" i="3"/>
  <c r="AD572" i="3"/>
  <c r="AC572" i="3"/>
  <c r="Z572" i="3"/>
  <c r="G572" i="3"/>
  <c r="W572" i="3" s="1"/>
  <c r="AF571" i="3"/>
  <c r="AD571" i="3"/>
  <c r="AC571" i="3"/>
  <c r="Z571" i="3"/>
  <c r="W571" i="3"/>
  <c r="G571" i="3"/>
  <c r="AH570" i="3"/>
  <c r="AF570" i="3"/>
  <c r="AD570" i="3"/>
  <c r="AC570" i="3"/>
  <c r="AB570" i="3"/>
  <c r="Z570" i="3"/>
  <c r="Y570" i="3"/>
  <c r="W570" i="3"/>
  <c r="AA570" i="3" s="1"/>
  <c r="G570" i="3"/>
  <c r="AF569" i="3"/>
  <c r="AD569" i="3"/>
  <c r="AC569" i="3"/>
  <c r="G569" i="3"/>
  <c r="AH568" i="3"/>
  <c r="AF568" i="3"/>
  <c r="AD568" i="3"/>
  <c r="AC568" i="3"/>
  <c r="AB568" i="3"/>
  <c r="AA568" i="3"/>
  <c r="Z568" i="3"/>
  <c r="X568" i="3"/>
  <c r="W568" i="3"/>
  <c r="AG568" i="3" s="1"/>
  <c r="G568" i="3"/>
  <c r="AF567" i="3"/>
  <c r="AD567" i="3"/>
  <c r="AC567" i="3"/>
  <c r="G567" i="3"/>
  <c r="AF566" i="3"/>
  <c r="AD566" i="3"/>
  <c r="AC566" i="3"/>
  <c r="Z566" i="3"/>
  <c r="G566" i="3"/>
  <c r="W566" i="3" s="1"/>
  <c r="AH566" i="3" s="1"/>
  <c r="AF565" i="3"/>
  <c r="AD565" i="3"/>
  <c r="AC565" i="3"/>
  <c r="G565" i="3"/>
  <c r="AF564" i="3"/>
  <c r="AD564" i="3"/>
  <c r="AC564" i="3"/>
  <c r="Z564" i="3"/>
  <c r="X564" i="3"/>
  <c r="W564" i="3"/>
  <c r="AH564" i="3" s="1"/>
  <c r="G564" i="3"/>
  <c r="AH563" i="3"/>
  <c r="AG563" i="3"/>
  <c r="AF563" i="3"/>
  <c r="AD563" i="3"/>
  <c r="AC563" i="3"/>
  <c r="AB563" i="3"/>
  <c r="Z563" i="3"/>
  <c r="Y563" i="3"/>
  <c r="X563" i="3"/>
  <c r="W563" i="3"/>
  <c r="AA563" i="3" s="1"/>
  <c r="G563" i="3"/>
  <c r="AF562" i="3"/>
  <c r="AD562" i="3"/>
  <c r="AC562" i="3"/>
  <c r="G562" i="3"/>
  <c r="W562" i="3" s="1"/>
  <c r="AF561" i="3"/>
  <c r="AD561" i="3"/>
  <c r="AC561" i="3"/>
  <c r="G561" i="3"/>
  <c r="W561" i="3" s="1"/>
  <c r="AF560" i="3"/>
  <c r="AD560" i="3"/>
  <c r="AC560" i="3"/>
  <c r="Z560" i="3"/>
  <c r="G560" i="3"/>
  <c r="W560" i="3" s="1"/>
  <c r="AF559" i="3"/>
  <c r="AD559" i="3"/>
  <c r="AC559" i="3"/>
  <c r="AB559" i="3"/>
  <c r="W559" i="3"/>
  <c r="G559" i="3"/>
  <c r="AG558" i="3"/>
  <c r="AF558" i="3"/>
  <c r="AD558" i="3"/>
  <c r="AC558" i="3"/>
  <c r="AB558" i="3"/>
  <c r="AA558" i="3"/>
  <c r="Y558" i="3"/>
  <c r="X558" i="3"/>
  <c r="W558" i="3"/>
  <c r="G558" i="3"/>
  <c r="AH558" i="3" s="1"/>
  <c r="AG557" i="3"/>
  <c r="AF557" i="3"/>
  <c r="AD557" i="3"/>
  <c r="AC557" i="3"/>
  <c r="Z557" i="3"/>
  <c r="Y557" i="3"/>
  <c r="X557" i="3"/>
  <c r="G557" i="3"/>
  <c r="W557" i="3" s="1"/>
  <c r="AF556" i="3"/>
  <c r="AD556" i="3"/>
  <c r="AC556" i="3"/>
  <c r="G556" i="3"/>
  <c r="Z556" i="3" s="1"/>
  <c r="AH555" i="3"/>
  <c r="AF555" i="3"/>
  <c r="AD555" i="3"/>
  <c r="AC555" i="3"/>
  <c r="Z555" i="3"/>
  <c r="X555" i="3"/>
  <c r="W555" i="3"/>
  <c r="AB555" i="3" s="1"/>
  <c r="G555" i="3"/>
  <c r="AF554" i="3"/>
  <c r="AD554" i="3"/>
  <c r="AC554" i="3"/>
  <c r="AB554" i="3"/>
  <c r="Z554" i="3"/>
  <c r="Y554" i="3"/>
  <c r="W554" i="3"/>
  <c r="G554" i="3"/>
  <c r="AG553" i="3"/>
  <c r="AF553" i="3"/>
  <c r="AD553" i="3"/>
  <c r="AC553" i="3"/>
  <c r="Z553" i="3"/>
  <c r="G553" i="3"/>
  <c r="W553" i="3" s="1"/>
  <c r="AH552" i="3"/>
  <c r="AF552" i="3"/>
  <c r="AD552" i="3"/>
  <c r="AC552" i="3"/>
  <c r="Y552" i="3"/>
  <c r="W552" i="3"/>
  <c r="G552" i="3"/>
  <c r="Z552" i="3" s="1"/>
  <c r="AF551" i="3"/>
  <c r="AD551" i="3"/>
  <c r="AC551" i="3"/>
  <c r="G551" i="3"/>
  <c r="AG550" i="3"/>
  <c r="AF550" i="3"/>
  <c r="AD550" i="3"/>
  <c r="AC550" i="3"/>
  <c r="AB550" i="3"/>
  <c r="AA550" i="3"/>
  <c r="Y550" i="3"/>
  <c r="X550" i="3"/>
  <c r="W550" i="3"/>
  <c r="G550" i="3"/>
  <c r="AH550" i="3" s="1"/>
  <c r="AF549" i="3"/>
  <c r="AD549" i="3"/>
  <c r="AC549" i="3"/>
  <c r="Z549" i="3"/>
  <c r="Y549" i="3"/>
  <c r="X549" i="3"/>
  <c r="G549" i="3"/>
  <c r="W549" i="3" s="1"/>
  <c r="AG549" i="3" s="1"/>
  <c r="AF548" i="3"/>
  <c r="AD548" i="3"/>
  <c r="AC548" i="3"/>
  <c r="AA548" i="3"/>
  <c r="Z548" i="3"/>
  <c r="W548" i="3"/>
  <c r="G548" i="3"/>
  <c r="AH548" i="3" s="1"/>
  <c r="AH547" i="3"/>
  <c r="AF547" i="3"/>
  <c r="AD547" i="3"/>
  <c r="AC547" i="3"/>
  <c r="Z547" i="3"/>
  <c r="X547" i="3"/>
  <c r="W547" i="3"/>
  <c r="G547" i="3"/>
  <c r="AG546" i="3"/>
  <c r="AF546" i="3"/>
  <c r="AD546" i="3"/>
  <c r="AC546" i="3"/>
  <c r="AB546" i="3"/>
  <c r="AA546" i="3"/>
  <c r="Z546" i="3"/>
  <c r="Y546" i="3"/>
  <c r="W546" i="3"/>
  <c r="G546" i="3"/>
  <c r="AF545" i="3"/>
  <c r="AD545" i="3"/>
  <c r="AC545" i="3"/>
  <c r="G545" i="3"/>
  <c r="W545" i="3" s="1"/>
  <c r="AF544" i="3"/>
  <c r="AD544" i="3"/>
  <c r="AC544" i="3"/>
  <c r="Z544" i="3"/>
  <c r="G544" i="3"/>
  <c r="W544" i="3" s="1"/>
  <c r="AF543" i="3"/>
  <c r="AD543" i="3"/>
  <c r="AC543" i="3"/>
  <c r="G543" i="3"/>
  <c r="AF542" i="3"/>
  <c r="AD542" i="3"/>
  <c r="AC542" i="3"/>
  <c r="G542" i="3"/>
  <c r="AF541" i="3"/>
  <c r="AD541" i="3"/>
  <c r="AC541" i="3"/>
  <c r="Z541" i="3"/>
  <c r="G541" i="3"/>
  <c r="W541" i="3" s="1"/>
  <c r="AB541" i="3" s="1"/>
  <c r="AG540" i="3"/>
  <c r="AF540" i="3"/>
  <c r="AD540" i="3"/>
  <c r="AC540" i="3"/>
  <c r="Z540" i="3"/>
  <c r="X540" i="3"/>
  <c r="W540" i="3"/>
  <c r="AB540" i="3" s="1"/>
  <c r="G540" i="3"/>
  <c r="AH540" i="3" s="1"/>
  <c r="AF539" i="3"/>
  <c r="AD539" i="3"/>
  <c r="AC539" i="3"/>
  <c r="G539" i="3"/>
  <c r="Z539" i="3" s="1"/>
  <c r="AF538" i="3"/>
  <c r="AD538" i="3"/>
  <c r="AC538" i="3"/>
  <c r="Z538" i="3"/>
  <c r="X538" i="3"/>
  <c r="W538" i="3"/>
  <c r="AB538" i="3" s="1"/>
  <c r="G538" i="3"/>
  <c r="AF537" i="3"/>
  <c r="AD537" i="3"/>
  <c r="AC537" i="3"/>
  <c r="G537" i="3"/>
  <c r="Z537" i="3" s="1"/>
  <c r="AF536" i="3"/>
  <c r="AD536" i="3"/>
  <c r="AC536" i="3"/>
  <c r="G536" i="3"/>
  <c r="AH535" i="3"/>
  <c r="AF535" i="3"/>
  <c r="AD535" i="3"/>
  <c r="AC535" i="3"/>
  <c r="Z535" i="3"/>
  <c r="W535" i="3"/>
  <c r="AA535" i="3" s="1"/>
  <c r="G535" i="3"/>
  <c r="AF534" i="3"/>
  <c r="AD534" i="3"/>
  <c r="AC534" i="3"/>
  <c r="G534" i="3"/>
  <c r="W534" i="3" s="1"/>
  <c r="AH533" i="3"/>
  <c r="AG533" i="3"/>
  <c r="AF533" i="3"/>
  <c r="AD533" i="3"/>
  <c r="AC533" i="3"/>
  <c r="AB533" i="3"/>
  <c r="AA533" i="3"/>
  <c r="Z533" i="3"/>
  <c r="Y533" i="3"/>
  <c r="X533" i="3"/>
  <c r="W533" i="3"/>
  <c r="V533" i="3"/>
  <c r="U533" i="3"/>
  <c r="T533" i="3"/>
  <c r="S533" i="3"/>
  <c r="AH532" i="3"/>
  <c r="AG532" i="3"/>
  <c r="AF532" i="3"/>
  <c r="AD532" i="3"/>
  <c r="AC532" i="3"/>
  <c r="AA532" i="3"/>
  <c r="Z532" i="3"/>
  <c r="Y532" i="3"/>
  <c r="X532" i="3"/>
  <c r="W532" i="3"/>
  <c r="V532" i="3"/>
  <c r="U532" i="3"/>
  <c r="T532" i="3"/>
  <c r="S532" i="3"/>
  <c r="AB532" i="3" s="1"/>
  <c r="AH531" i="3"/>
  <c r="AG531" i="3"/>
  <c r="AF531" i="3"/>
  <c r="AD531" i="3"/>
  <c r="AC531" i="3"/>
  <c r="AB531" i="3"/>
  <c r="AA531" i="3"/>
  <c r="Z531" i="3"/>
  <c r="Y531" i="3"/>
  <c r="X531" i="3"/>
  <c r="W531" i="3"/>
  <c r="AE531" i="3" s="1"/>
  <c r="V531" i="3"/>
  <c r="U531" i="3"/>
  <c r="T531" i="3"/>
  <c r="S531" i="3"/>
  <c r="AH530" i="3"/>
  <c r="AG530" i="3"/>
  <c r="AF530" i="3"/>
  <c r="AD530" i="3"/>
  <c r="AC530" i="3"/>
  <c r="AA530" i="3"/>
  <c r="Z530" i="3"/>
  <c r="Y530" i="3"/>
  <c r="X530" i="3"/>
  <c r="W530" i="3"/>
  <c r="V530" i="3"/>
  <c r="U530" i="3"/>
  <c r="T530" i="3"/>
  <c r="S530" i="3"/>
  <c r="AB530" i="3" s="1"/>
  <c r="AG529" i="3"/>
  <c r="AF529" i="3"/>
  <c r="AD529" i="3"/>
  <c r="AC529" i="3"/>
  <c r="AA529" i="3"/>
  <c r="Z529" i="3"/>
  <c r="Y529" i="3"/>
  <c r="W529" i="3"/>
  <c r="AE529" i="3" s="1"/>
  <c r="V529" i="3"/>
  <c r="U529" i="3"/>
  <c r="T529" i="3"/>
  <c r="S529" i="3"/>
  <c r="AB529" i="3" s="1"/>
  <c r="AG528" i="3"/>
  <c r="AF528" i="3"/>
  <c r="AD528" i="3"/>
  <c r="AC528" i="3"/>
  <c r="AA528" i="3"/>
  <c r="Z528" i="3"/>
  <c r="Y528" i="3"/>
  <c r="W528" i="3"/>
  <c r="V528" i="3"/>
  <c r="U528" i="3"/>
  <c r="T528" i="3"/>
  <c r="S528" i="3"/>
  <c r="AB528" i="3" s="1"/>
  <c r="AG527" i="3"/>
  <c r="AF527" i="3"/>
  <c r="AD527" i="3"/>
  <c r="AC527" i="3"/>
  <c r="AA527" i="3"/>
  <c r="Z527" i="3"/>
  <c r="Y527" i="3"/>
  <c r="W527" i="3"/>
  <c r="V527" i="3"/>
  <c r="U527" i="3"/>
  <c r="T527" i="3"/>
  <c r="S527" i="3"/>
  <c r="AB527" i="3" s="1"/>
  <c r="AG526" i="3"/>
  <c r="AF526" i="3"/>
  <c r="AD526" i="3"/>
  <c r="AC526" i="3"/>
  <c r="AA526" i="3"/>
  <c r="Z526" i="3"/>
  <c r="Y526" i="3"/>
  <c r="W526" i="3"/>
  <c r="V526" i="3"/>
  <c r="U526" i="3"/>
  <c r="T526" i="3"/>
  <c r="S526" i="3"/>
  <c r="AB526" i="3" s="1"/>
  <c r="AG525" i="3"/>
  <c r="AF525" i="3"/>
  <c r="AD525" i="3"/>
  <c r="AC525" i="3"/>
  <c r="AA525" i="3"/>
  <c r="Z525" i="3"/>
  <c r="Y525" i="3"/>
  <c r="W525" i="3"/>
  <c r="AE525" i="3" s="1"/>
  <c r="V525" i="3"/>
  <c r="U525" i="3"/>
  <c r="T525" i="3"/>
  <c r="S525" i="3"/>
  <c r="AB525" i="3" s="1"/>
  <c r="AG524" i="3"/>
  <c r="AF524" i="3"/>
  <c r="AD524" i="3"/>
  <c r="AC524" i="3"/>
  <c r="AA524" i="3"/>
  <c r="Z524" i="3"/>
  <c r="Y524" i="3"/>
  <c r="W524" i="3"/>
  <c r="V524" i="3"/>
  <c r="U524" i="3"/>
  <c r="T524" i="3"/>
  <c r="S524" i="3"/>
  <c r="AB524" i="3" s="1"/>
  <c r="AG523" i="3"/>
  <c r="AF523" i="3"/>
  <c r="AD523" i="3"/>
  <c r="AC523" i="3"/>
  <c r="AA523" i="3"/>
  <c r="Z523" i="3"/>
  <c r="Y523" i="3"/>
  <c r="W523" i="3"/>
  <c r="AE523" i="3" s="1"/>
  <c r="V523" i="3"/>
  <c r="U523" i="3"/>
  <c r="T523" i="3"/>
  <c r="S523" i="3"/>
  <c r="AB523" i="3" s="1"/>
  <c r="AG522" i="3"/>
  <c r="AF522" i="3"/>
  <c r="AD522" i="3"/>
  <c r="AC522" i="3"/>
  <c r="AA522" i="3"/>
  <c r="Z522" i="3"/>
  <c r="Y522" i="3"/>
  <c r="W522" i="3"/>
  <c r="V522" i="3"/>
  <c r="U522" i="3"/>
  <c r="T522" i="3"/>
  <c r="S522" i="3"/>
  <c r="AB522" i="3" s="1"/>
  <c r="AG521" i="3"/>
  <c r="AF521" i="3"/>
  <c r="AD521" i="3"/>
  <c r="AC521" i="3"/>
  <c r="AA521" i="3"/>
  <c r="Z521" i="3"/>
  <c r="Y521" i="3"/>
  <c r="W521" i="3"/>
  <c r="AE521" i="3" s="1"/>
  <c r="V521" i="3"/>
  <c r="U521" i="3"/>
  <c r="T521" i="3"/>
  <c r="S521" i="3"/>
  <c r="AB521" i="3" s="1"/>
  <c r="AG520" i="3"/>
  <c r="AF520" i="3"/>
  <c r="AD520" i="3"/>
  <c r="AC520" i="3"/>
  <c r="AA520" i="3"/>
  <c r="Z520" i="3"/>
  <c r="Y520" i="3"/>
  <c r="W520" i="3"/>
  <c r="V520" i="3"/>
  <c r="U520" i="3"/>
  <c r="T520" i="3"/>
  <c r="S520" i="3"/>
  <c r="AB520" i="3" s="1"/>
  <c r="AG519" i="3"/>
  <c r="AF519" i="3"/>
  <c r="AD519" i="3"/>
  <c r="AC519" i="3"/>
  <c r="AA519" i="3"/>
  <c r="Z519" i="3"/>
  <c r="Y519" i="3"/>
  <c r="W519" i="3"/>
  <c r="AE519" i="3" s="1"/>
  <c r="V519" i="3"/>
  <c r="U519" i="3"/>
  <c r="T519" i="3"/>
  <c r="S519" i="3"/>
  <c r="AB519" i="3" s="1"/>
  <c r="AG518" i="3"/>
  <c r="AF518" i="3"/>
  <c r="AD518" i="3"/>
  <c r="AC518" i="3"/>
  <c r="AA518" i="3"/>
  <c r="Z518" i="3"/>
  <c r="Y518" i="3"/>
  <c r="W518" i="3"/>
  <c r="V518" i="3"/>
  <c r="U518" i="3"/>
  <c r="T518" i="3"/>
  <c r="S518" i="3"/>
  <c r="AB518" i="3" s="1"/>
  <c r="AG517" i="3"/>
  <c r="AF517" i="3"/>
  <c r="AD517" i="3"/>
  <c r="AC517" i="3"/>
  <c r="AA517" i="3"/>
  <c r="Z517" i="3"/>
  <c r="Y517" i="3"/>
  <c r="W517" i="3"/>
  <c r="AE517" i="3" s="1"/>
  <c r="V517" i="3"/>
  <c r="U517" i="3"/>
  <c r="T517" i="3"/>
  <c r="S517" i="3"/>
  <c r="AB517" i="3" s="1"/>
  <c r="AG516" i="3"/>
  <c r="AF516" i="3"/>
  <c r="AD516" i="3"/>
  <c r="AC516" i="3"/>
  <c r="AA516" i="3"/>
  <c r="Z516" i="3"/>
  <c r="Y516" i="3"/>
  <c r="W516" i="3"/>
  <c r="V516" i="3"/>
  <c r="U516" i="3"/>
  <c r="T516" i="3"/>
  <c r="S516" i="3"/>
  <c r="AB516" i="3" s="1"/>
  <c r="AG515" i="3"/>
  <c r="AF515" i="3"/>
  <c r="AD515" i="3"/>
  <c r="AC515" i="3"/>
  <c r="AA515" i="3"/>
  <c r="Z515" i="3"/>
  <c r="Y515" i="3"/>
  <c r="W515" i="3"/>
  <c r="AE515" i="3" s="1"/>
  <c r="V515" i="3"/>
  <c r="U515" i="3"/>
  <c r="T515" i="3"/>
  <c r="S515" i="3"/>
  <c r="AB515" i="3" s="1"/>
  <c r="AG514" i="3"/>
  <c r="AF514" i="3"/>
  <c r="AD514" i="3"/>
  <c r="AC514" i="3"/>
  <c r="AA514" i="3"/>
  <c r="Z514" i="3"/>
  <c r="Y514" i="3"/>
  <c r="W514" i="3"/>
  <c r="V514" i="3"/>
  <c r="U514" i="3"/>
  <c r="T514" i="3"/>
  <c r="S514" i="3"/>
  <c r="AB514" i="3" s="1"/>
  <c r="AG513" i="3"/>
  <c r="AF513" i="3"/>
  <c r="AD513" i="3"/>
  <c r="AC513" i="3"/>
  <c r="AA513" i="3"/>
  <c r="Z513" i="3"/>
  <c r="Y513" i="3"/>
  <c r="W513" i="3"/>
  <c r="AE513" i="3" s="1"/>
  <c r="V513" i="3"/>
  <c r="U513" i="3"/>
  <c r="T513" i="3"/>
  <c r="S513" i="3"/>
  <c r="AB513" i="3" s="1"/>
  <c r="AG512" i="3"/>
  <c r="AF512" i="3"/>
  <c r="AD512" i="3"/>
  <c r="AC512" i="3"/>
  <c r="AA512" i="3"/>
  <c r="Z512" i="3"/>
  <c r="Y512" i="3"/>
  <c r="W512" i="3"/>
  <c r="V512" i="3"/>
  <c r="U512" i="3"/>
  <c r="T512" i="3"/>
  <c r="S512" i="3"/>
  <c r="AB512" i="3" s="1"/>
  <c r="AG511" i="3"/>
  <c r="AF511" i="3"/>
  <c r="AD511" i="3"/>
  <c r="AC511" i="3"/>
  <c r="AA511" i="3"/>
  <c r="Z511" i="3"/>
  <c r="Y511" i="3"/>
  <c r="W511" i="3"/>
  <c r="AE511" i="3" s="1"/>
  <c r="V511" i="3"/>
  <c r="U511" i="3"/>
  <c r="T511" i="3"/>
  <c r="S511" i="3"/>
  <c r="AB511" i="3" s="1"/>
  <c r="AG510" i="3"/>
  <c r="AF510" i="3"/>
  <c r="AD510" i="3"/>
  <c r="AC510" i="3"/>
  <c r="AA510" i="3"/>
  <c r="Z510" i="3"/>
  <c r="Y510" i="3"/>
  <c r="W510" i="3"/>
  <c r="V510" i="3"/>
  <c r="U510" i="3"/>
  <c r="T510" i="3"/>
  <c r="S510" i="3"/>
  <c r="AB510" i="3" s="1"/>
  <c r="AG509" i="3"/>
  <c r="AF509" i="3"/>
  <c r="AD509" i="3"/>
  <c r="AC509" i="3"/>
  <c r="AA509" i="3"/>
  <c r="Z509" i="3"/>
  <c r="Y509" i="3"/>
  <c r="W509" i="3"/>
  <c r="AE509" i="3" s="1"/>
  <c r="V509" i="3"/>
  <c r="U509" i="3"/>
  <c r="T509" i="3"/>
  <c r="S509" i="3"/>
  <c r="AB509" i="3" s="1"/>
  <c r="AG508" i="3"/>
  <c r="AF508" i="3"/>
  <c r="AD508" i="3"/>
  <c r="AC508" i="3"/>
  <c r="AA508" i="3"/>
  <c r="Z508" i="3"/>
  <c r="Y508" i="3"/>
  <c r="W508" i="3"/>
  <c r="V508" i="3"/>
  <c r="U508" i="3"/>
  <c r="T508" i="3"/>
  <c r="S508" i="3"/>
  <c r="AB508" i="3" s="1"/>
  <c r="AG507" i="3"/>
  <c r="AF507" i="3"/>
  <c r="AD507" i="3"/>
  <c r="AC507" i="3"/>
  <c r="AA507" i="3"/>
  <c r="Z507" i="3"/>
  <c r="Y507" i="3"/>
  <c r="W507" i="3"/>
  <c r="AE507" i="3" s="1"/>
  <c r="V507" i="3"/>
  <c r="U507" i="3"/>
  <c r="T507" i="3"/>
  <c r="S507" i="3"/>
  <c r="AB507" i="3" s="1"/>
  <c r="AG506" i="3"/>
  <c r="AF506" i="3"/>
  <c r="AD506" i="3"/>
  <c r="AC506" i="3"/>
  <c r="AA506" i="3"/>
  <c r="Z506" i="3"/>
  <c r="Y506" i="3"/>
  <c r="W506" i="3"/>
  <c r="V506" i="3"/>
  <c r="U506" i="3"/>
  <c r="T506" i="3"/>
  <c r="S506" i="3"/>
  <c r="AB506" i="3" s="1"/>
  <c r="AG505" i="3"/>
  <c r="AF505" i="3"/>
  <c r="AD505" i="3"/>
  <c r="AC505" i="3"/>
  <c r="AA505" i="3"/>
  <c r="Z505" i="3"/>
  <c r="Y505" i="3"/>
  <c r="W505" i="3"/>
  <c r="AE505" i="3" s="1"/>
  <c r="V505" i="3"/>
  <c r="U505" i="3"/>
  <c r="T505" i="3"/>
  <c r="S505" i="3"/>
  <c r="AB505" i="3" s="1"/>
  <c r="AG504" i="3"/>
  <c r="AF504" i="3"/>
  <c r="AD504" i="3"/>
  <c r="AC504" i="3"/>
  <c r="AA504" i="3"/>
  <c r="Z504" i="3"/>
  <c r="Y504" i="3"/>
  <c r="W504" i="3"/>
  <c r="V504" i="3"/>
  <c r="U504" i="3"/>
  <c r="T504" i="3"/>
  <c r="S504" i="3"/>
  <c r="AB504" i="3" s="1"/>
  <c r="AG503" i="3"/>
  <c r="AF503" i="3"/>
  <c r="AD503" i="3"/>
  <c r="AC503" i="3"/>
  <c r="AA503" i="3"/>
  <c r="Z503" i="3"/>
  <c r="Y503" i="3"/>
  <c r="W503" i="3"/>
  <c r="AE503" i="3" s="1"/>
  <c r="V503" i="3"/>
  <c r="U503" i="3"/>
  <c r="T503" i="3"/>
  <c r="S503" i="3"/>
  <c r="AB503" i="3" s="1"/>
  <c r="AG502" i="3"/>
  <c r="AF502" i="3"/>
  <c r="AD502" i="3"/>
  <c r="AC502" i="3"/>
  <c r="AA502" i="3"/>
  <c r="Z502" i="3"/>
  <c r="Y502" i="3"/>
  <c r="W502" i="3"/>
  <c r="V502" i="3"/>
  <c r="U502" i="3"/>
  <c r="T502" i="3"/>
  <c r="S502" i="3"/>
  <c r="AB502" i="3" s="1"/>
  <c r="AG501" i="3"/>
  <c r="AF501" i="3"/>
  <c r="AD501" i="3"/>
  <c r="AC501" i="3"/>
  <c r="AA501" i="3"/>
  <c r="Z501" i="3"/>
  <c r="Y501" i="3"/>
  <c r="W501" i="3"/>
  <c r="AE501" i="3" s="1"/>
  <c r="V501" i="3"/>
  <c r="U501" i="3"/>
  <c r="T501" i="3"/>
  <c r="S501" i="3"/>
  <c r="AB501" i="3" s="1"/>
  <c r="AG500" i="3"/>
  <c r="AF500" i="3"/>
  <c r="AD500" i="3"/>
  <c r="AC500" i="3"/>
  <c r="AA500" i="3"/>
  <c r="Z500" i="3"/>
  <c r="Y500" i="3"/>
  <c r="W500" i="3"/>
  <c r="V500" i="3"/>
  <c r="U500" i="3"/>
  <c r="T500" i="3"/>
  <c r="S500" i="3"/>
  <c r="AB500" i="3" s="1"/>
  <c r="AG499" i="3"/>
  <c r="AF499" i="3"/>
  <c r="AD499" i="3"/>
  <c r="AC499" i="3"/>
  <c r="AA499" i="3"/>
  <c r="Z499" i="3"/>
  <c r="Y499" i="3"/>
  <c r="W499" i="3"/>
  <c r="AE499" i="3" s="1"/>
  <c r="V499" i="3"/>
  <c r="U499" i="3"/>
  <c r="T499" i="3"/>
  <c r="S499" i="3"/>
  <c r="AB499" i="3" s="1"/>
  <c r="AG498" i="3"/>
  <c r="AF498" i="3"/>
  <c r="AD498" i="3"/>
  <c r="AC498" i="3"/>
  <c r="AA498" i="3"/>
  <c r="Z498" i="3"/>
  <c r="Y498" i="3"/>
  <c r="W498" i="3"/>
  <c r="V498" i="3"/>
  <c r="U498" i="3"/>
  <c r="T498" i="3"/>
  <c r="S498" i="3"/>
  <c r="AB498" i="3" s="1"/>
  <c r="AG497" i="3"/>
  <c r="AF497" i="3"/>
  <c r="AD497" i="3"/>
  <c r="AC497" i="3"/>
  <c r="AA497" i="3"/>
  <c r="Z497" i="3"/>
  <c r="Y497" i="3"/>
  <c r="W497" i="3"/>
  <c r="AE497" i="3" s="1"/>
  <c r="V497" i="3"/>
  <c r="U497" i="3"/>
  <c r="T497" i="3"/>
  <c r="S497" i="3"/>
  <c r="AB497" i="3" s="1"/>
  <c r="AG496" i="3"/>
  <c r="AF496" i="3"/>
  <c r="AD496" i="3"/>
  <c r="AC496" i="3"/>
  <c r="AA496" i="3"/>
  <c r="Z496" i="3"/>
  <c r="Y496" i="3"/>
  <c r="W496" i="3"/>
  <c r="V496" i="3"/>
  <c r="U496" i="3"/>
  <c r="T496" i="3"/>
  <c r="S496" i="3"/>
  <c r="AB496" i="3" s="1"/>
  <c r="AG495" i="3"/>
  <c r="AF495" i="3"/>
  <c r="AD495" i="3"/>
  <c r="AC495" i="3"/>
  <c r="AA495" i="3"/>
  <c r="Z495" i="3"/>
  <c r="Y495" i="3"/>
  <c r="W495" i="3"/>
  <c r="AE495" i="3" s="1"/>
  <c r="V495" i="3"/>
  <c r="U495" i="3"/>
  <c r="T495" i="3"/>
  <c r="S495" i="3"/>
  <c r="AB495" i="3" s="1"/>
  <c r="AG494" i="3"/>
  <c r="AF494" i="3"/>
  <c r="AD494" i="3"/>
  <c r="AC494" i="3"/>
  <c r="AA494" i="3"/>
  <c r="Z494" i="3"/>
  <c r="Y494" i="3"/>
  <c r="W494" i="3"/>
  <c r="V494" i="3"/>
  <c r="U494" i="3"/>
  <c r="T494" i="3"/>
  <c r="S494" i="3"/>
  <c r="AB494" i="3" s="1"/>
  <c r="AG493" i="3"/>
  <c r="AF493" i="3"/>
  <c r="AD493" i="3"/>
  <c r="AC493" i="3"/>
  <c r="AA493" i="3"/>
  <c r="Z493" i="3"/>
  <c r="Y493" i="3"/>
  <c r="W493" i="3"/>
  <c r="AE493" i="3" s="1"/>
  <c r="V493" i="3"/>
  <c r="U493" i="3"/>
  <c r="T493" i="3"/>
  <c r="S493" i="3"/>
  <c r="AB493" i="3" s="1"/>
  <c r="AG492" i="3"/>
  <c r="AF492" i="3"/>
  <c r="AD492" i="3"/>
  <c r="AC492" i="3"/>
  <c r="AA492" i="3"/>
  <c r="Z492" i="3"/>
  <c r="Y492" i="3"/>
  <c r="W492" i="3"/>
  <c r="V492" i="3"/>
  <c r="U492" i="3"/>
  <c r="T492" i="3"/>
  <c r="S492" i="3"/>
  <c r="AB492" i="3" s="1"/>
  <c r="AG491" i="3"/>
  <c r="AF491" i="3"/>
  <c r="AD491" i="3"/>
  <c r="AC491" i="3"/>
  <c r="AA491" i="3"/>
  <c r="Z491" i="3"/>
  <c r="Y491" i="3"/>
  <c r="W491" i="3"/>
  <c r="V491" i="3"/>
  <c r="U491" i="3"/>
  <c r="T491" i="3"/>
  <c r="S491" i="3"/>
  <c r="AB491" i="3" s="1"/>
  <c r="AG490" i="3"/>
  <c r="AF490" i="3"/>
  <c r="AD490" i="3"/>
  <c r="AC490" i="3"/>
  <c r="AA490" i="3"/>
  <c r="Z490" i="3"/>
  <c r="Y490" i="3"/>
  <c r="W490" i="3"/>
  <c r="V490" i="3"/>
  <c r="U490" i="3"/>
  <c r="T490" i="3"/>
  <c r="S490" i="3"/>
  <c r="AB490" i="3" s="1"/>
  <c r="AG489" i="3"/>
  <c r="AF489" i="3"/>
  <c r="AD489" i="3"/>
  <c r="AC489" i="3"/>
  <c r="AA489" i="3"/>
  <c r="Z489" i="3"/>
  <c r="Y489" i="3"/>
  <c r="W489" i="3"/>
  <c r="V489" i="3"/>
  <c r="U489" i="3"/>
  <c r="T489" i="3"/>
  <c r="S489" i="3"/>
  <c r="AB489" i="3" s="1"/>
  <c r="AG488" i="3"/>
  <c r="AF488" i="3"/>
  <c r="AD488" i="3"/>
  <c r="AC488" i="3"/>
  <c r="AA488" i="3"/>
  <c r="Z488" i="3"/>
  <c r="Y488" i="3"/>
  <c r="W488" i="3"/>
  <c r="V488" i="3"/>
  <c r="U488" i="3"/>
  <c r="T488" i="3"/>
  <c r="S488" i="3"/>
  <c r="AB488" i="3" s="1"/>
  <c r="AG487" i="3"/>
  <c r="AF487" i="3"/>
  <c r="AD487" i="3"/>
  <c r="AC487" i="3"/>
  <c r="AA487" i="3"/>
  <c r="Z487" i="3"/>
  <c r="Y487" i="3"/>
  <c r="W487" i="3"/>
  <c r="E18" i="6" s="1"/>
  <c r="F18" i="6" s="1"/>
  <c r="H18" i="6" s="1"/>
  <c r="V487" i="3"/>
  <c r="U487" i="3"/>
  <c r="T487" i="3"/>
  <c r="S487" i="3"/>
  <c r="AB487" i="3" s="1"/>
  <c r="AF486" i="3"/>
  <c r="AD486" i="3"/>
  <c r="AC486" i="3"/>
  <c r="Z486" i="3"/>
  <c r="W486" i="3"/>
  <c r="V486" i="3"/>
  <c r="U486" i="3"/>
  <c r="T486" i="3"/>
  <c r="S486" i="3"/>
  <c r="AB486" i="3" s="1"/>
  <c r="AG485" i="3"/>
  <c r="AF485" i="3"/>
  <c r="AD485" i="3"/>
  <c r="AC485" i="3"/>
  <c r="AA485" i="3"/>
  <c r="Z485" i="3"/>
  <c r="Y485" i="3"/>
  <c r="W485" i="3"/>
  <c r="V485" i="3"/>
  <c r="U485" i="3"/>
  <c r="T485" i="3"/>
  <c r="S485" i="3"/>
  <c r="AB485" i="3" s="1"/>
  <c r="AG484" i="3"/>
  <c r="AF484" i="3"/>
  <c r="AD484" i="3"/>
  <c r="AC484" i="3"/>
  <c r="Z484" i="3"/>
  <c r="Y484" i="3"/>
  <c r="W484" i="3"/>
  <c r="V484" i="3"/>
  <c r="U484" i="3"/>
  <c r="T484" i="3"/>
  <c r="S484" i="3"/>
  <c r="AB484" i="3" s="1"/>
  <c r="AG483" i="3"/>
  <c r="AF483" i="3"/>
  <c r="AD483" i="3"/>
  <c r="AC483" i="3"/>
  <c r="Z483" i="3"/>
  <c r="Y483" i="3"/>
  <c r="W483" i="3"/>
  <c r="V483" i="3"/>
  <c r="U483" i="3"/>
  <c r="T483" i="3"/>
  <c r="S483" i="3"/>
  <c r="AB483" i="3" s="1"/>
  <c r="AF482" i="3"/>
  <c r="AD482" i="3"/>
  <c r="AC482" i="3"/>
  <c r="Z482" i="3"/>
  <c r="W482" i="3"/>
  <c r="V482" i="3"/>
  <c r="U482" i="3"/>
  <c r="T482" i="3"/>
  <c r="S482" i="3"/>
  <c r="AB482" i="3" s="1"/>
  <c r="AG481" i="3"/>
  <c r="AF481" i="3"/>
  <c r="AD481" i="3"/>
  <c r="AC481" i="3"/>
  <c r="AA481" i="3"/>
  <c r="Z481" i="3"/>
  <c r="Y481" i="3"/>
  <c r="W481" i="3"/>
  <c r="V481" i="3"/>
  <c r="U481" i="3"/>
  <c r="T481" i="3"/>
  <c r="S481" i="3"/>
  <c r="AB481" i="3" s="1"/>
  <c r="AG480" i="3"/>
  <c r="AF480" i="3"/>
  <c r="AD480" i="3"/>
  <c r="AC480" i="3"/>
  <c r="Z480" i="3"/>
  <c r="Y480" i="3"/>
  <c r="W480" i="3"/>
  <c r="V480" i="3"/>
  <c r="U480" i="3"/>
  <c r="T480" i="3"/>
  <c r="S480" i="3"/>
  <c r="AB480" i="3" s="1"/>
  <c r="AG479" i="3"/>
  <c r="AF479" i="3"/>
  <c r="AD479" i="3"/>
  <c r="AC479" i="3"/>
  <c r="Z479" i="3"/>
  <c r="Y479" i="3"/>
  <c r="W479" i="3"/>
  <c r="V479" i="3"/>
  <c r="U479" i="3"/>
  <c r="T479" i="3"/>
  <c r="S479" i="3"/>
  <c r="AB479" i="3" s="1"/>
  <c r="AF478" i="3"/>
  <c r="AD478" i="3"/>
  <c r="AC478" i="3"/>
  <c r="Z478" i="3"/>
  <c r="W478" i="3"/>
  <c r="V478" i="3"/>
  <c r="U478" i="3"/>
  <c r="T478" i="3"/>
  <c r="S478" i="3"/>
  <c r="AB478" i="3" s="1"/>
  <c r="AG477" i="3"/>
  <c r="AF477" i="3"/>
  <c r="AD477" i="3"/>
  <c r="AC477" i="3"/>
  <c r="AA477" i="3"/>
  <c r="Z477" i="3"/>
  <c r="Y477" i="3"/>
  <c r="W477" i="3"/>
  <c r="V477" i="3"/>
  <c r="U477" i="3"/>
  <c r="T477" i="3"/>
  <c r="S477" i="3"/>
  <c r="AB477" i="3" s="1"/>
  <c r="AG476" i="3"/>
  <c r="AF476" i="3"/>
  <c r="AD476" i="3"/>
  <c r="AC476" i="3"/>
  <c r="Z476" i="3"/>
  <c r="Y476" i="3"/>
  <c r="W476" i="3"/>
  <c r="V476" i="3"/>
  <c r="U476" i="3"/>
  <c r="T476" i="3"/>
  <c r="S476" i="3"/>
  <c r="AB476" i="3" s="1"/>
  <c r="AG475" i="3"/>
  <c r="AF475" i="3"/>
  <c r="AD475" i="3"/>
  <c r="AC475" i="3"/>
  <c r="Z475" i="3"/>
  <c r="Y475" i="3"/>
  <c r="W475" i="3"/>
  <c r="V475" i="3"/>
  <c r="U475" i="3"/>
  <c r="T475" i="3"/>
  <c r="S475" i="3"/>
  <c r="AB475" i="3" s="1"/>
  <c r="AF474" i="3"/>
  <c r="AD474" i="3"/>
  <c r="AC474" i="3"/>
  <c r="Z474" i="3"/>
  <c r="W474" i="3"/>
  <c r="V474" i="3"/>
  <c r="U474" i="3"/>
  <c r="T474" i="3"/>
  <c r="S474" i="3"/>
  <c r="AB474" i="3" s="1"/>
  <c r="AG473" i="3"/>
  <c r="AF473" i="3"/>
  <c r="AD473" i="3"/>
  <c r="AC473" i="3"/>
  <c r="AA473" i="3"/>
  <c r="Z473" i="3"/>
  <c r="Y473" i="3"/>
  <c r="W473" i="3"/>
  <c r="V473" i="3"/>
  <c r="U473" i="3"/>
  <c r="T473" i="3"/>
  <c r="S473" i="3"/>
  <c r="AB473" i="3" s="1"/>
  <c r="AG472" i="3"/>
  <c r="AF472" i="3"/>
  <c r="AD472" i="3"/>
  <c r="AC472" i="3"/>
  <c r="Z472" i="3"/>
  <c r="Y472" i="3"/>
  <c r="W472" i="3"/>
  <c r="V472" i="3"/>
  <c r="U472" i="3"/>
  <c r="T472" i="3"/>
  <c r="S472" i="3"/>
  <c r="AB472" i="3" s="1"/>
  <c r="AG471" i="3"/>
  <c r="AF471" i="3"/>
  <c r="AD471" i="3"/>
  <c r="AC471" i="3"/>
  <c r="Z471" i="3"/>
  <c r="Y471" i="3"/>
  <c r="W471" i="3"/>
  <c r="V471" i="3"/>
  <c r="U471" i="3"/>
  <c r="T471" i="3"/>
  <c r="S471" i="3"/>
  <c r="AB471" i="3" s="1"/>
  <c r="AF470" i="3"/>
  <c r="AD470" i="3"/>
  <c r="AC470" i="3"/>
  <c r="Z470" i="3"/>
  <c r="W470" i="3"/>
  <c r="V470" i="3"/>
  <c r="U470" i="3"/>
  <c r="T470" i="3"/>
  <c r="S470" i="3"/>
  <c r="AB470" i="3" s="1"/>
  <c r="AG469" i="3"/>
  <c r="AF469" i="3"/>
  <c r="AD469" i="3"/>
  <c r="AC469" i="3"/>
  <c r="AA469" i="3"/>
  <c r="Z469" i="3"/>
  <c r="Y469" i="3"/>
  <c r="X469" i="3"/>
  <c r="W469" i="3"/>
  <c r="AH469" i="3" s="1"/>
  <c r="V469" i="3"/>
  <c r="U469" i="3"/>
  <c r="T469" i="3"/>
  <c r="S469" i="3"/>
  <c r="AB469" i="3" s="1"/>
  <c r="AH468" i="3"/>
  <c r="AG468" i="3"/>
  <c r="AF468" i="3"/>
  <c r="AD468" i="3"/>
  <c r="AC468" i="3"/>
  <c r="AA468" i="3"/>
  <c r="Z468" i="3"/>
  <c r="Y468" i="3"/>
  <c r="W468" i="3"/>
  <c r="X468" i="3" s="1"/>
  <c r="V468" i="3"/>
  <c r="U468" i="3"/>
  <c r="T468" i="3"/>
  <c r="S468" i="3"/>
  <c r="AB468" i="3" s="1"/>
  <c r="AH467" i="3"/>
  <c r="AG467" i="3"/>
  <c r="AF467" i="3"/>
  <c r="AD467" i="3"/>
  <c r="AC467" i="3"/>
  <c r="AA467" i="3"/>
  <c r="Z467" i="3"/>
  <c r="Y467" i="3"/>
  <c r="W467" i="3"/>
  <c r="X467" i="3" s="1"/>
  <c r="V467" i="3"/>
  <c r="U467" i="3"/>
  <c r="T467" i="3"/>
  <c r="S467" i="3"/>
  <c r="AB467" i="3" s="1"/>
  <c r="AH466" i="3"/>
  <c r="AG466" i="3"/>
  <c r="AF466" i="3"/>
  <c r="AD466" i="3"/>
  <c r="AC466" i="3"/>
  <c r="AA466" i="3"/>
  <c r="Z466" i="3"/>
  <c r="Y466" i="3"/>
  <c r="W466" i="3"/>
  <c r="X466" i="3" s="1"/>
  <c r="V466" i="3"/>
  <c r="U466" i="3"/>
  <c r="T466" i="3"/>
  <c r="S466" i="3"/>
  <c r="AB466" i="3" s="1"/>
  <c r="AH465" i="3"/>
  <c r="AG465" i="3"/>
  <c r="AF465" i="3"/>
  <c r="AD465" i="3"/>
  <c r="AC465" i="3"/>
  <c r="AA465" i="3"/>
  <c r="Z465" i="3"/>
  <c r="Y465" i="3"/>
  <c r="W465" i="3"/>
  <c r="X465" i="3" s="1"/>
  <c r="V465" i="3"/>
  <c r="U465" i="3"/>
  <c r="T465" i="3"/>
  <c r="S465" i="3"/>
  <c r="AB465" i="3" s="1"/>
  <c r="AH464" i="3"/>
  <c r="AG464" i="3"/>
  <c r="AF464" i="3"/>
  <c r="AD464" i="3"/>
  <c r="AC464" i="3"/>
  <c r="AA464" i="3"/>
  <c r="Z464" i="3"/>
  <c r="Y464" i="3"/>
  <c r="W464" i="3"/>
  <c r="X464" i="3" s="1"/>
  <c r="V464" i="3"/>
  <c r="U464" i="3"/>
  <c r="T464" i="3"/>
  <c r="S464" i="3"/>
  <c r="AB464" i="3" s="1"/>
  <c r="AH463" i="3"/>
  <c r="AG463" i="3"/>
  <c r="AF463" i="3"/>
  <c r="AD463" i="3"/>
  <c r="AC463" i="3"/>
  <c r="AA463" i="3"/>
  <c r="Z463" i="3"/>
  <c r="Y463" i="3"/>
  <c r="W463" i="3"/>
  <c r="X463" i="3" s="1"/>
  <c r="V463" i="3"/>
  <c r="U463" i="3"/>
  <c r="T463" i="3"/>
  <c r="S463" i="3"/>
  <c r="AB463" i="3" s="1"/>
  <c r="AH462" i="3"/>
  <c r="AG462" i="3"/>
  <c r="AF462" i="3"/>
  <c r="AD462" i="3"/>
  <c r="AC462" i="3"/>
  <c r="AA462" i="3"/>
  <c r="Z462" i="3"/>
  <c r="Y462" i="3"/>
  <c r="X462" i="3"/>
  <c r="W462" i="3"/>
  <c r="V462" i="3"/>
  <c r="U462" i="3"/>
  <c r="T462" i="3"/>
  <c r="S462" i="3"/>
  <c r="AB462" i="3" s="1"/>
  <c r="AH461" i="3"/>
  <c r="AG461" i="3"/>
  <c r="AF461" i="3"/>
  <c r="AD461" i="3"/>
  <c r="AC461" i="3"/>
  <c r="AA461" i="3"/>
  <c r="Z461" i="3"/>
  <c r="Y461" i="3"/>
  <c r="X461" i="3"/>
  <c r="W461" i="3"/>
  <c r="AE461" i="3" s="1"/>
  <c r="V461" i="3"/>
  <c r="U461" i="3"/>
  <c r="T461" i="3"/>
  <c r="S461" i="3"/>
  <c r="AB461" i="3" s="1"/>
  <c r="AH460" i="3"/>
  <c r="AG460" i="3"/>
  <c r="AF460" i="3"/>
  <c r="AD460" i="3"/>
  <c r="AC460" i="3"/>
  <c r="AA460" i="3"/>
  <c r="Z460" i="3"/>
  <c r="Y460" i="3"/>
  <c r="X460" i="3"/>
  <c r="W460" i="3"/>
  <c r="AE460" i="3" s="1"/>
  <c r="V460" i="3"/>
  <c r="U460" i="3"/>
  <c r="T460" i="3"/>
  <c r="S460" i="3"/>
  <c r="AB460" i="3" s="1"/>
  <c r="AH459" i="3"/>
  <c r="AG459" i="3"/>
  <c r="AF459" i="3"/>
  <c r="AD459" i="3"/>
  <c r="AC459" i="3"/>
  <c r="AA459" i="3"/>
  <c r="Z459" i="3"/>
  <c r="Y459" i="3"/>
  <c r="X459" i="3"/>
  <c r="W459" i="3"/>
  <c r="V459" i="3"/>
  <c r="U459" i="3"/>
  <c r="T459" i="3"/>
  <c r="S459" i="3"/>
  <c r="AB459" i="3" s="1"/>
  <c r="AH458" i="3"/>
  <c r="AG458" i="3"/>
  <c r="AF458" i="3"/>
  <c r="AD458" i="3"/>
  <c r="AC458" i="3"/>
  <c r="AA458" i="3"/>
  <c r="Z458" i="3"/>
  <c r="Y458" i="3"/>
  <c r="X458" i="3"/>
  <c r="W458" i="3"/>
  <c r="V458" i="3"/>
  <c r="U458" i="3"/>
  <c r="T458" i="3"/>
  <c r="S458" i="3"/>
  <c r="AB458" i="3" s="1"/>
  <c r="AH457" i="3"/>
  <c r="AG457" i="3"/>
  <c r="AF457" i="3"/>
  <c r="AD457" i="3"/>
  <c r="AC457" i="3"/>
  <c r="AA457" i="3"/>
  <c r="Z457" i="3"/>
  <c r="Y457" i="3"/>
  <c r="X457" i="3"/>
  <c r="W457" i="3"/>
  <c r="AE457" i="3" s="1"/>
  <c r="V457" i="3"/>
  <c r="U457" i="3"/>
  <c r="T457" i="3"/>
  <c r="S457" i="3"/>
  <c r="AB457" i="3" s="1"/>
  <c r="AH456" i="3"/>
  <c r="AG456" i="3"/>
  <c r="AF456" i="3"/>
  <c r="AD456" i="3"/>
  <c r="AC456" i="3"/>
  <c r="AA456" i="3"/>
  <c r="Z456" i="3"/>
  <c r="Y456" i="3"/>
  <c r="X456" i="3"/>
  <c r="W456" i="3"/>
  <c r="AE456" i="3" s="1"/>
  <c r="V456" i="3"/>
  <c r="U456" i="3"/>
  <c r="T456" i="3"/>
  <c r="S456" i="3"/>
  <c r="AB456" i="3" s="1"/>
  <c r="AH455" i="3"/>
  <c r="AG455" i="3"/>
  <c r="AF455" i="3"/>
  <c r="AD455" i="3"/>
  <c r="AC455" i="3"/>
  <c r="AA455" i="3"/>
  <c r="Z455" i="3"/>
  <c r="Y455" i="3"/>
  <c r="X455" i="3"/>
  <c r="W455" i="3"/>
  <c r="V455" i="3"/>
  <c r="U455" i="3"/>
  <c r="T455" i="3"/>
  <c r="S455" i="3"/>
  <c r="AB455" i="3" s="1"/>
  <c r="AH454" i="3"/>
  <c r="AG454" i="3"/>
  <c r="AF454" i="3"/>
  <c r="AD454" i="3"/>
  <c r="AC454" i="3"/>
  <c r="AA454" i="3"/>
  <c r="Z454" i="3"/>
  <c r="Y454" i="3"/>
  <c r="X454" i="3"/>
  <c r="W454" i="3"/>
  <c r="V454" i="3"/>
  <c r="U454" i="3"/>
  <c r="T454" i="3"/>
  <c r="S454" i="3"/>
  <c r="AB454" i="3" s="1"/>
  <c r="AH453" i="3"/>
  <c r="AG453" i="3"/>
  <c r="AF453" i="3"/>
  <c r="AD453" i="3"/>
  <c r="AC453" i="3"/>
  <c r="AA453" i="3"/>
  <c r="Z453" i="3"/>
  <c r="Y453" i="3"/>
  <c r="X453" i="3"/>
  <c r="W453" i="3"/>
  <c r="AE453" i="3" s="1"/>
  <c r="V453" i="3"/>
  <c r="U453" i="3"/>
  <c r="T453" i="3"/>
  <c r="S453" i="3"/>
  <c r="AB453" i="3" s="1"/>
  <c r="AH452" i="3"/>
  <c r="AG452" i="3"/>
  <c r="AF452" i="3"/>
  <c r="AD452" i="3"/>
  <c r="AC452" i="3"/>
  <c r="AA452" i="3"/>
  <c r="Z452" i="3"/>
  <c r="Y452" i="3"/>
  <c r="X452" i="3"/>
  <c r="W452" i="3"/>
  <c r="AE452" i="3" s="1"/>
  <c r="V452" i="3"/>
  <c r="U452" i="3"/>
  <c r="T452" i="3"/>
  <c r="S452" i="3"/>
  <c r="AB452" i="3" s="1"/>
  <c r="AH451" i="3"/>
  <c r="AG451" i="3"/>
  <c r="AF451" i="3"/>
  <c r="AD451" i="3"/>
  <c r="AC451" i="3"/>
  <c r="AA451" i="3"/>
  <c r="Z451" i="3"/>
  <c r="Y451" i="3"/>
  <c r="X451" i="3"/>
  <c r="W451" i="3"/>
  <c r="V451" i="3"/>
  <c r="U451" i="3"/>
  <c r="T451" i="3"/>
  <c r="S451" i="3"/>
  <c r="AB451" i="3" s="1"/>
  <c r="AH450" i="3"/>
  <c r="AG450" i="3"/>
  <c r="AF450" i="3"/>
  <c r="AD450" i="3"/>
  <c r="AC450" i="3"/>
  <c r="AA450" i="3"/>
  <c r="Z450" i="3"/>
  <c r="Y450" i="3"/>
  <c r="X450" i="3"/>
  <c r="W450" i="3"/>
  <c r="V450" i="3"/>
  <c r="U450" i="3"/>
  <c r="T450" i="3"/>
  <c r="S450" i="3"/>
  <c r="AB450" i="3" s="1"/>
  <c r="AH449" i="3"/>
  <c r="AG449" i="3"/>
  <c r="AF449" i="3"/>
  <c r="AD449" i="3"/>
  <c r="AC449" i="3"/>
  <c r="AA449" i="3"/>
  <c r="Z449" i="3"/>
  <c r="Y449" i="3"/>
  <c r="X449" i="3"/>
  <c r="W449" i="3"/>
  <c r="AE449" i="3" s="1"/>
  <c r="V449" i="3"/>
  <c r="U449" i="3"/>
  <c r="T449" i="3"/>
  <c r="S449" i="3"/>
  <c r="AB449" i="3" s="1"/>
  <c r="AH448" i="3"/>
  <c r="AG448" i="3"/>
  <c r="AF448" i="3"/>
  <c r="AD448" i="3"/>
  <c r="AC448" i="3"/>
  <c r="AA448" i="3"/>
  <c r="Z448" i="3"/>
  <c r="Y448" i="3"/>
  <c r="X448" i="3"/>
  <c r="W448" i="3"/>
  <c r="AE448" i="3" s="1"/>
  <c r="V448" i="3"/>
  <c r="U448" i="3"/>
  <c r="T448" i="3"/>
  <c r="S448" i="3"/>
  <c r="AB448" i="3" s="1"/>
  <c r="AH447" i="3"/>
  <c r="AG447" i="3"/>
  <c r="AF447" i="3"/>
  <c r="AD447" i="3"/>
  <c r="AC447" i="3"/>
  <c r="AA447" i="3"/>
  <c r="Z447" i="3"/>
  <c r="Y447" i="3"/>
  <c r="X447" i="3"/>
  <c r="W447" i="3"/>
  <c r="V447" i="3"/>
  <c r="U447" i="3"/>
  <c r="T447" i="3"/>
  <c r="S447" i="3"/>
  <c r="AB447" i="3" s="1"/>
  <c r="AH446" i="3"/>
  <c r="AG446" i="3"/>
  <c r="AF446" i="3"/>
  <c r="AD446" i="3"/>
  <c r="AC446" i="3"/>
  <c r="AA446" i="3"/>
  <c r="Z446" i="3"/>
  <c r="Y446" i="3"/>
  <c r="X446" i="3"/>
  <c r="W446" i="3"/>
  <c r="V446" i="3"/>
  <c r="U446" i="3"/>
  <c r="T446" i="3"/>
  <c r="S446" i="3"/>
  <c r="AB446" i="3" s="1"/>
  <c r="AH445" i="3"/>
  <c r="AG445" i="3"/>
  <c r="AF445" i="3"/>
  <c r="AD445" i="3"/>
  <c r="AC445" i="3"/>
  <c r="AA445" i="3"/>
  <c r="Z445" i="3"/>
  <c r="Y445" i="3"/>
  <c r="X445" i="3"/>
  <c r="W445" i="3"/>
  <c r="AE445" i="3" s="1"/>
  <c r="V445" i="3"/>
  <c r="U445" i="3"/>
  <c r="T445" i="3"/>
  <c r="S445" i="3"/>
  <c r="AB445" i="3" s="1"/>
  <c r="AH444" i="3"/>
  <c r="AG444" i="3"/>
  <c r="AF444" i="3"/>
  <c r="AD444" i="3"/>
  <c r="AC444" i="3"/>
  <c r="AA444" i="3"/>
  <c r="Z444" i="3"/>
  <c r="Y444" i="3"/>
  <c r="X444" i="3"/>
  <c r="W444" i="3"/>
  <c r="AE444" i="3" s="1"/>
  <c r="V444" i="3"/>
  <c r="U444" i="3"/>
  <c r="T444" i="3"/>
  <c r="S444" i="3"/>
  <c r="AB444" i="3" s="1"/>
  <c r="AH443" i="3"/>
  <c r="AG443" i="3"/>
  <c r="AF443" i="3"/>
  <c r="AD443" i="3"/>
  <c r="AC443" i="3"/>
  <c r="AA443" i="3"/>
  <c r="Z443" i="3"/>
  <c r="Y443" i="3"/>
  <c r="X443" i="3"/>
  <c r="W443" i="3"/>
  <c r="V443" i="3"/>
  <c r="U443" i="3"/>
  <c r="T443" i="3"/>
  <c r="S443" i="3"/>
  <c r="AB443" i="3" s="1"/>
  <c r="AH442" i="3"/>
  <c r="AG442" i="3"/>
  <c r="AF442" i="3"/>
  <c r="AD442" i="3"/>
  <c r="AC442" i="3"/>
  <c r="AA442" i="3"/>
  <c r="Z442" i="3"/>
  <c r="Y442" i="3"/>
  <c r="X442" i="3"/>
  <c r="W442" i="3"/>
  <c r="V442" i="3"/>
  <c r="U442" i="3"/>
  <c r="T442" i="3"/>
  <c r="S442" i="3"/>
  <c r="AB442" i="3" s="1"/>
  <c r="AH441" i="3"/>
  <c r="AG441" i="3"/>
  <c r="AF441" i="3"/>
  <c r="AD441" i="3"/>
  <c r="AC441" i="3"/>
  <c r="AA441" i="3"/>
  <c r="Z441" i="3"/>
  <c r="Y441" i="3"/>
  <c r="X441" i="3"/>
  <c r="W441" i="3"/>
  <c r="AE441" i="3" s="1"/>
  <c r="V441" i="3"/>
  <c r="U441" i="3"/>
  <c r="T441" i="3"/>
  <c r="S441" i="3"/>
  <c r="AB441" i="3" s="1"/>
  <c r="AH440" i="3"/>
  <c r="AG440" i="3"/>
  <c r="AF440" i="3"/>
  <c r="AD440" i="3"/>
  <c r="AC440" i="3"/>
  <c r="AA440" i="3"/>
  <c r="Z440" i="3"/>
  <c r="Y440" i="3"/>
  <c r="X440" i="3"/>
  <c r="W440" i="3"/>
  <c r="AE440" i="3" s="1"/>
  <c r="V440" i="3"/>
  <c r="U440" i="3"/>
  <c r="T440" i="3"/>
  <c r="S440" i="3"/>
  <c r="AB440" i="3" s="1"/>
  <c r="AH439" i="3"/>
  <c r="AG439" i="3"/>
  <c r="AF439" i="3"/>
  <c r="AD439" i="3"/>
  <c r="AC439" i="3"/>
  <c r="AA439" i="3"/>
  <c r="Z439" i="3"/>
  <c r="Y439" i="3"/>
  <c r="X439" i="3"/>
  <c r="W439" i="3"/>
  <c r="V439" i="3"/>
  <c r="U439" i="3"/>
  <c r="T439" i="3"/>
  <c r="S439" i="3"/>
  <c r="AB439" i="3" s="1"/>
  <c r="AH438" i="3"/>
  <c r="AG438" i="3"/>
  <c r="AF438" i="3"/>
  <c r="AD438" i="3"/>
  <c r="AC438" i="3"/>
  <c r="AA438" i="3"/>
  <c r="Z438" i="3"/>
  <c r="Y438" i="3"/>
  <c r="X438" i="3"/>
  <c r="W438" i="3"/>
  <c r="V438" i="3"/>
  <c r="U438" i="3"/>
  <c r="T438" i="3"/>
  <c r="S438" i="3"/>
  <c r="AB438" i="3" s="1"/>
  <c r="AH437" i="3"/>
  <c r="AG437" i="3"/>
  <c r="AF437" i="3"/>
  <c r="AD437" i="3"/>
  <c r="AC437" i="3"/>
  <c r="AA437" i="3"/>
  <c r="Z437" i="3"/>
  <c r="Y437" i="3"/>
  <c r="X437" i="3"/>
  <c r="W437" i="3"/>
  <c r="AE437" i="3" s="1"/>
  <c r="V437" i="3"/>
  <c r="U437" i="3"/>
  <c r="T437" i="3"/>
  <c r="S437" i="3"/>
  <c r="AB437" i="3" s="1"/>
  <c r="AH436" i="3"/>
  <c r="AG436" i="3"/>
  <c r="AF436" i="3"/>
  <c r="AD436" i="3"/>
  <c r="AC436" i="3"/>
  <c r="AA436" i="3"/>
  <c r="Z436" i="3"/>
  <c r="Y436" i="3"/>
  <c r="X436" i="3"/>
  <c r="W436" i="3"/>
  <c r="AE436" i="3" s="1"/>
  <c r="V436" i="3"/>
  <c r="U436" i="3"/>
  <c r="T436" i="3"/>
  <c r="S436" i="3"/>
  <c r="AB436" i="3" s="1"/>
  <c r="AH435" i="3"/>
  <c r="AG435" i="3"/>
  <c r="AF435" i="3"/>
  <c r="AD435" i="3"/>
  <c r="AC435" i="3"/>
  <c r="AA435" i="3"/>
  <c r="Z435" i="3"/>
  <c r="Y435" i="3"/>
  <c r="X435" i="3"/>
  <c r="W435" i="3"/>
  <c r="V435" i="3"/>
  <c r="U435" i="3"/>
  <c r="T435" i="3"/>
  <c r="S435" i="3"/>
  <c r="AB435" i="3" s="1"/>
  <c r="AH434" i="3"/>
  <c r="AG434" i="3"/>
  <c r="AF434" i="3"/>
  <c r="AD434" i="3"/>
  <c r="AC434" i="3"/>
  <c r="AA434" i="3"/>
  <c r="Z434" i="3"/>
  <c r="Y434" i="3"/>
  <c r="X434" i="3"/>
  <c r="W434" i="3"/>
  <c r="V434" i="3"/>
  <c r="U434" i="3"/>
  <c r="T434" i="3"/>
  <c r="S434" i="3"/>
  <c r="AB434" i="3" s="1"/>
  <c r="AH433" i="3"/>
  <c r="AG433" i="3"/>
  <c r="AF433" i="3"/>
  <c r="AD433" i="3"/>
  <c r="AC433" i="3"/>
  <c r="AA433" i="3"/>
  <c r="Z433" i="3"/>
  <c r="Y433" i="3"/>
  <c r="X433" i="3"/>
  <c r="W433" i="3"/>
  <c r="AE433" i="3" s="1"/>
  <c r="V433" i="3"/>
  <c r="U433" i="3"/>
  <c r="T433" i="3"/>
  <c r="S433" i="3"/>
  <c r="AB433" i="3" s="1"/>
  <c r="AH432" i="3"/>
  <c r="AG432" i="3"/>
  <c r="AF432" i="3"/>
  <c r="AD432" i="3"/>
  <c r="AC432" i="3"/>
  <c r="AA432" i="3"/>
  <c r="Z432" i="3"/>
  <c r="Y432" i="3"/>
  <c r="X432" i="3"/>
  <c r="W432" i="3"/>
  <c r="AE432" i="3" s="1"/>
  <c r="V432" i="3"/>
  <c r="U432" i="3"/>
  <c r="T432" i="3"/>
  <c r="S432" i="3"/>
  <c r="AB432" i="3" s="1"/>
  <c r="AH431" i="3"/>
  <c r="AG431" i="3"/>
  <c r="AF431" i="3"/>
  <c r="AD431" i="3"/>
  <c r="AC431" i="3"/>
  <c r="AA431" i="3"/>
  <c r="Z431" i="3"/>
  <c r="Y431" i="3"/>
  <c r="X431" i="3"/>
  <c r="W431" i="3"/>
  <c r="V431" i="3"/>
  <c r="U431" i="3"/>
  <c r="T431" i="3"/>
  <c r="S431" i="3"/>
  <c r="AB431" i="3" s="1"/>
  <c r="AH430" i="3"/>
  <c r="AG430" i="3"/>
  <c r="AF430" i="3"/>
  <c r="AD430" i="3"/>
  <c r="AC430" i="3"/>
  <c r="AA430" i="3"/>
  <c r="Z430" i="3"/>
  <c r="Y430" i="3"/>
  <c r="X430" i="3"/>
  <c r="W430" i="3"/>
  <c r="V430" i="3"/>
  <c r="U430" i="3"/>
  <c r="T430" i="3"/>
  <c r="S430" i="3"/>
  <c r="AB430" i="3" s="1"/>
  <c r="AH429" i="3"/>
  <c r="AG429" i="3"/>
  <c r="AF429" i="3"/>
  <c r="AD429" i="3"/>
  <c r="AC429" i="3"/>
  <c r="AA429" i="3"/>
  <c r="Z429" i="3"/>
  <c r="Y429" i="3"/>
  <c r="X429" i="3"/>
  <c r="W429" i="3"/>
  <c r="AE429" i="3" s="1"/>
  <c r="V429" i="3"/>
  <c r="U429" i="3"/>
  <c r="T429" i="3"/>
  <c r="S429" i="3"/>
  <c r="AB429" i="3" s="1"/>
  <c r="AH428" i="3"/>
  <c r="AG428" i="3"/>
  <c r="AF428" i="3"/>
  <c r="AD428" i="3"/>
  <c r="AC428" i="3"/>
  <c r="AA428" i="3"/>
  <c r="Z428" i="3"/>
  <c r="Y428" i="3"/>
  <c r="X428" i="3"/>
  <c r="W428" i="3"/>
  <c r="AE428" i="3" s="1"/>
  <c r="V428" i="3"/>
  <c r="U428" i="3"/>
  <c r="T428" i="3"/>
  <c r="S428" i="3"/>
  <c r="AB428" i="3" s="1"/>
  <c r="AH427" i="3"/>
  <c r="AG427" i="3"/>
  <c r="AF427" i="3"/>
  <c r="AD427" i="3"/>
  <c r="AC427" i="3"/>
  <c r="AA427" i="3"/>
  <c r="Z427" i="3"/>
  <c r="Y427" i="3"/>
  <c r="X427" i="3"/>
  <c r="W427" i="3"/>
  <c r="V427" i="3"/>
  <c r="U427" i="3"/>
  <c r="T427" i="3"/>
  <c r="S427" i="3"/>
  <c r="AB427" i="3" s="1"/>
  <c r="AH426" i="3"/>
  <c r="AG426" i="3"/>
  <c r="AF426" i="3"/>
  <c r="AD426" i="3"/>
  <c r="AC426" i="3"/>
  <c r="AA426" i="3"/>
  <c r="Z426" i="3"/>
  <c r="Y426" i="3"/>
  <c r="X426" i="3"/>
  <c r="W426" i="3"/>
  <c r="V426" i="3"/>
  <c r="U426" i="3"/>
  <c r="T426" i="3"/>
  <c r="S426" i="3"/>
  <c r="AB426" i="3" s="1"/>
  <c r="AH425" i="3"/>
  <c r="AG425" i="3"/>
  <c r="AF425" i="3"/>
  <c r="AD425" i="3"/>
  <c r="AC425" i="3"/>
  <c r="AA425" i="3"/>
  <c r="Z425" i="3"/>
  <c r="Y425" i="3"/>
  <c r="X425" i="3"/>
  <c r="W425" i="3"/>
  <c r="AE425" i="3" s="1"/>
  <c r="V425" i="3"/>
  <c r="U425" i="3"/>
  <c r="T425" i="3"/>
  <c r="S425" i="3"/>
  <c r="AB425" i="3" s="1"/>
  <c r="AH424" i="3"/>
  <c r="AG424" i="3"/>
  <c r="AF424" i="3"/>
  <c r="AD424" i="3"/>
  <c r="AC424" i="3"/>
  <c r="AA424" i="3"/>
  <c r="Z424" i="3"/>
  <c r="Y424" i="3"/>
  <c r="X424" i="3"/>
  <c r="W424" i="3"/>
  <c r="AE424" i="3" s="1"/>
  <c r="V424" i="3"/>
  <c r="U424" i="3"/>
  <c r="T424" i="3"/>
  <c r="S424" i="3"/>
  <c r="AB424" i="3" s="1"/>
  <c r="AH423" i="3"/>
  <c r="AG423" i="3"/>
  <c r="AF423" i="3"/>
  <c r="AD423" i="3"/>
  <c r="AC423" i="3"/>
  <c r="AA423" i="3"/>
  <c r="Z423" i="3"/>
  <c r="Y423" i="3"/>
  <c r="X423" i="3"/>
  <c r="W423" i="3"/>
  <c r="V423" i="3"/>
  <c r="U423" i="3"/>
  <c r="T423" i="3"/>
  <c r="S423" i="3"/>
  <c r="AB423" i="3" s="1"/>
  <c r="AH422" i="3"/>
  <c r="AG422" i="3"/>
  <c r="AF422" i="3"/>
  <c r="AD422" i="3"/>
  <c r="AC422" i="3"/>
  <c r="AA422" i="3"/>
  <c r="Z422" i="3"/>
  <c r="Y422" i="3"/>
  <c r="X422" i="3"/>
  <c r="W422" i="3"/>
  <c r="V422" i="3"/>
  <c r="U422" i="3"/>
  <c r="T422" i="3"/>
  <c r="S422" i="3"/>
  <c r="AB422" i="3" s="1"/>
  <c r="AH421" i="3"/>
  <c r="AG421" i="3"/>
  <c r="AF421" i="3"/>
  <c r="AD421" i="3"/>
  <c r="AC421" i="3"/>
  <c r="AA421" i="3"/>
  <c r="Z421" i="3"/>
  <c r="Y421" i="3"/>
  <c r="X421" i="3"/>
  <c r="W421" i="3"/>
  <c r="AE421" i="3" s="1"/>
  <c r="V421" i="3"/>
  <c r="U421" i="3"/>
  <c r="T421" i="3"/>
  <c r="S421" i="3"/>
  <c r="AB421" i="3" s="1"/>
  <c r="AH420" i="3"/>
  <c r="AG420" i="3"/>
  <c r="AF420" i="3"/>
  <c r="AD420" i="3"/>
  <c r="AC420" i="3"/>
  <c r="AA420" i="3"/>
  <c r="Z420" i="3"/>
  <c r="Y420" i="3"/>
  <c r="X420" i="3"/>
  <c r="W420" i="3"/>
  <c r="AE420" i="3" s="1"/>
  <c r="V420" i="3"/>
  <c r="U420" i="3"/>
  <c r="T420" i="3"/>
  <c r="S420" i="3"/>
  <c r="AB420" i="3" s="1"/>
  <c r="AH419" i="3"/>
  <c r="AG419" i="3"/>
  <c r="AF419" i="3"/>
  <c r="AD419" i="3"/>
  <c r="AC419" i="3"/>
  <c r="AA419" i="3"/>
  <c r="Z419" i="3"/>
  <c r="Y419" i="3"/>
  <c r="X419" i="3"/>
  <c r="W419" i="3"/>
  <c r="V419" i="3"/>
  <c r="U419" i="3"/>
  <c r="T419" i="3"/>
  <c r="S419" i="3"/>
  <c r="AB419" i="3" s="1"/>
  <c r="AH418" i="3"/>
  <c r="AG418" i="3"/>
  <c r="AF418" i="3"/>
  <c r="AD418" i="3"/>
  <c r="AC418" i="3"/>
  <c r="AA418" i="3"/>
  <c r="Z418" i="3"/>
  <c r="Y418" i="3"/>
  <c r="X418" i="3"/>
  <c r="W418" i="3"/>
  <c r="V418" i="3"/>
  <c r="U418" i="3"/>
  <c r="T418" i="3"/>
  <c r="S418" i="3"/>
  <c r="AB418" i="3" s="1"/>
  <c r="AH417" i="3"/>
  <c r="AG417" i="3"/>
  <c r="AF417" i="3"/>
  <c r="AD417" i="3"/>
  <c r="AC417" i="3"/>
  <c r="AA417" i="3"/>
  <c r="Z417" i="3"/>
  <c r="Y417" i="3"/>
  <c r="X417" i="3"/>
  <c r="W417" i="3"/>
  <c r="AE417" i="3" s="1"/>
  <c r="AO279" i="3" s="1"/>
  <c r="V417" i="3"/>
  <c r="U417" i="3"/>
  <c r="T417" i="3"/>
  <c r="S417" i="3"/>
  <c r="AB417" i="3" s="1"/>
  <c r="AH416" i="3"/>
  <c r="AG416" i="3"/>
  <c r="AF416" i="3"/>
  <c r="AD416" i="3"/>
  <c r="AC416" i="3"/>
  <c r="AA416" i="3"/>
  <c r="Z416" i="3"/>
  <c r="Y416" i="3"/>
  <c r="X416" i="3"/>
  <c r="W416" i="3"/>
  <c r="AE416" i="3" s="1"/>
  <c r="AO274" i="3" s="1"/>
  <c r="V416" i="3"/>
  <c r="U416" i="3"/>
  <c r="T416" i="3"/>
  <c r="S416" i="3"/>
  <c r="AB416" i="3" s="1"/>
  <c r="AH415" i="3"/>
  <c r="AG415" i="3"/>
  <c r="AF415" i="3"/>
  <c r="AD415" i="3"/>
  <c r="AC415" i="3"/>
  <c r="AA415" i="3"/>
  <c r="Z415" i="3"/>
  <c r="Y415" i="3"/>
  <c r="X415" i="3"/>
  <c r="W415" i="3"/>
  <c r="V415" i="3"/>
  <c r="U415" i="3"/>
  <c r="T415" i="3"/>
  <c r="S415" i="3"/>
  <c r="AB415" i="3" s="1"/>
  <c r="AH414" i="3"/>
  <c r="AG414" i="3"/>
  <c r="AF414" i="3"/>
  <c r="AD414" i="3"/>
  <c r="AC414" i="3"/>
  <c r="AA414" i="3"/>
  <c r="Z414" i="3"/>
  <c r="Y414" i="3"/>
  <c r="X414" i="3"/>
  <c r="W414" i="3"/>
  <c r="V414" i="3"/>
  <c r="U414" i="3"/>
  <c r="T414" i="3"/>
  <c r="S414" i="3"/>
  <c r="AB414" i="3" s="1"/>
  <c r="AH413" i="3"/>
  <c r="AG413" i="3"/>
  <c r="AF413" i="3"/>
  <c r="AD413" i="3"/>
  <c r="AC413" i="3"/>
  <c r="AA413" i="3"/>
  <c r="Z413" i="3"/>
  <c r="Y413" i="3"/>
  <c r="X413" i="3"/>
  <c r="W413" i="3"/>
  <c r="AE413" i="3" s="1"/>
  <c r="AO284" i="3" s="1"/>
  <c r="V413" i="3"/>
  <c r="U413" i="3"/>
  <c r="T413" i="3"/>
  <c r="S413" i="3"/>
  <c r="AB413" i="3" s="1"/>
  <c r="AH412" i="3"/>
  <c r="AG412" i="3"/>
  <c r="AF412" i="3"/>
  <c r="AD412" i="3"/>
  <c r="AC412" i="3"/>
  <c r="AA412" i="3"/>
  <c r="Z412" i="3"/>
  <c r="Y412" i="3"/>
  <c r="X412" i="3"/>
  <c r="W412" i="3"/>
  <c r="AE412" i="3" s="1"/>
  <c r="V412" i="3"/>
  <c r="U412" i="3"/>
  <c r="T412" i="3"/>
  <c r="S412" i="3"/>
  <c r="AB412" i="3" s="1"/>
  <c r="AH411" i="3"/>
  <c r="AG411" i="3"/>
  <c r="AF411" i="3"/>
  <c r="AD411" i="3"/>
  <c r="AC411" i="3"/>
  <c r="AA411" i="3"/>
  <c r="Z411" i="3"/>
  <c r="Y411" i="3"/>
  <c r="X411" i="3"/>
  <c r="W411" i="3"/>
  <c r="V411" i="3"/>
  <c r="U411" i="3"/>
  <c r="T411" i="3"/>
  <c r="S411" i="3"/>
  <c r="AB411" i="3" s="1"/>
  <c r="AH410" i="3"/>
  <c r="AG410" i="3"/>
  <c r="AF410" i="3"/>
  <c r="AD410" i="3"/>
  <c r="AC410" i="3"/>
  <c r="AA410" i="3"/>
  <c r="Z410" i="3"/>
  <c r="Y410" i="3"/>
  <c r="X410" i="3"/>
  <c r="W410" i="3"/>
  <c r="V410" i="3"/>
  <c r="U410" i="3"/>
  <c r="T410" i="3"/>
  <c r="S410" i="3"/>
  <c r="AB410" i="3" s="1"/>
  <c r="AH409" i="3"/>
  <c r="AG409" i="3"/>
  <c r="AF409" i="3"/>
  <c r="AD409" i="3"/>
  <c r="AC409" i="3"/>
  <c r="AA409" i="3"/>
  <c r="Z409" i="3"/>
  <c r="Y409" i="3"/>
  <c r="X409" i="3"/>
  <c r="W409" i="3"/>
  <c r="AE409" i="3" s="1"/>
  <c r="V409" i="3"/>
  <c r="U409" i="3"/>
  <c r="T409" i="3"/>
  <c r="S409" i="3"/>
  <c r="AB409" i="3" s="1"/>
  <c r="AH408" i="3"/>
  <c r="AG408" i="3"/>
  <c r="AF408" i="3"/>
  <c r="AD408" i="3"/>
  <c r="AC408" i="3"/>
  <c r="AA408" i="3"/>
  <c r="Z408" i="3"/>
  <c r="Y408" i="3"/>
  <c r="X408" i="3"/>
  <c r="W408" i="3"/>
  <c r="AE408" i="3" s="1"/>
  <c r="V408" i="3"/>
  <c r="U408" i="3"/>
  <c r="T408" i="3"/>
  <c r="S408" i="3"/>
  <c r="AB408" i="3" s="1"/>
  <c r="AH407" i="3"/>
  <c r="AG407" i="3"/>
  <c r="AF407" i="3"/>
  <c r="AD407" i="3"/>
  <c r="AC407" i="3"/>
  <c r="AA407" i="3"/>
  <c r="Z407" i="3"/>
  <c r="Y407" i="3"/>
  <c r="X407" i="3"/>
  <c r="W407" i="3"/>
  <c r="V407" i="3"/>
  <c r="U407" i="3"/>
  <c r="T407" i="3"/>
  <c r="S407" i="3"/>
  <c r="AB407" i="3" s="1"/>
  <c r="AH406" i="3"/>
  <c r="AG406" i="3"/>
  <c r="AF406" i="3"/>
  <c r="AD406" i="3"/>
  <c r="AC406" i="3"/>
  <c r="AA406" i="3"/>
  <c r="Z406" i="3"/>
  <c r="Y406" i="3"/>
  <c r="X406" i="3"/>
  <c r="W406" i="3"/>
  <c r="V406" i="3"/>
  <c r="U406" i="3"/>
  <c r="T406" i="3"/>
  <c r="S406" i="3"/>
  <c r="AB406" i="3" s="1"/>
  <c r="AH405" i="3"/>
  <c r="AG405" i="3"/>
  <c r="AF405" i="3"/>
  <c r="AD405" i="3"/>
  <c r="AC405" i="3"/>
  <c r="AA405" i="3"/>
  <c r="Z405" i="3"/>
  <c r="Y405" i="3"/>
  <c r="X405" i="3"/>
  <c r="W405" i="3"/>
  <c r="AE405" i="3" s="1"/>
  <c r="V405" i="3"/>
  <c r="U405" i="3"/>
  <c r="T405" i="3"/>
  <c r="S405" i="3"/>
  <c r="AB405" i="3" s="1"/>
  <c r="AH404" i="3"/>
  <c r="AG404" i="3"/>
  <c r="AF404" i="3"/>
  <c r="AD404" i="3"/>
  <c r="AC404" i="3"/>
  <c r="AA404" i="3"/>
  <c r="Z404" i="3"/>
  <c r="Y404" i="3"/>
  <c r="X404" i="3"/>
  <c r="W404" i="3"/>
  <c r="AE404" i="3" s="1"/>
  <c r="V404" i="3"/>
  <c r="U404" i="3"/>
  <c r="T404" i="3"/>
  <c r="S404" i="3"/>
  <c r="AB404" i="3" s="1"/>
  <c r="AH403" i="3"/>
  <c r="AG403" i="3"/>
  <c r="AF403" i="3"/>
  <c r="AD403" i="3"/>
  <c r="AC403" i="3"/>
  <c r="AA403" i="3"/>
  <c r="Z403" i="3"/>
  <c r="Y403" i="3"/>
  <c r="X403" i="3"/>
  <c r="W403" i="3"/>
  <c r="V403" i="3"/>
  <c r="U403" i="3"/>
  <c r="T403" i="3"/>
  <c r="S403" i="3"/>
  <c r="AB403" i="3" s="1"/>
  <c r="AH402" i="3"/>
  <c r="AG402" i="3"/>
  <c r="AF402" i="3"/>
  <c r="AD402" i="3"/>
  <c r="AC402" i="3"/>
  <c r="AA402" i="3"/>
  <c r="Z402" i="3"/>
  <c r="Y402" i="3"/>
  <c r="X402" i="3"/>
  <c r="W402" i="3"/>
  <c r="V402" i="3"/>
  <c r="U402" i="3"/>
  <c r="T402" i="3"/>
  <c r="S402" i="3"/>
  <c r="AB402" i="3" s="1"/>
  <c r="AH401" i="3"/>
  <c r="AG401" i="3"/>
  <c r="AF401" i="3"/>
  <c r="AD401" i="3"/>
  <c r="AC401" i="3"/>
  <c r="AA401" i="3"/>
  <c r="Z401" i="3"/>
  <c r="Y401" i="3"/>
  <c r="X401" i="3"/>
  <c r="W401" i="3"/>
  <c r="AE401" i="3" s="1"/>
  <c r="V401" i="3"/>
  <c r="U401" i="3"/>
  <c r="T401" i="3"/>
  <c r="S401" i="3"/>
  <c r="AB401" i="3" s="1"/>
  <c r="AH400" i="3"/>
  <c r="AG400" i="3"/>
  <c r="AF400" i="3"/>
  <c r="AD400" i="3"/>
  <c r="AC400" i="3"/>
  <c r="AA400" i="3"/>
  <c r="Z400" i="3"/>
  <c r="Y400" i="3"/>
  <c r="X400" i="3"/>
  <c r="W400" i="3"/>
  <c r="AE400" i="3" s="1"/>
  <c r="V400" i="3"/>
  <c r="U400" i="3"/>
  <c r="T400" i="3"/>
  <c r="S400" i="3"/>
  <c r="AB400" i="3" s="1"/>
  <c r="AH399" i="3"/>
  <c r="AG399" i="3"/>
  <c r="AF399" i="3"/>
  <c r="AD399" i="3"/>
  <c r="AC399" i="3"/>
  <c r="AA399" i="3"/>
  <c r="Z399" i="3"/>
  <c r="Y399" i="3"/>
  <c r="X399" i="3"/>
  <c r="W399" i="3"/>
  <c r="V399" i="3"/>
  <c r="U399" i="3"/>
  <c r="T399" i="3"/>
  <c r="S399" i="3"/>
  <c r="AB399" i="3" s="1"/>
  <c r="AH398" i="3"/>
  <c r="AG398" i="3"/>
  <c r="AF398" i="3"/>
  <c r="AD398" i="3"/>
  <c r="AC398" i="3"/>
  <c r="AA398" i="3"/>
  <c r="Z398" i="3"/>
  <c r="Y398" i="3"/>
  <c r="X398" i="3"/>
  <c r="W398" i="3"/>
  <c r="V398" i="3"/>
  <c r="U398" i="3"/>
  <c r="T398" i="3"/>
  <c r="S398" i="3"/>
  <c r="AB398" i="3" s="1"/>
  <c r="AH397" i="3"/>
  <c r="AG397" i="3"/>
  <c r="AF397" i="3"/>
  <c r="AD397" i="3"/>
  <c r="AC397" i="3"/>
  <c r="AA397" i="3"/>
  <c r="Z397" i="3"/>
  <c r="Y397" i="3"/>
  <c r="X397" i="3"/>
  <c r="W397" i="3"/>
  <c r="AE397" i="3" s="1"/>
  <c r="V397" i="3"/>
  <c r="U397" i="3"/>
  <c r="T397" i="3"/>
  <c r="S397" i="3"/>
  <c r="AB397" i="3" s="1"/>
  <c r="AH396" i="3"/>
  <c r="AG396" i="3"/>
  <c r="AF396" i="3"/>
  <c r="AD396" i="3"/>
  <c r="AC396" i="3"/>
  <c r="AA396" i="3"/>
  <c r="Z396" i="3"/>
  <c r="Y396" i="3"/>
  <c r="X396" i="3"/>
  <c r="W396" i="3"/>
  <c r="AE396" i="3" s="1"/>
  <c r="V396" i="3"/>
  <c r="U396" i="3"/>
  <c r="T396" i="3"/>
  <c r="S396" i="3"/>
  <c r="AB396" i="3" s="1"/>
  <c r="AH395" i="3"/>
  <c r="AG395" i="3"/>
  <c r="AF395" i="3"/>
  <c r="AD395" i="3"/>
  <c r="AC395" i="3"/>
  <c r="AA395" i="3"/>
  <c r="Z395" i="3"/>
  <c r="Y395" i="3"/>
  <c r="X395" i="3"/>
  <c r="W395" i="3"/>
  <c r="V395" i="3"/>
  <c r="U395" i="3"/>
  <c r="T395" i="3"/>
  <c r="S395" i="3"/>
  <c r="AB395" i="3" s="1"/>
  <c r="AH394" i="3"/>
  <c r="AG394" i="3"/>
  <c r="AF394" i="3"/>
  <c r="AD394" i="3"/>
  <c r="AC394" i="3"/>
  <c r="AA394" i="3"/>
  <c r="Z394" i="3"/>
  <c r="Y394" i="3"/>
  <c r="X394" i="3"/>
  <c r="W394" i="3"/>
  <c r="V394" i="3"/>
  <c r="U394" i="3"/>
  <c r="T394" i="3"/>
  <c r="S394" i="3"/>
  <c r="AB394" i="3" s="1"/>
  <c r="AH393" i="3"/>
  <c r="AG393" i="3"/>
  <c r="AF393" i="3"/>
  <c r="AD393" i="3"/>
  <c r="AC393" i="3"/>
  <c r="AA393" i="3"/>
  <c r="Z393" i="3"/>
  <c r="Y393" i="3"/>
  <c r="X393" i="3"/>
  <c r="W393" i="3"/>
  <c r="AE393" i="3" s="1"/>
  <c r="V393" i="3"/>
  <c r="U393" i="3"/>
  <c r="T393" i="3"/>
  <c r="S393" i="3"/>
  <c r="AB393" i="3" s="1"/>
  <c r="AH392" i="3"/>
  <c r="AG392" i="3"/>
  <c r="AF392" i="3"/>
  <c r="AD392" i="3"/>
  <c r="AC392" i="3"/>
  <c r="AA392" i="3"/>
  <c r="Z392" i="3"/>
  <c r="Y392" i="3"/>
  <c r="X392" i="3"/>
  <c r="W392" i="3"/>
  <c r="AE392" i="3" s="1"/>
  <c r="V392" i="3"/>
  <c r="U392" i="3"/>
  <c r="T392" i="3"/>
  <c r="S392" i="3"/>
  <c r="AB392" i="3" s="1"/>
  <c r="AH391" i="3"/>
  <c r="AG391" i="3"/>
  <c r="AF391" i="3"/>
  <c r="AD391" i="3"/>
  <c r="AC391" i="3"/>
  <c r="AA391" i="3"/>
  <c r="Z391" i="3"/>
  <c r="Y391" i="3"/>
  <c r="X391" i="3"/>
  <c r="W391" i="3"/>
  <c r="V391" i="3"/>
  <c r="U391" i="3"/>
  <c r="T391" i="3"/>
  <c r="S391" i="3"/>
  <c r="AB391" i="3" s="1"/>
  <c r="AH390" i="3"/>
  <c r="AG390" i="3"/>
  <c r="AF390" i="3"/>
  <c r="AD390" i="3"/>
  <c r="AC390" i="3"/>
  <c r="AA390" i="3"/>
  <c r="Z390" i="3"/>
  <c r="Y390" i="3"/>
  <c r="X390" i="3"/>
  <c r="W390" i="3"/>
  <c r="V390" i="3"/>
  <c r="U390" i="3"/>
  <c r="T390" i="3"/>
  <c r="S390" i="3"/>
  <c r="AB390" i="3" s="1"/>
  <c r="AH389" i="3"/>
  <c r="AG389" i="3"/>
  <c r="AF389" i="3"/>
  <c r="AD389" i="3"/>
  <c r="AC389" i="3"/>
  <c r="AA389" i="3"/>
  <c r="Z389" i="3"/>
  <c r="Y389" i="3"/>
  <c r="X389" i="3"/>
  <c r="W389" i="3"/>
  <c r="AE389" i="3" s="1"/>
  <c r="V389" i="3"/>
  <c r="U389" i="3"/>
  <c r="T389" i="3"/>
  <c r="S389" i="3"/>
  <c r="AB389" i="3" s="1"/>
  <c r="AH388" i="3"/>
  <c r="AG388" i="3"/>
  <c r="AF388" i="3"/>
  <c r="AD388" i="3"/>
  <c r="AC388" i="3"/>
  <c r="AA388" i="3"/>
  <c r="Z388" i="3"/>
  <c r="Y388" i="3"/>
  <c r="X388" i="3"/>
  <c r="W388" i="3"/>
  <c r="AE388" i="3" s="1"/>
  <c r="V388" i="3"/>
  <c r="U388" i="3"/>
  <c r="T388" i="3"/>
  <c r="S388" i="3"/>
  <c r="AB388" i="3" s="1"/>
  <c r="AH387" i="3"/>
  <c r="AG387" i="3"/>
  <c r="AF387" i="3"/>
  <c r="AD387" i="3"/>
  <c r="AC387" i="3"/>
  <c r="AA387" i="3"/>
  <c r="Z387" i="3"/>
  <c r="Y387" i="3"/>
  <c r="X387" i="3"/>
  <c r="W387" i="3"/>
  <c r="V387" i="3"/>
  <c r="U387" i="3"/>
  <c r="T387" i="3"/>
  <c r="S387" i="3"/>
  <c r="AB387" i="3" s="1"/>
  <c r="AH386" i="3"/>
  <c r="AG386" i="3"/>
  <c r="AF386" i="3"/>
  <c r="AD386" i="3"/>
  <c r="AC386" i="3"/>
  <c r="AA386" i="3"/>
  <c r="Z386" i="3"/>
  <c r="Y386" i="3"/>
  <c r="X386" i="3"/>
  <c r="W386" i="3"/>
  <c r="V386" i="3"/>
  <c r="U386" i="3"/>
  <c r="T386" i="3"/>
  <c r="S386" i="3"/>
  <c r="AB386" i="3" s="1"/>
  <c r="AH385" i="3"/>
  <c r="AG385" i="3"/>
  <c r="AF385" i="3"/>
  <c r="AD385" i="3"/>
  <c r="AC385" i="3"/>
  <c r="AA385" i="3"/>
  <c r="Z385" i="3"/>
  <c r="Y385" i="3"/>
  <c r="X385" i="3"/>
  <c r="W385" i="3"/>
  <c r="AE385" i="3" s="1"/>
  <c r="V385" i="3"/>
  <c r="U385" i="3"/>
  <c r="T385" i="3"/>
  <c r="S385" i="3"/>
  <c r="AB385" i="3" s="1"/>
  <c r="AH384" i="3"/>
  <c r="AG384" i="3"/>
  <c r="AF384" i="3"/>
  <c r="AD384" i="3"/>
  <c r="AC384" i="3"/>
  <c r="AA384" i="3"/>
  <c r="Z384" i="3"/>
  <c r="Y384" i="3"/>
  <c r="X384" i="3"/>
  <c r="W384" i="3"/>
  <c r="AE384" i="3" s="1"/>
  <c r="V384" i="3"/>
  <c r="U384" i="3"/>
  <c r="T384" i="3"/>
  <c r="S384" i="3"/>
  <c r="AB384" i="3" s="1"/>
  <c r="AH383" i="3"/>
  <c r="AG383" i="3"/>
  <c r="AF383" i="3"/>
  <c r="AD383" i="3"/>
  <c r="AC383" i="3"/>
  <c r="AA383" i="3"/>
  <c r="Z383" i="3"/>
  <c r="Y383" i="3"/>
  <c r="X383" i="3"/>
  <c r="W383" i="3"/>
  <c r="V383" i="3"/>
  <c r="U383" i="3"/>
  <c r="T383" i="3"/>
  <c r="S383" i="3"/>
  <c r="AB383" i="3" s="1"/>
  <c r="AH382" i="3"/>
  <c r="AG382" i="3"/>
  <c r="AF382" i="3"/>
  <c r="AD382" i="3"/>
  <c r="AC382" i="3"/>
  <c r="AA382" i="3"/>
  <c r="Z382" i="3"/>
  <c r="Y382" i="3"/>
  <c r="X382" i="3"/>
  <c r="W382" i="3"/>
  <c r="V382" i="3"/>
  <c r="U382" i="3"/>
  <c r="T382" i="3"/>
  <c r="S382" i="3"/>
  <c r="AB382" i="3" s="1"/>
  <c r="AH381" i="3"/>
  <c r="AG381" i="3"/>
  <c r="AF381" i="3"/>
  <c r="AD381" i="3"/>
  <c r="AC381" i="3"/>
  <c r="AA381" i="3"/>
  <c r="Z381" i="3"/>
  <c r="Y381" i="3"/>
  <c r="X381" i="3"/>
  <c r="W381" i="3"/>
  <c r="AE381" i="3" s="1"/>
  <c r="V381" i="3"/>
  <c r="U381" i="3"/>
  <c r="T381" i="3"/>
  <c r="S381" i="3"/>
  <c r="AB381" i="3" s="1"/>
  <c r="AH380" i="3"/>
  <c r="AG380" i="3"/>
  <c r="AF380" i="3"/>
  <c r="AD380" i="3"/>
  <c r="AC380" i="3"/>
  <c r="AA380" i="3"/>
  <c r="Z380" i="3"/>
  <c r="Y380" i="3"/>
  <c r="X380" i="3"/>
  <c r="W380" i="3"/>
  <c r="AE380" i="3" s="1"/>
  <c r="V380" i="3"/>
  <c r="U380" i="3"/>
  <c r="T380" i="3"/>
  <c r="S380" i="3"/>
  <c r="AB380" i="3" s="1"/>
  <c r="AH379" i="3"/>
  <c r="AG379" i="3"/>
  <c r="AF379" i="3"/>
  <c r="AD379" i="3"/>
  <c r="AC379" i="3"/>
  <c r="AA379" i="3"/>
  <c r="Z379" i="3"/>
  <c r="Y379" i="3"/>
  <c r="X379" i="3"/>
  <c r="W379" i="3"/>
  <c r="V379" i="3"/>
  <c r="U379" i="3"/>
  <c r="T379" i="3"/>
  <c r="S379" i="3"/>
  <c r="AB379" i="3" s="1"/>
  <c r="AH378" i="3"/>
  <c r="AG378" i="3"/>
  <c r="AF378" i="3"/>
  <c r="AD378" i="3"/>
  <c r="AC378" i="3"/>
  <c r="AA378" i="3"/>
  <c r="Z378" i="3"/>
  <c r="Y378" i="3"/>
  <c r="X378" i="3"/>
  <c r="W378" i="3"/>
  <c r="V378" i="3"/>
  <c r="U378" i="3"/>
  <c r="T378" i="3"/>
  <c r="S378" i="3"/>
  <c r="AB378" i="3" s="1"/>
  <c r="AH377" i="3"/>
  <c r="AG377" i="3"/>
  <c r="AF377" i="3"/>
  <c r="AD377" i="3"/>
  <c r="AC377" i="3"/>
  <c r="AA377" i="3"/>
  <c r="Z377" i="3"/>
  <c r="Y377" i="3"/>
  <c r="X377" i="3"/>
  <c r="W377" i="3"/>
  <c r="AE377" i="3" s="1"/>
  <c r="V377" i="3"/>
  <c r="U377" i="3"/>
  <c r="T377" i="3"/>
  <c r="S377" i="3"/>
  <c r="AB377" i="3" s="1"/>
  <c r="AH376" i="3"/>
  <c r="AG376" i="3"/>
  <c r="AF376" i="3"/>
  <c r="AD376" i="3"/>
  <c r="AC376" i="3"/>
  <c r="AA376" i="3"/>
  <c r="Z376" i="3"/>
  <c r="Y376" i="3"/>
  <c r="X376" i="3"/>
  <c r="W376" i="3"/>
  <c r="AE376" i="3" s="1"/>
  <c r="V376" i="3"/>
  <c r="U376" i="3"/>
  <c r="T376" i="3"/>
  <c r="S376" i="3"/>
  <c r="AB376" i="3" s="1"/>
  <c r="AH375" i="3"/>
  <c r="AG375" i="3"/>
  <c r="AF375" i="3"/>
  <c r="AD375" i="3"/>
  <c r="AC375" i="3"/>
  <c r="AA375" i="3"/>
  <c r="Z375" i="3"/>
  <c r="Y375" i="3"/>
  <c r="X375" i="3"/>
  <c r="W375" i="3"/>
  <c r="V375" i="3"/>
  <c r="U375" i="3"/>
  <c r="T375" i="3"/>
  <c r="S375" i="3"/>
  <c r="AB375" i="3" s="1"/>
  <c r="AH374" i="3"/>
  <c r="AG374" i="3"/>
  <c r="AF374" i="3"/>
  <c r="AD374" i="3"/>
  <c r="AC374" i="3"/>
  <c r="AA374" i="3"/>
  <c r="Z374" i="3"/>
  <c r="Y374" i="3"/>
  <c r="X374" i="3"/>
  <c r="W374" i="3"/>
  <c r="V374" i="3"/>
  <c r="U374" i="3"/>
  <c r="T374" i="3"/>
  <c r="S374" i="3"/>
  <c r="AB374" i="3" s="1"/>
  <c r="AH373" i="3"/>
  <c r="AG373" i="3"/>
  <c r="AF373" i="3"/>
  <c r="AD373" i="3"/>
  <c r="AC373" i="3"/>
  <c r="AA373" i="3"/>
  <c r="Z373" i="3"/>
  <c r="Y373" i="3"/>
  <c r="X373" i="3"/>
  <c r="W373" i="3"/>
  <c r="AE373" i="3" s="1"/>
  <c r="V373" i="3"/>
  <c r="U373" i="3"/>
  <c r="T373" i="3"/>
  <c r="S373" i="3"/>
  <c r="AB373" i="3" s="1"/>
  <c r="AH372" i="3"/>
  <c r="AG372" i="3"/>
  <c r="AF372" i="3"/>
  <c r="AD372" i="3"/>
  <c r="AC372" i="3"/>
  <c r="AA372" i="3"/>
  <c r="Z372" i="3"/>
  <c r="Y372" i="3"/>
  <c r="X372" i="3"/>
  <c r="W372" i="3"/>
  <c r="AE372" i="3" s="1"/>
  <c r="V372" i="3"/>
  <c r="U372" i="3"/>
  <c r="T372" i="3"/>
  <c r="S372" i="3"/>
  <c r="AB372" i="3" s="1"/>
  <c r="AH371" i="3"/>
  <c r="AG371" i="3"/>
  <c r="AF371" i="3"/>
  <c r="AD371" i="3"/>
  <c r="AC371" i="3"/>
  <c r="AA371" i="3"/>
  <c r="Z371" i="3"/>
  <c r="Y371" i="3"/>
  <c r="X371" i="3"/>
  <c r="W371" i="3"/>
  <c r="V371" i="3"/>
  <c r="U371" i="3"/>
  <c r="T371" i="3"/>
  <c r="S371" i="3"/>
  <c r="AB371" i="3" s="1"/>
  <c r="AH370" i="3"/>
  <c r="AG370" i="3"/>
  <c r="AF370" i="3"/>
  <c r="AD370" i="3"/>
  <c r="AC370" i="3"/>
  <c r="AA370" i="3"/>
  <c r="Z370" i="3"/>
  <c r="Y370" i="3"/>
  <c r="X370" i="3"/>
  <c r="W370" i="3"/>
  <c r="V370" i="3"/>
  <c r="U370" i="3"/>
  <c r="T370" i="3"/>
  <c r="S370" i="3"/>
  <c r="AB370" i="3" s="1"/>
  <c r="AH369" i="3"/>
  <c r="AG369" i="3"/>
  <c r="AF369" i="3"/>
  <c r="AD369" i="3"/>
  <c r="AC369" i="3"/>
  <c r="AA369" i="3"/>
  <c r="Z369" i="3"/>
  <c r="Y369" i="3"/>
  <c r="X369" i="3"/>
  <c r="W369" i="3"/>
  <c r="AE369" i="3" s="1"/>
  <c r="V369" i="3"/>
  <c r="U369" i="3"/>
  <c r="T369" i="3"/>
  <c r="S369" i="3"/>
  <c r="AB369" i="3" s="1"/>
  <c r="AH368" i="3"/>
  <c r="AG368" i="3"/>
  <c r="AF368" i="3"/>
  <c r="AD368" i="3"/>
  <c r="AC368" i="3"/>
  <c r="AA368" i="3"/>
  <c r="Z368" i="3"/>
  <c r="Y368" i="3"/>
  <c r="X368" i="3"/>
  <c r="W368" i="3"/>
  <c r="AE368" i="3" s="1"/>
  <c r="V368" i="3"/>
  <c r="U368" i="3"/>
  <c r="T368" i="3"/>
  <c r="S368" i="3"/>
  <c r="AB368" i="3" s="1"/>
  <c r="AH367" i="3"/>
  <c r="AG367" i="3"/>
  <c r="AF367" i="3"/>
  <c r="AD367" i="3"/>
  <c r="AC367" i="3"/>
  <c r="AA367" i="3"/>
  <c r="Z367" i="3"/>
  <c r="Y367" i="3"/>
  <c r="X367" i="3"/>
  <c r="W367" i="3"/>
  <c r="V367" i="3"/>
  <c r="U367" i="3"/>
  <c r="T367" i="3"/>
  <c r="S367" i="3"/>
  <c r="AB367" i="3" s="1"/>
  <c r="AH366" i="3"/>
  <c r="AG366" i="3"/>
  <c r="AF366" i="3"/>
  <c r="AD366" i="3"/>
  <c r="AC366" i="3"/>
  <c r="AA366" i="3"/>
  <c r="Z366" i="3"/>
  <c r="Y366" i="3"/>
  <c r="X366" i="3"/>
  <c r="W366" i="3"/>
  <c r="E4" i="6" s="1"/>
  <c r="V366" i="3"/>
  <c r="U366" i="3"/>
  <c r="T366" i="3"/>
  <c r="S366" i="3"/>
  <c r="AB366" i="3" s="1"/>
  <c r="AH365" i="3"/>
  <c r="AG365" i="3"/>
  <c r="AF365" i="3"/>
  <c r="AD365" i="3"/>
  <c r="AC365" i="3"/>
  <c r="AA365" i="3"/>
  <c r="Z365" i="3"/>
  <c r="Y365" i="3"/>
  <c r="X365" i="3"/>
  <c r="W365" i="3"/>
  <c r="AE365" i="3" s="1"/>
  <c r="V365" i="3"/>
  <c r="U365" i="3"/>
  <c r="T365" i="3"/>
  <c r="S365" i="3"/>
  <c r="AB365" i="3" s="1"/>
  <c r="AH364" i="3"/>
  <c r="AG364" i="3"/>
  <c r="AF364" i="3"/>
  <c r="AD364" i="3"/>
  <c r="AC364" i="3"/>
  <c r="AA364" i="3"/>
  <c r="Z364" i="3"/>
  <c r="Y364" i="3"/>
  <c r="X364" i="3"/>
  <c r="W364" i="3"/>
  <c r="AE364" i="3" s="1"/>
  <c r="V364" i="3"/>
  <c r="U364" i="3"/>
  <c r="T364" i="3"/>
  <c r="S364" i="3"/>
  <c r="AB364" i="3" s="1"/>
  <c r="AH363" i="3"/>
  <c r="AG363" i="3"/>
  <c r="AF363" i="3"/>
  <c r="AD363" i="3"/>
  <c r="AC363" i="3"/>
  <c r="AA363" i="3"/>
  <c r="Z363" i="3"/>
  <c r="Y363" i="3"/>
  <c r="X363" i="3"/>
  <c r="W363" i="3"/>
  <c r="V363" i="3"/>
  <c r="U363" i="3"/>
  <c r="T363" i="3"/>
  <c r="S363" i="3"/>
  <c r="AB363" i="3" s="1"/>
  <c r="AH362" i="3"/>
  <c r="AG362" i="3"/>
  <c r="AF362" i="3"/>
  <c r="AD362" i="3"/>
  <c r="AC362" i="3"/>
  <c r="AA362" i="3"/>
  <c r="Z362" i="3"/>
  <c r="Y362" i="3"/>
  <c r="X362" i="3"/>
  <c r="W362" i="3"/>
  <c r="V362" i="3"/>
  <c r="U362" i="3"/>
  <c r="T362" i="3"/>
  <c r="S362" i="3"/>
  <c r="AB362" i="3" s="1"/>
  <c r="AH361" i="3"/>
  <c r="AG361" i="3"/>
  <c r="AF361" i="3"/>
  <c r="AD361" i="3"/>
  <c r="AC361" i="3"/>
  <c r="AA361" i="3"/>
  <c r="Z361" i="3"/>
  <c r="Y361" i="3"/>
  <c r="X361" i="3"/>
  <c r="W361" i="3"/>
  <c r="AE361" i="3" s="1"/>
  <c r="V361" i="3"/>
  <c r="U361" i="3"/>
  <c r="T361" i="3"/>
  <c r="S361" i="3"/>
  <c r="AB361" i="3" s="1"/>
  <c r="AH360" i="3"/>
  <c r="AG360" i="3"/>
  <c r="AF360" i="3"/>
  <c r="AD360" i="3"/>
  <c r="AC360" i="3"/>
  <c r="AA360" i="3"/>
  <c r="Z360" i="3"/>
  <c r="Y360" i="3"/>
  <c r="X360" i="3"/>
  <c r="W360" i="3"/>
  <c r="AE360" i="3" s="1"/>
  <c r="V360" i="3"/>
  <c r="U360" i="3"/>
  <c r="T360" i="3"/>
  <c r="S360" i="3"/>
  <c r="AB360" i="3" s="1"/>
  <c r="AH359" i="3"/>
  <c r="AG359" i="3"/>
  <c r="AF359" i="3"/>
  <c r="AD359" i="3"/>
  <c r="AC359" i="3"/>
  <c r="AA359" i="3"/>
  <c r="Z359" i="3"/>
  <c r="Y359" i="3"/>
  <c r="X359" i="3"/>
  <c r="W359" i="3"/>
  <c r="V359" i="3"/>
  <c r="U359" i="3"/>
  <c r="T359" i="3"/>
  <c r="S359" i="3"/>
  <c r="AB359" i="3" s="1"/>
  <c r="AH358" i="3"/>
  <c r="AG358" i="3"/>
  <c r="AF358" i="3"/>
  <c r="AD358" i="3"/>
  <c r="AC358" i="3"/>
  <c r="AA358" i="3"/>
  <c r="Z358" i="3"/>
  <c r="Y358" i="3"/>
  <c r="X358" i="3"/>
  <c r="W358" i="3"/>
  <c r="V358" i="3"/>
  <c r="U358" i="3"/>
  <c r="T358" i="3"/>
  <c r="S358" i="3"/>
  <c r="AB358" i="3" s="1"/>
  <c r="AH357" i="3"/>
  <c r="AG357" i="3"/>
  <c r="AF357" i="3"/>
  <c r="AD357" i="3"/>
  <c r="AC357" i="3"/>
  <c r="AA357" i="3"/>
  <c r="Z357" i="3"/>
  <c r="Y357" i="3"/>
  <c r="X357" i="3"/>
  <c r="W357" i="3"/>
  <c r="AE357" i="3" s="1"/>
  <c r="V357" i="3"/>
  <c r="U357" i="3"/>
  <c r="T357" i="3"/>
  <c r="S357" i="3"/>
  <c r="AB357" i="3" s="1"/>
  <c r="AH356" i="3"/>
  <c r="AG356" i="3"/>
  <c r="AF356" i="3"/>
  <c r="AD356" i="3"/>
  <c r="AC356" i="3"/>
  <c r="AA356" i="3"/>
  <c r="Z356" i="3"/>
  <c r="Y356" i="3"/>
  <c r="X356" i="3"/>
  <c r="W356" i="3"/>
  <c r="AE356" i="3" s="1"/>
  <c r="V356" i="3"/>
  <c r="U356" i="3"/>
  <c r="T356" i="3"/>
  <c r="S356" i="3"/>
  <c r="AB356" i="3" s="1"/>
  <c r="AH355" i="3"/>
  <c r="AG355" i="3"/>
  <c r="AF355" i="3"/>
  <c r="AD355" i="3"/>
  <c r="AC355" i="3"/>
  <c r="AA355" i="3"/>
  <c r="Z355" i="3"/>
  <c r="Y355" i="3"/>
  <c r="X355" i="3"/>
  <c r="W355" i="3"/>
  <c r="V355" i="3"/>
  <c r="U355" i="3"/>
  <c r="T355" i="3"/>
  <c r="S355" i="3"/>
  <c r="AB355" i="3" s="1"/>
  <c r="AH354" i="3"/>
  <c r="AG354" i="3"/>
  <c r="AF354" i="3"/>
  <c r="AD354" i="3"/>
  <c r="AC354" i="3"/>
  <c r="AA354" i="3"/>
  <c r="Z354" i="3"/>
  <c r="Y354" i="3"/>
  <c r="X354" i="3"/>
  <c r="W354" i="3"/>
  <c r="V354" i="3"/>
  <c r="U354" i="3"/>
  <c r="T354" i="3"/>
  <c r="S354" i="3"/>
  <c r="AB354" i="3" s="1"/>
  <c r="AH353" i="3"/>
  <c r="AG353" i="3"/>
  <c r="AF353" i="3"/>
  <c r="AD353" i="3"/>
  <c r="AC353" i="3"/>
  <c r="AA353" i="3"/>
  <c r="Z353" i="3"/>
  <c r="Y353" i="3"/>
  <c r="X353" i="3"/>
  <c r="W353" i="3"/>
  <c r="AE353" i="3" s="1"/>
  <c r="V353" i="3"/>
  <c r="U353" i="3"/>
  <c r="T353" i="3"/>
  <c r="S353" i="3"/>
  <c r="AB353" i="3" s="1"/>
  <c r="AH352" i="3"/>
  <c r="AG352" i="3"/>
  <c r="AF352" i="3"/>
  <c r="AD352" i="3"/>
  <c r="AC352" i="3"/>
  <c r="AA352" i="3"/>
  <c r="Z352" i="3"/>
  <c r="Y352" i="3"/>
  <c r="X352" i="3"/>
  <c r="W352" i="3"/>
  <c r="AE352" i="3" s="1"/>
  <c r="V352" i="3"/>
  <c r="U352" i="3"/>
  <c r="T352" i="3"/>
  <c r="S352" i="3"/>
  <c r="AB352" i="3" s="1"/>
  <c r="AH351" i="3"/>
  <c r="AG351" i="3"/>
  <c r="AF351" i="3"/>
  <c r="AD351" i="3"/>
  <c r="AC351" i="3"/>
  <c r="AA351" i="3"/>
  <c r="Z351" i="3"/>
  <c r="Y351" i="3"/>
  <c r="X351" i="3"/>
  <c r="W351" i="3"/>
  <c r="V351" i="3"/>
  <c r="U351" i="3"/>
  <c r="T351" i="3"/>
  <c r="S351" i="3"/>
  <c r="AB351" i="3" s="1"/>
  <c r="AH350" i="3"/>
  <c r="AG350" i="3"/>
  <c r="AF350" i="3"/>
  <c r="AD350" i="3"/>
  <c r="AC350" i="3"/>
  <c r="AA350" i="3"/>
  <c r="Z350" i="3"/>
  <c r="Y350" i="3"/>
  <c r="X350" i="3"/>
  <c r="W350" i="3"/>
  <c r="V350" i="3"/>
  <c r="U350" i="3"/>
  <c r="T350" i="3"/>
  <c r="S350" i="3"/>
  <c r="AB350" i="3" s="1"/>
  <c r="AH349" i="3"/>
  <c r="AG349" i="3"/>
  <c r="AF349" i="3"/>
  <c r="AD349" i="3"/>
  <c r="AC349" i="3"/>
  <c r="AA349" i="3"/>
  <c r="Z349" i="3"/>
  <c r="Y349" i="3"/>
  <c r="X349" i="3"/>
  <c r="W349" i="3"/>
  <c r="AE349" i="3" s="1"/>
  <c r="V349" i="3"/>
  <c r="U349" i="3"/>
  <c r="T349" i="3"/>
  <c r="S349" i="3"/>
  <c r="AB349" i="3" s="1"/>
  <c r="AH348" i="3"/>
  <c r="AG348" i="3"/>
  <c r="AF348" i="3"/>
  <c r="AD348" i="3"/>
  <c r="AC348" i="3"/>
  <c r="AA348" i="3"/>
  <c r="Z348" i="3"/>
  <c r="Y348" i="3"/>
  <c r="X348" i="3"/>
  <c r="W348" i="3"/>
  <c r="AE348" i="3" s="1"/>
  <c r="V348" i="3"/>
  <c r="U348" i="3"/>
  <c r="T348" i="3"/>
  <c r="S348" i="3"/>
  <c r="AB348" i="3" s="1"/>
  <c r="AH347" i="3"/>
  <c r="AG347" i="3"/>
  <c r="AF347" i="3"/>
  <c r="AD347" i="3"/>
  <c r="AC347" i="3"/>
  <c r="AA347" i="3"/>
  <c r="Z347" i="3"/>
  <c r="Y347" i="3"/>
  <c r="X347" i="3"/>
  <c r="W347" i="3"/>
  <c r="V347" i="3"/>
  <c r="U347" i="3"/>
  <c r="T347" i="3"/>
  <c r="S347" i="3"/>
  <c r="AB347" i="3" s="1"/>
  <c r="AH346" i="3"/>
  <c r="AG346" i="3"/>
  <c r="AF346" i="3"/>
  <c r="AD346" i="3"/>
  <c r="AC346" i="3"/>
  <c r="AA346" i="3"/>
  <c r="Z346" i="3"/>
  <c r="Y346" i="3"/>
  <c r="X346" i="3"/>
  <c r="W346" i="3"/>
  <c r="V346" i="3"/>
  <c r="U346" i="3"/>
  <c r="T346" i="3"/>
  <c r="S346" i="3"/>
  <c r="AB346" i="3" s="1"/>
  <c r="AH345" i="3"/>
  <c r="AG345" i="3"/>
  <c r="AF345" i="3"/>
  <c r="AD345" i="3"/>
  <c r="AC345" i="3"/>
  <c r="AA345" i="3"/>
  <c r="Z345" i="3"/>
  <c r="Y345" i="3"/>
  <c r="X345" i="3"/>
  <c r="W345" i="3"/>
  <c r="AE345" i="3" s="1"/>
  <c r="V345" i="3"/>
  <c r="U345" i="3"/>
  <c r="T345" i="3"/>
  <c r="S345" i="3"/>
  <c r="AB345" i="3" s="1"/>
  <c r="AH344" i="3"/>
  <c r="AG344" i="3"/>
  <c r="AF344" i="3"/>
  <c r="AD344" i="3"/>
  <c r="AC344" i="3"/>
  <c r="AA344" i="3"/>
  <c r="Z344" i="3"/>
  <c r="Y344" i="3"/>
  <c r="X344" i="3"/>
  <c r="W344" i="3"/>
  <c r="AE344" i="3" s="1"/>
  <c r="V344" i="3"/>
  <c r="U344" i="3"/>
  <c r="T344" i="3"/>
  <c r="S344" i="3"/>
  <c r="AB344" i="3" s="1"/>
  <c r="AH343" i="3"/>
  <c r="AG343" i="3"/>
  <c r="AF343" i="3"/>
  <c r="AD343" i="3"/>
  <c r="AC343" i="3"/>
  <c r="AA343" i="3"/>
  <c r="Z343" i="3"/>
  <c r="Y343" i="3"/>
  <c r="X343" i="3"/>
  <c r="W343" i="3"/>
  <c r="V343" i="3"/>
  <c r="U343" i="3"/>
  <c r="T343" i="3"/>
  <c r="S343" i="3"/>
  <c r="AB343" i="3" s="1"/>
  <c r="AH342" i="3"/>
  <c r="AG342" i="3"/>
  <c r="AF342" i="3"/>
  <c r="AD342" i="3"/>
  <c r="AC342" i="3"/>
  <c r="AA342" i="3"/>
  <c r="Z342" i="3"/>
  <c r="Y342" i="3"/>
  <c r="X342" i="3"/>
  <c r="W342" i="3"/>
  <c r="V342" i="3"/>
  <c r="U342" i="3"/>
  <c r="T342" i="3"/>
  <c r="S342" i="3"/>
  <c r="AB342" i="3" s="1"/>
  <c r="AH341" i="3"/>
  <c r="AG341" i="3"/>
  <c r="AF341" i="3"/>
  <c r="AD341" i="3"/>
  <c r="AC341" i="3"/>
  <c r="AA341" i="3"/>
  <c r="Z341" i="3"/>
  <c r="Y341" i="3"/>
  <c r="X341" i="3"/>
  <c r="W341" i="3"/>
  <c r="AE341" i="3" s="1"/>
  <c r="V341" i="3"/>
  <c r="U341" i="3"/>
  <c r="T341" i="3"/>
  <c r="S341" i="3"/>
  <c r="AB341" i="3" s="1"/>
  <c r="AH340" i="3"/>
  <c r="AG340" i="3"/>
  <c r="AF340" i="3"/>
  <c r="AD340" i="3"/>
  <c r="AC340" i="3"/>
  <c r="AA340" i="3"/>
  <c r="Z340" i="3"/>
  <c r="Y340" i="3"/>
  <c r="X340" i="3"/>
  <c r="W340" i="3"/>
  <c r="AE340" i="3" s="1"/>
  <c r="V340" i="3"/>
  <c r="U340" i="3"/>
  <c r="T340" i="3"/>
  <c r="S340" i="3"/>
  <c r="AB340" i="3" s="1"/>
  <c r="AH339" i="3"/>
  <c r="AG339" i="3"/>
  <c r="AF339" i="3"/>
  <c r="AD339" i="3"/>
  <c r="AC339" i="3"/>
  <c r="AA339" i="3"/>
  <c r="Z339" i="3"/>
  <c r="Y339" i="3"/>
  <c r="X339" i="3"/>
  <c r="W339" i="3"/>
  <c r="V339" i="3"/>
  <c r="U339" i="3"/>
  <c r="T339" i="3"/>
  <c r="S339" i="3"/>
  <c r="AB339" i="3" s="1"/>
  <c r="AH338" i="3"/>
  <c r="AG338" i="3"/>
  <c r="AF338" i="3"/>
  <c r="AD338" i="3"/>
  <c r="AC338" i="3"/>
  <c r="AA338" i="3"/>
  <c r="Z338" i="3"/>
  <c r="Y338" i="3"/>
  <c r="X338" i="3"/>
  <c r="W338" i="3"/>
  <c r="V338" i="3"/>
  <c r="U338" i="3"/>
  <c r="T338" i="3"/>
  <c r="S338" i="3"/>
  <c r="AB338" i="3" s="1"/>
  <c r="AH337" i="3"/>
  <c r="AG337" i="3"/>
  <c r="AF337" i="3"/>
  <c r="AD337" i="3"/>
  <c r="AC337" i="3"/>
  <c r="AA337" i="3"/>
  <c r="Z337" i="3"/>
  <c r="Y337" i="3"/>
  <c r="X337" i="3"/>
  <c r="W337" i="3"/>
  <c r="AE337" i="3" s="1"/>
  <c r="V337" i="3"/>
  <c r="U337" i="3"/>
  <c r="T337" i="3"/>
  <c r="S337" i="3"/>
  <c r="AB337" i="3" s="1"/>
  <c r="AH336" i="3"/>
  <c r="AG336" i="3"/>
  <c r="AF336" i="3"/>
  <c r="AD336" i="3"/>
  <c r="AC336" i="3"/>
  <c r="AA336" i="3"/>
  <c r="Z336" i="3"/>
  <c r="Y336" i="3"/>
  <c r="X336" i="3"/>
  <c r="W336" i="3"/>
  <c r="AE336" i="3" s="1"/>
  <c r="V336" i="3"/>
  <c r="U336" i="3"/>
  <c r="T336" i="3"/>
  <c r="S336" i="3"/>
  <c r="AB336" i="3" s="1"/>
  <c r="AH335" i="3"/>
  <c r="AG335" i="3"/>
  <c r="AF335" i="3"/>
  <c r="AD335" i="3"/>
  <c r="AC335" i="3"/>
  <c r="AA335" i="3"/>
  <c r="Z335" i="3"/>
  <c r="Y335" i="3"/>
  <c r="X335" i="3"/>
  <c r="W335" i="3"/>
  <c r="V335" i="3"/>
  <c r="U335" i="3"/>
  <c r="T335" i="3"/>
  <c r="S335" i="3"/>
  <c r="AB335" i="3" s="1"/>
  <c r="AH334" i="3"/>
  <c r="AG334" i="3"/>
  <c r="AF334" i="3"/>
  <c r="AD334" i="3"/>
  <c r="AC334" i="3"/>
  <c r="AA334" i="3"/>
  <c r="Z334" i="3"/>
  <c r="Y334" i="3"/>
  <c r="X334" i="3"/>
  <c r="W334" i="3"/>
  <c r="V334" i="3"/>
  <c r="U334" i="3"/>
  <c r="T334" i="3"/>
  <c r="S334" i="3"/>
  <c r="AB334" i="3" s="1"/>
  <c r="AH333" i="3"/>
  <c r="AG333" i="3"/>
  <c r="AF333" i="3"/>
  <c r="AD333" i="3"/>
  <c r="AC333" i="3"/>
  <c r="AA333" i="3"/>
  <c r="Z333" i="3"/>
  <c r="Y333" i="3"/>
  <c r="X333" i="3"/>
  <c r="W333" i="3"/>
  <c r="AE333" i="3" s="1"/>
  <c r="V333" i="3"/>
  <c r="U333" i="3"/>
  <c r="T333" i="3"/>
  <c r="S333" i="3"/>
  <c r="AB333" i="3" s="1"/>
  <c r="AH332" i="3"/>
  <c r="AG332" i="3"/>
  <c r="AF332" i="3"/>
  <c r="AD332" i="3"/>
  <c r="AC332" i="3"/>
  <c r="AA332" i="3"/>
  <c r="Z332" i="3"/>
  <c r="Y332" i="3"/>
  <c r="X332" i="3"/>
  <c r="W332" i="3"/>
  <c r="AE332" i="3" s="1"/>
  <c r="V332" i="3"/>
  <c r="U332" i="3"/>
  <c r="T332" i="3"/>
  <c r="S332" i="3"/>
  <c r="AB332" i="3" s="1"/>
  <c r="AH331" i="3"/>
  <c r="AG331" i="3"/>
  <c r="AF331" i="3"/>
  <c r="AD331" i="3"/>
  <c r="AC331" i="3"/>
  <c r="AA331" i="3"/>
  <c r="Z331" i="3"/>
  <c r="Y331" i="3"/>
  <c r="X331" i="3"/>
  <c r="W331" i="3"/>
  <c r="V331" i="3"/>
  <c r="U331" i="3"/>
  <c r="T331" i="3"/>
  <c r="S331" i="3"/>
  <c r="AB331" i="3" s="1"/>
  <c r="AH330" i="3"/>
  <c r="AG330" i="3"/>
  <c r="AF330" i="3"/>
  <c r="AD330" i="3"/>
  <c r="AC330" i="3"/>
  <c r="AA330" i="3"/>
  <c r="Z330" i="3"/>
  <c r="Y330" i="3"/>
  <c r="X330" i="3"/>
  <c r="W330" i="3"/>
  <c r="V330" i="3"/>
  <c r="U330" i="3"/>
  <c r="T330" i="3"/>
  <c r="S330" i="3"/>
  <c r="AB330" i="3" s="1"/>
  <c r="AH329" i="3"/>
  <c r="AG329" i="3"/>
  <c r="AF329" i="3"/>
  <c r="AD329" i="3"/>
  <c r="AC329" i="3"/>
  <c r="AA329" i="3"/>
  <c r="Z329" i="3"/>
  <c r="Y329" i="3"/>
  <c r="X329" i="3"/>
  <c r="W329" i="3"/>
  <c r="AE329" i="3" s="1"/>
  <c r="V329" i="3"/>
  <c r="U329" i="3"/>
  <c r="T329" i="3"/>
  <c r="S329" i="3"/>
  <c r="AB329" i="3" s="1"/>
  <c r="AH328" i="3"/>
  <c r="AG328" i="3"/>
  <c r="AF328" i="3"/>
  <c r="AD328" i="3"/>
  <c r="AC328" i="3"/>
  <c r="AA328" i="3"/>
  <c r="Z328" i="3"/>
  <c r="Y328" i="3"/>
  <c r="X328" i="3"/>
  <c r="W328" i="3"/>
  <c r="AE328" i="3" s="1"/>
  <c r="V328" i="3"/>
  <c r="U328" i="3"/>
  <c r="T328" i="3"/>
  <c r="S328" i="3"/>
  <c r="AB328" i="3" s="1"/>
  <c r="AH327" i="3"/>
  <c r="AG327" i="3"/>
  <c r="AF327" i="3"/>
  <c r="AD327" i="3"/>
  <c r="AC327" i="3"/>
  <c r="AA327" i="3"/>
  <c r="Z327" i="3"/>
  <c r="Y327" i="3"/>
  <c r="X327" i="3"/>
  <c r="W327" i="3"/>
  <c r="V327" i="3"/>
  <c r="U327" i="3"/>
  <c r="T327" i="3"/>
  <c r="S327" i="3"/>
  <c r="AB327" i="3" s="1"/>
  <c r="AH326" i="3"/>
  <c r="AG326" i="3"/>
  <c r="AF326" i="3"/>
  <c r="AD326" i="3"/>
  <c r="AC326" i="3"/>
  <c r="AA326" i="3"/>
  <c r="Z326" i="3"/>
  <c r="Y326" i="3"/>
  <c r="X326" i="3"/>
  <c r="W326" i="3"/>
  <c r="V326" i="3"/>
  <c r="U326" i="3"/>
  <c r="T326" i="3"/>
  <c r="S326" i="3"/>
  <c r="AB326" i="3" s="1"/>
  <c r="AH325" i="3"/>
  <c r="AG325" i="3"/>
  <c r="AF325" i="3"/>
  <c r="AD325" i="3"/>
  <c r="AC325" i="3"/>
  <c r="AA325" i="3"/>
  <c r="Z325" i="3"/>
  <c r="Y325" i="3"/>
  <c r="X325" i="3"/>
  <c r="W325" i="3"/>
  <c r="AE325" i="3" s="1"/>
  <c r="V325" i="3"/>
  <c r="U325" i="3"/>
  <c r="T325" i="3"/>
  <c r="S325" i="3"/>
  <c r="AB325" i="3" s="1"/>
  <c r="AH324" i="3"/>
  <c r="AG324" i="3"/>
  <c r="AF324" i="3"/>
  <c r="AD324" i="3"/>
  <c r="AC324" i="3"/>
  <c r="AA324" i="3"/>
  <c r="Z324" i="3"/>
  <c r="Y324" i="3"/>
  <c r="X324" i="3"/>
  <c r="W324" i="3"/>
  <c r="AE324" i="3" s="1"/>
  <c r="AM282" i="3" s="1"/>
  <c r="V324" i="3"/>
  <c r="U324" i="3"/>
  <c r="T324" i="3"/>
  <c r="S324" i="3"/>
  <c r="AB324" i="3" s="1"/>
  <c r="AH323" i="3"/>
  <c r="AG323" i="3"/>
  <c r="AF323" i="3"/>
  <c r="AD323" i="3"/>
  <c r="AC323" i="3"/>
  <c r="AA323" i="3"/>
  <c r="Z323" i="3"/>
  <c r="Y323" i="3"/>
  <c r="X323" i="3"/>
  <c r="W323" i="3"/>
  <c r="V323" i="3"/>
  <c r="U323" i="3"/>
  <c r="T323" i="3"/>
  <c r="S323" i="3"/>
  <c r="AB323" i="3" s="1"/>
  <c r="AH322" i="3"/>
  <c r="AG322" i="3"/>
  <c r="AF322" i="3"/>
  <c r="AD322" i="3"/>
  <c r="AC322" i="3"/>
  <c r="AA322" i="3"/>
  <c r="Z322" i="3"/>
  <c r="Y322" i="3"/>
  <c r="X322" i="3"/>
  <c r="W322" i="3"/>
  <c r="V322" i="3"/>
  <c r="U322" i="3"/>
  <c r="T322" i="3"/>
  <c r="S322" i="3"/>
  <c r="AB322" i="3" s="1"/>
  <c r="AH321" i="3"/>
  <c r="AG321" i="3"/>
  <c r="AF321" i="3"/>
  <c r="AD321" i="3"/>
  <c r="AC321" i="3"/>
  <c r="AA321" i="3"/>
  <c r="Z321" i="3"/>
  <c r="Y321" i="3"/>
  <c r="X321" i="3"/>
  <c r="W321" i="3"/>
  <c r="AE321" i="3" s="1"/>
  <c r="V321" i="3"/>
  <c r="U321" i="3"/>
  <c r="T321" i="3"/>
  <c r="S321" i="3"/>
  <c r="AB321" i="3" s="1"/>
  <c r="AH320" i="3"/>
  <c r="AG320" i="3"/>
  <c r="AF320" i="3"/>
  <c r="AD320" i="3"/>
  <c r="AC320" i="3"/>
  <c r="AA320" i="3"/>
  <c r="Z320" i="3"/>
  <c r="Y320" i="3"/>
  <c r="X320" i="3"/>
  <c r="W320" i="3"/>
  <c r="AE320" i="3" s="1"/>
  <c r="AM262" i="3" s="1"/>
  <c r="V320" i="3"/>
  <c r="U320" i="3"/>
  <c r="T320" i="3"/>
  <c r="S320" i="3"/>
  <c r="AB320" i="3" s="1"/>
  <c r="AH319" i="3"/>
  <c r="AG319" i="3"/>
  <c r="AF319" i="3"/>
  <c r="AD319" i="3"/>
  <c r="AC319" i="3"/>
  <c r="AA319" i="3"/>
  <c r="Z319" i="3"/>
  <c r="Y319" i="3"/>
  <c r="X319" i="3"/>
  <c r="W319" i="3"/>
  <c r="V319" i="3"/>
  <c r="U319" i="3"/>
  <c r="T319" i="3"/>
  <c r="S319" i="3"/>
  <c r="AB319" i="3" s="1"/>
  <c r="AH318" i="3"/>
  <c r="AG318" i="3"/>
  <c r="AF318" i="3"/>
  <c r="AD318" i="3"/>
  <c r="AC318" i="3"/>
  <c r="AA318" i="3"/>
  <c r="Z318" i="3"/>
  <c r="Y318" i="3"/>
  <c r="X318" i="3"/>
  <c r="W318" i="3"/>
  <c r="V318" i="3"/>
  <c r="U318" i="3"/>
  <c r="T318" i="3"/>
  <c r="S318" i="3"/>
  <c r="AB318" i="3" s="1"/>
  <c r="AH317" i="3"/>
  <c r="AG317" i="3"/>
  <c r="AF317" i="3"/>
  <c r="AD317" i="3"/>
  <c r="AC317" i="3"/>
  <c r="AA317" i="3"/>
  <c r="Z317" i="3"/>
  <c r="Y317" i="3"/>
  <c r="X317" i="3"/>
  <c r="W317" i="3"/>
  <c r="E14" i="6" s="1"/>
  <c r="F14" i="6" s="1"/>
  <c r="H14" i="6" s="1"/>
  <c r="V317" i="3"/>
  <c r="U317" i="3"/>
  <c r="T317" i="3"/>
  <c r="S317" i="3"/>
  <c r="AB317" i="3" s="1"/>
  <c r="AH316" i="3"/>
  <c r="AG316" i="3"/>
  <c r="AF316" i="3"/>
  <c r="AD316" i="3"/>
  <c r="AC316" i="3"/>
  <c r="AA316" i="3"/>
  <c r="Z316" i="3"/>
  <c r="Y316" i="3"/>
  <c r="X316" i="3"/>
  <c r="W316" i="3"/>
  <c r="AE316" i="3" s="1"/>
  <c r="AM277" i="3" s="1"/>
  <c r="V316" i="3"/>
  <c r="U316" i="3"/>
  <c r="T316" i="3"/>
  <c r="S316" i="3"/>
  <c r="AB316" i="3" s="1"/>
  <c r="AH315" i="3"/>
  <c r="AG315" i="3"/>
  <c r="AF315" i="3"/>
  <c r="AD315" i="3"/>
  <c r="AC315" i="3"/>
  <c r="AA315" i="3"/>
  <c r="Z315" i="3"/>
  <c r="Y315" i="3"/>
  <c r="X315" i="3"/>
  <c r="W315" i="3"/>
  <c r="V315" i="3"/>
  <c r="U315" i="3"/>
  <c r="T315" i="3"/>
  <c r="S315" i="3"/>
  <c r="AB315" i="3" s="1"/>
  <c r="AH314" i="3"/>
  <c r="AG314" i="3"/>
  <c r="AF314" i="3"/>
  <c r="AD314" i="3"/>
  <c r="AC314" i="3"/>
  <c r="AA314" i="3"/>
  <c r="Z314" i="3"/>
  <c r="Y314" i="3"/>
  <c r="X314" i="3"/>
  <c r="W314" i="3"/>
  <c r="V314" i="3"/>
  <c r="U314" i="3"/>
  <c r="T314" i="3"/>
  <c r="S314" i="3"/>
  <c r="AB314" i="3" s="1"/>
  <c r="AH313" i="3"/>
  <c r="AG313" i="3"/>
  <c r="AF313" i="3"/>
  <c r="AD313" i="3"/>
  <c r="AC313" i="3"/>
  <c r="AA313" i="3"/>
  <c r="Z313" i="3"/>
  <c r="Y313" i="3"/>
  <c r="X313" i="3"/>
  <c r="W313" i="3"/>
  <c r="AE313" i="3" s="1"/>
  <c r="AM257" i="3" s="1"/>
  <c r="V313" i="3"/>
  <c r="U313" i="3"/>
  <c r="T313" i="3"/>
  <c r="S313" i="3"/>
  <c r="AB313" i="3" s="1"/>
  <c r="AH312" i="3"/>
  <c r="AG312" i="3"/>
  <c r="AF312" i="3"/>
  <c r="AD312" i="3"/>
  <c r="AC312" i="3"/>
  <c r="AA312" i="3"/>
  <c r="Z312" i="3"/>
  <c r="Y312" i="3"/>
  <c r="X312" i="3"/>
  <c r="W312" i="3"/>
  <c r="AE312" i="3" s="1"/>
  <c r="V312" i="3"/>
  <c r="U312" i="3"/>
  <c r="T312" i="3"/>
  <c r="S312" i="3"/>
  <c r="AB312" i="3" s="1"/>
  <c r="AH311" i="3"/>
  <c r="AG311" i="3"/>
  <c r="AF311" i="3"/>
  <c r="AD311" i="3"/>
  <c r="AC311" i="3"/>
  <c r="AA311" i="3"/>
  <c r="Z311" i="3"/>
  <c r="Y311" i="3"/>
  <c r="X311" i="3"/>
  <c r="W311" i="3"/>
  <c r="V311" i="3"/>
  <c r="U311" i="3"/>
  <c r="T311" i="3"/>
  <c r="S311" i="3"/>
  <c r="AB311" i="3" s="1"/>
  <c r="AH310" i="3"/>
  <c r="AG310" i="3"/>
  <c r="AF310" i="3"/>
  <c r="AD310" i="3"/>
  <c r="AC310" i="3"/>
  <c r="AA310" i="3"/>
  <c r="Z310" i="3"/>
  <c r="Y310" i="3"/>
  <c r="X310" i="3"/>
  <c r="W310" i="3"/>
  <c r="V310" i="3"/>
  <c r="U310" i="3"/>
  <c r="T310" i="3"/>
  <c r="S310" i="3"/>
  <c r="AB310" i="3" s="1"/>
  <c r="AH309" i="3"/>
  <c r="AG309" i="3"/>
  <c r="AF309" i="3"/>
  <c r="AD309" i="3"/>
  <c r="AC309" i="3"/>
  <c r="AA309" i="3"/>
  <c r="Z309" i="3"/>
  <c r="Y309" i="3"/>
  <c r="X309" i="3"/>
  <c r="W309" i="3"/>
  <c r="AE309" i="3" s="1"/>
  <c r="V309" i="3"/>
  <c r="U309" i="3"/>
  <c r="T309" i="3"/>
  <c r="S309" i="3"/>
  <c r="AB309" i="3" s="1"/>
  <c r="AH308" i="3"/>
  <c r="AG308" i="3"/>
  <c r="AF308" i="3"/>
  <c r="AD308" i="3"/>
  <c r="AC308" i="3"/>
  <c r="AA308" i="3"/>
  <c r="Z308" i="3"/>
  <c r="Y308" i="3"/>
  <c r="X308" i="3"/>
  <c r="W308" i="3"/>
  <c r="AE308" i="3" s="1"/>
  <c r="V308" i="3"/>
  <c r="U308" i="3"/>
  <c r="T308" i="3"/>
  <c r="S308" i="3"/>
  <c r="AB308" i="3" s="1"/>
  <c r="AH307" i="3"/>
  <c r="AG307" i="3"/>
  <c r="AF307" i="3"/>
  <c r="AD307" i="3"/>
  <c r="AC307" i="3"/>
  <c r="AA307" i="3"/>
  <c r="Z307" i="3"/>
  <c r="Y307" i="3"/>
  <c r="X307" i="3"/>
  <c r="W307" i="3"/>
  <c r="E10" i="6" s="1"/>
  <c r="V307" i="3"/>
  <c r="U307" i="3"/>
  <c r="T307" i="3"/>
  <c r="S307" i="3"/>
  <c r="AB307" i="3" s="1"/>
  <c r="AH306" i="3"/>
  <c r="AG306" i="3"/>
  <c r="AF306" i="3"/>
  <c r="AD306" i="3"/>
  <c r="AC306" i="3"/>
  <c r="AA306" i="3"/>
  <c r="Z306" i="3"/>
  <c r="Y306" i="3"/>
  <c r="X306" i="3"/>
  <c r="W306" i="3"/>
  <c r="V306" i="3"/>
  <c r="U306" i="3"/>
  <c r="T306" i="3"/>
  <c r="S306" i="3"/>
  <c r="AB306" i="3" s="1"/>
  <c r="AH305" i="3"/>
  <c r="AG305" i="3"/>
  <c r="AF305" i="3"/>
  <c r="AD305" i="3"/>
  <c r="AC305" i="3"/>
  <c r="AA305" i="3"/>
  <c r="Z305" i="3"/>
  <c r="Y305" i="3"/>
  <c r="X305" i="3"/>
  <c r="W305" i="3"/>
  <c r="E12" i="6" s="1"/>
  <c r="V305" i="3"/>
  <c r="U305" i="3"/>
  <c r="T305" i="3"/>
  <c r="S305" i="3"/>
  <c r="AB305" i="3" s="1"/>
  <c r="AH304" i="3"/>
  <c r="AF304" i="3"/>
  <c r="AD304" i="3"/>
  <c r="AC304" i="3"/>
  <c r="Z304" i="3"/>
  <c r="W304" i="3"/>
  <c r="AB304" i="3" s="1"/>
  <c r="V304" i="3"/>
  <c r="U304" i="3"/>
  <c r="T304" i="3"/>
  <c r="S304" i="3"/>
  <c r="AH303" i="3"/>
  <c r="AG303" i="3"/>
  <c r="AF303" i="3"/>
  <c r="AD303" i="3"/>
  <c r="AC303" i="3"/>
  <c r="AA303" i="3"/>
  <c r="Z303" i="3"/>
  <c r="Y303" i="3"/>
  <c r="X303" i="3"/>
  <c r="W303" i="3"/>
  <c r="AE303" i="3" s="1"/>
  <c r="V303" i="3"/>
  <c r="U303" i="3"/>
  <c r="T303" i="3"/>
  <c r="S303" i="3"/>
  <c r="AB303" i="3" s="1"/>
  <c r="AH302" i="3"/>
  <c r="AG302" i="3"/>
  <c r="AF302" i="3"/>
  <c r="AD302" i="3"/>
  <c r="AC302" i="3"/>
  <c r="AA302" i="3"/>
  <c r="Z302" i="3"/>
  <c r="Y302" i="3"/>
  <c r="X302" i="3"/>
  <c r="W302" i="3"/>
  <c r="AE302" i="3" s="1"/>
  <c r="V302" i="3"/>
  <c r="U302" i="3"/>
  <c r="T302" i="3"/>
  <c r="S302" i="3"/>
  <c r="AB302" i="3" s="1"/>
  <c r="BC301" i="3"/>
  <c r="BA301" i="3"/>
  <c r="AY301" i="3"/>
  <c r="AW301" i="3"/>
  <c r="AS301" i="3"/>
  <c r="AQ301" i="3"/>
  <c r="AO301" i="3"/>
  <c r="AM301" i="3"/>
  <c r="AH301" i="3"/>
  <c r="AF301" i="3"/>
  <c r="AD301" i="3"/>
  <c r="AC301" i="3"/>
  <c r="Z301" i="3"/>
  <c r="W301" i="3"/>
  <c r="AA301" i="3" s="1"/>
  <c r="V301" i="3"/>
  <c r="U301" i="3"/>
  <c r="T301" i="3"/>
  <c r="S301" i="3"/>
  <c r="AB301" i="3" s="1"/>
  <c r="BC300" i="3"/>
  <c r="BA300" i="3"/>
  <c r="AY300" i="3"/>
  <c r="AW300" i="3"/>
  <c r="AU300" i="3"/>
  <c r="AS300" i="3"/>
  <c r="AQ300" i="3"/>
  <c r="AO300" i="3"/>
  <c r="AG300" i="3"/>
  <c r="AF300" i="3"/>
  <c r="AD300" i="3"/>
  <c r="AC300" i="3"/>
  <c r="AA300" i="3"/>
  <c r="Z300" i="3"/>
  <c r="Y300" i="3"/>
  <c r="W300" i="3"/>
  <c r="AH300" i="3" s="1"/>
  <c r="V300" i="3"/>
  <c r="U300" i="3"/>
  <c r="T300" i="3"/>
  <c r="S300" i="3"/>
  <c r="AB300" i="3" s="1"/>
  <c r="BC299" i="3"/>
  <c r="BA299" i="3"/>
  <c r="AY299" i="3"/>
  <c r="AW299" i="3"/>
  <c r="AS299" i="3"/>
  <c r="AQ299" i="3"/>
  <c r="AO299" i="3"/>
  <c r="AM299" i="3"/>
  <c r="AH299" i="3"/>
  <c r="AF299" i="3"/>
  <c r="AD299" i="3"/>
  <c r="AC299" i="3"/>
  <c r="Z299" i="3"/>
  <c r="W299" i="3"/>
  <c r="AA299" i="3" s="1"/>
  <c r="V299" i="3"/>
  <c r="U299" i="3"/>
  <c r="T299" i="3"/>
  <c r="S299" i="3"/>
  <c r="AB299" i="3" s="1"/>
  <c r="BC298" i="3"/>
  <c r="BC304" i="3" s="1"/>
  <c r="BA298" i="3"/>
  <c r="BA304" i="3" s="1"/>
  <c r="AY298" i="3"/>
  <c r="AY303" i="3" s="1"/>
  <c r="AW298" i="3"/>
  <c r="AW303" i="3" s="1"/>
  <c r="AS298" i="3"/>
  <c r="AS304" i="3" s="1"/>
  <c r="AQ298" i="3"/>
  <c r="AQ303" i="3" s="1"/>
  <c r="AO298" i="3"/>
  <c r="AO303" i="3" s="1"/>
  <c r="AG298" i="3"/>
  <c r="AF298" i="3"/>
  <c r="AD298" i="3"/>
  <c r="AC298" i="3"/>
  <c r="AA298" i="3"/>
  <c r="Z298" i="3"/>
  <c r="Y298" i="3"/>
  <c r="W298" i="3"/>
  <c r="AH298" i="3" s="1"/>
  <c r="V298" i="3"/>
  <c r="U298" i="3"/>
  <c r="T298" i="3"/>
  <c r="S298" i="3"/>
  <c r="AB298" i="3" s="1"/>
  <c r="AH297" i="3"/>
  <c r="AF297" i="3"/>
  <c r="AD297" i="3"/>
  <c r="AC297" i="3"/>
  <c r="Z297" i="3"/>
  <c r="W297" i="3"/>
  <c r="AA297" i="3" s="1"/>
  <c r="V297" i="3"/>
  <c r="U297" i="3"/>
  <c r="T297" i="3"/>
  <c r="S297" i="3"/>
  <c r="AB297" i="3" s="1"/>
  <c r="AH296" i="3"/>
  <c r="AF296" i="3"/>
  <c r="AD296" i="3"/>
  <c r="AC296" i="3"/>
  <c r="Z296" i="3"/>
  <c r="W296" i="3"/>
  <c r="AA296" i="3" s="1"/>
  <c r="V296" i="3"/>
  <c r="U296" i="3"/>
  <c r="T296" i="3"/>
  <c r="S296" i="3"/>
  <c r="AB296" i="3" s="1"/>
  <c r="AH295" i="3"/>
  <c r="AF295" i="3"/>
  <c r="AD295" i="3"/>
  <c r="AC295" i="3"/>
  <c r="Z295" i="3"/>
  <c r="W295" i="3"/>
  <c r="AA295" i="3" s="1"/>
  <c r="V295" i="3"/>
  <c r="U295" i="3"/>
  <c r="T295" i="3"/>
  <c r="S295" i="3"/>
  <c r="AB295" i="3" s="1"/>
  <c r="AH294" i="3"/>
  <c r="AF294" i="3"/>
  <c r="AD294" i="3"/>
  <c r="AC294" i="3"/>
  <c r="Z294" i="3"/>
  <c r="W294" i="3"/>
  <c r="AA294" i="3" s="1"/>
  <c r="V294" i="3"/>
  <c r="U294" i="3"/>
  <c r="T294" i="3"/>
  <c r="S294" i="3"/>
  <c r="AB294" i="3" s="1"/>
  <c r="AH293" i="3"/>
  <c r="AF293" i="3"/>
  <c r="AD293" i="3"/>
  <c r="AC293" i="3"/>
  <c r="Z293" i="3"/>
  <c r="W293" i="3"/>
  <c r="AA293" i="3" s="1"/>
  <c r="V293" i="3"/>
  <c r="U293" i="3"/>
  <c r="T293" i="3"/>
  <c r="S293" i="3"/>
  <c r="AB293" i="3" s="1"/>
  <c r="AF292" i="3"/>
  <c r="AD292" i="3"/>
  <c r="AC292" i="3"/>
  <c r="Z292" i="3"/>
  <c r="W292" i="3"/>
  <c r="V292" i="3"/>
  <c r="U292" i="3"/>
  <c r="T292" i="3"/>
  <c r="S292" i="3"/>
  <c r="AF291" i="3"/>
  <c r="AD291" i="3"/>
  <c r="AC291" i="3"/>
  <c r="AB291" i="3"/>
  <c r="Z291" i="3"/>
  <c r="W291" i="3"/>
  <c r="X291" i="3" s="1"/>
  <c r="V291" i="3"/>
  <c r="U291" i="3"/>
  <c r="T291" i="3"/>
  <c r="S291" i="3"/>
  <c r="AH290" i="3"/>
  <c r="AG290" i="3"/>
  <c r="AF290" i="3"/>
  <c r="AD290" i="3"/>
  <c r="AC290" i="3"/>
  <c r="AB290" i="3"/>
  <c r="Z290" i="3"/>
  <c r="Y290" i="3"/>
  <c r="X290" i="3"/>
  <c r="W290" i="3"/>
  <c r="AA290" i="3" s="1"/>
  <c r="V290" i="3"/>
  <c r="U290" i="3"/>
  <c r="T290" i="3"/>
  <c r="S290" i="3"/>
  <c r="AG289" i="3"/>
  <c r="AF289" i="3"/>
  <c r="AD289" i="3"/>
  <c r="AC289" i="3"/>
  <c r="AA289" i="3"/>
  <c r="Z289" i="3"/>
  <c r="Y289" i="3"/>
  <c r="W289" i="3"/>
  <c r="AH289" i="3" s="1"/>
  <c r="V289" i="3"/>
  <c r="U289" i="3"/>
  <c r="T289" i="3"/>
  <c r="S289" i="3"/>
  <c r="AB289" i="3" s="1"/>
  <c r="AG288" i="3"/>
  <c r="AF288" i="3"/>
  <c r="AD288" i="3"/>
  <c r="AC288" i="3"/>
  <c r="AA288" i="3"/>
  <c r="Z288" i="3"/>
  <c r="Y288" i="3"/>
  <c r="W288" i="3"/>
  <c r="AH288" i="3" s="1"/>
  <c r="V288" i="3"/>
  <c r="U288" i="3"/>
  <c r="T288" i="3"/>
  <c r="S288" i="3"/>
  <c r="AB288" i="3" s="1"/>
  <c r="AH287" i="3"/>
  <c r="AF287" i="3"/>
  <c r="AD287" i="3"/>
  <c r="AC287" i="3"/>
  <c r="AA287" i="3"/>
  <c r="Z287" i="3"/>
  <c r="X287" i="3"/>
  <c r="W287" i="3"/>
  <c r="V287" i="3"/>
  <c r="U287" i="3"/>
  <c r="T287" i="3"/>
  <c r="S287" i="3"/>
  <c r="AB287" i="3" s="1"/>
  <c r="AF286" i="3"/>
  <c r="AD286" i="3"/>
  <c r="AC286" i="3"/>
  <c r="AA286" i="3"/>
  <c r="Z286" i="3"/>
  <c r="X286" i="3"/>
  <c r="W286" i="3"/>
  <c r="AH286" i="3" s="1"/>
  <c r="V286" i="3"/>
  <c r="U286" i="3"/>
  <c r="T286" i="3"/>
  <c r="S286" i="3"/>
  <c r="AB286" i="3" s="1"/>
  <c r="AH285" i="3"/>
  <c r="AG285" i="3"/>
  <c r="AF285" i="3"/>
  <c r="AD285" i="3"/>
  <c r="AC285" i="3"/>
  <c r="AB285" i="3"/>
  <c r="Z285" i="3"/>
  <c r="Y285" i="3"/>
  <c r="X285" i="3"/>
  <c r="W285" i="3"/>
  <c r="V285" i="3"/>
  <c r="U285" i="3"/>
  <c r="T285" i="3"/>
  <c r="S285" i="3"/>
  <c r="AH284" i="3"/>
  <c r="AF284" i="3"/>
  <c r="AD284" i="3"/>
  <c r="AC284" i="3"/>
  <c r="Z284" i="3"/>
  <c r="W284" i="3"/>
  <c r="AA284" i="3" s="1"/>
  <c r="V284" i="3"/>
  <c r="U284" i="3"/>
  <c r="T284" i="3"/>
  <c r="S284" i="3"/>
  <c r="AB284" i="3" s="1"/>
  <c r="AH283" i="3"/>
  <c r="AF283" i="3"/>
  <c r="AD283" i="3"/>
  <c r="AC283" i="3"/>
  <c r="Z283" i="3"/>
  <c r="W283" i="3"/>
  <c r="AA283" i="3" s="1"/>
  <c r="V283" i="3"/>
  <c r="U283" i="3"/>
  <c r="T283" i="3"/>
  <c r="S283" i="3"/>
  <c r="AB283" i="3" s="1"/>
  <c r="AO282" i="3"/>
  <c r="AF282" i="3"/>
  <c r="AD282" i="3"/>
  <c r="AC282" i="3"/>
  <c r="Z282" i="3"/>
  <c r="W282" i="3"/>
  <c r="V282" i="3"/>
  <c r="U282" i="3"/>
  <c r="T282" i="3"/>
  <c r="S282" i="3"/>
  <c r="AF281" i="3"/>
  <c r="AD281" i="3"/>
  <c r="AC281" i="3"/>
  <c r="AB281" i="3"/>
  <c r="Z281" i="3"/>
  <c r="W281" i="3"/>
  <c r="X281" i="3" s="1"/>
  <c r="V281" i="3"/>
  <c r="U281" i="3"/>
  <c r="T281" i="3"/>
  <c r="S281" i="3"/>
  <c r="AH280" i="3"/>
  <c r="AG280" i="3"/>
  <c r="AF280" i="3"/>
  <c r="AD280" i="3"/>
  <c r="AC280" i="3"/>
  <c r="AB280" i="3"/>
  <c r="Z280" i="3"/>
  <c r="Y280" i="3"/>
  <c r="X280" i="3"/>
  <c r="W280" i="3"/>
  <c r="AA280" i="3" s="1"/>
  <c r="V280" i="3"/>
  <c r="U280" i="3"/>
  <c r="T280" i="3"/>
  <c r="S280" i="3"/>
  <c r="AG279" i="3"/>
  <c r="AF279" i="3"/>
  <c r="AD279" i="3"/>
  <c r="AC279" i="3"/>
  <c r="AA279" i="3"/>
  <c r="Z279" i="3"/>
  <c r="Y279" i="3"/>
  <c r="W279" i="3"/>
  <c r="AH279" i="3" s="1"/>
  <c r="V279" i="3"/>
  <c r="U279" i="3"/>
  <c r="T279" i="3"/>
  <c r="S279" i="3"/>
  <c r="AB279" i="3" s="1"/>
  <c r="AG278" i="3"/>
  <c r="AF278" i="3"/>
  <c r="AD278" i="3"/>
  <c r="AC278" i="3"/>
  <c r="AA278" i="3"/>
  <c r="Z278" i="3"/>
  <c r="Y278" i="3"/>
  <c r="W278" i="3"/>
  <c r="AH278" i="3" s="1"/>
  <c r="V278" i="3"/>
  <c r="U278" i="3"/>
  <c r="T278" i="3"/>
  <c r="S278" i="3"/>
  <c r="AB278" i="3" s="1"/>
  <c r="AQ277" i="3"/>
  <c r="AH277" i="3"/>
  <c r="AF277" i="3"/>
  <c r="AD277" i="3"/>
  <c r="AC277" i="3"/>
  <c r="AA277" i="3"/>
  <c r="Z277" i="3"/>
  <c r="X277" i="3"/>
  <c r="W277" i="3"/>
  <c r="AE277" i="3" s="1"/>
  <c r="V277" i="3"/>
  <c r="U277" i="3"/>
  <c r="T277" i="3"/>
  <c r="S277" i="3"/>
  <c r="AB277" i="3" s="1"/>
  <c r="AF276" i="3"/>
  <c r="AD276" i="3"/>
  <c r="AC276" i="3"/>
  <c r="AA276" i="3"/>
  <c r="Z276" i="3"/>
  <c r="X276" i="3"/>
  <c r="W276" i="3"/>
  <c r="AH276" i="3" s="1"/>
  <c r="V276" i="3"/>
  <c r="U276" i="3"/>
  <c r="T276" i="3"/>
  <c r="S276" i="3"/>
  <c r="AB276" i="3" s="1"/>
  <c r="AH275" i="3"/>
  <c r="AG275" i="3"/>
  <c r="AF275" i="3"/>
  <c r="AD275" i="3"/>
  <c r="AC275" i="3"/>
  <c r="AB275" i="3"/>
  <c r="AA275" i="3"/>
  <c r="Z275" i="3"/>
  <c r="Y275" i="3"/>
  <c r="X275" i="3"/>
  <c r="W275" i="3"/>
  <c r="AE275" i="3" s="1"/>
  <c r="V275" i="3"/>
  <c r="U275" i="3"/>
  <c r="T275" i="3"/>
  <c r="S275" i="3"/>
  <c r="AH274" i="3"/>
  <c r="AF274" i="3"/>
  <c r="AD274" i="3"/>
  <c r="AC274" i="3"/>
  <c r="Z274" i="3"/>
  <c r="W274" i="3"/>
  <c r="AA274" i="3" s="1"/>
  <c r="V274" i="3"/>
  <c r="U274" i="3"/>
  <c r="T274" i="3"/>
  <c r="S274" i="3"/>
  <c r="AB274" i="3" s="1"/>
  <c r="AH273" i="3"/>
  <c r="AF273" i="3"/>
  <c r="AD273" i="3"/>
  <c r="AC273" i="3"/>
  <c r="Z273" i="3"/>
  <c r="W273" i="3"/>
  <c r="AA273" i="3" s="1"/>
  <c r="V273" i="3"/>
  <c r="U273" i="3"/>
  <c r="T273" i="3"/>
  <c r="S273" i="3"/>
  <c r="AB273" i="3" s="1"/>
  <c r="AS272" i="3"/>
  <c r="AF272" i="3"/>
  <c r="AD272" i="3"/>
  <c r="AC272" i="3"/>
  <c r="Z272" i="3"/>
  <c r="W272" i="3"/>
  <c r="V272" i="3"/>
  <c r="U272" i="3"/>
  <c r="T272" i="3"/>
  <c r="S272" i="3"/>
  <c r="AF271" i="3"/>
  <c r="AD271" i="3"/>
  <c r="AC271" i="3"/>
  <c r="AB271" i="3"/>
  <c r="Z271" i="3"/>
  <c r="W271" i="3"/>
  <c r="X271" i="3" s="1"/>
  <c r="V271" i="3"/>
  <c r="U271" i="3"/>
  <c r="T271" i="3"/>
  <c r="S271" i="3"/>
  <c r="AH270" i="3"/>
  <c r="AG270" i="3"/>
  <c r="AF270" i="3"/>
  <c r="AD270" i="3"/>
  <c r="AC270" i="3"/>
  <c r="AB270" i="3"/>
  <c r="Z270" i="3"/>
  <c r="Y270" i="3"/>
  <c r="X270" i="3"/>
  <c r="W270" i="3"/>
  <c r="AA270" i="3" s="1"/>
  <c r="V270" i="3"/>
  <c r="U270" i="3"/>
  <c r="T270" i="3"/>
  <c r="S270" i="3"/>
  <c r="AG269" i="3"/>
  <c r="AF269" i="3"/>
  <c r="AD269" i="3"/>
  <c r="AC269" i="3"/>
  <c r="AA269" i="3"/>
  <c r="Z269" i="3"/>
  <c r="Y269" i="3"/>
  <c r="W269" i="3"/>
  <c r="AH269" i="3" s="1"/>
  <c r="V269" i="3"/>
  <c r="U269" i="3"/>
  <c r="T269" i="3"/>
  <c r="S269" i="3"/>
  <c r="AB269" i="3" s="1"/>
  <c r="AG268" i="3"/>
  <c r="AF268" i="3"/>
  <c r="AD268" i="3"/>
  <c r="AC268" i="3"/>
  <c r="AA268" i="3"/>
  <c r="Z268" i="3"/>
  <c r="Y268" i="3"/>
  <c r="W268" i="3"/>
  <c r="AH268" i="3" s="1"/>
  <c r="V268" i="3"/>
  <c r="U268" i="3"/>
  <c r="T268" i="3"/>
  <c r="S268" i="3"/>
  <c r="AB268" i="3" s="1"/>
  <c r="AH267" i="3"/>
  <c r="AF267" i="3"/>
  <c r="AD267" i="3"/>
  <c r="AC267" i="3"/>
  <c r="AA267" i="3"/>
  <c r="Z267" i="3"/>
  <c r="X267" i="3"/>
  <c r="W267" i="3"/>
  <c r="V267" i="3"/>
  <c r="U267" i="3"/>
  <c r="T267" i="3"/>
  <c r="S267" i="3"/>
  <c r="AB267" i="3" s="1"/>
  <c r="AF266" i="3"/>
  <c r="AD266" i="3"/>
  <c r="AC266" i="3"/>
  <c r="AA266" i="3"/>
  <c r="Z266" i="3"/>
  <c r="X266" i="3"/>
  <c r="W266" i="3"/>
  <c r="AH266" i="3" s="1"/>
  <c r="V266" i="3"/>
  <c r="U266" i="3"/>
  <c r="T266" i="3"/>
  <c r="S266" i="3"/>
  <c r="AB266" i="3" s="1"/>
  <c r="AH265" i="3"/>
  <c r="AG265" i="3"/>
  <c r="AF265" i="3"/>
  <c r="AD265" i="3"/>
  <c r="AC265" i="3"/>
  <c r="AB265" i="3"/>
  <c r="AA265" i="3"/>
  <c r="Z265" i="3"/>
  <c r="Y265" i="3"/>
  <c r="X265" i="3"/>
  <c r="W265" i="3"/>
  <c r="V265" i="3"/>
  <c r="U265" i="3"/>
  <c r="T265" i="3"/>
  <c r="S265" i="3"/>
  <c r="AQ264" i="3"/>
  <c r="AH264" i="3"/>
  <c r="AF264" i="3"/>
  <c r="AD264" i="3"/>
  <c r="AC264" i="3"/>
  <c r="Z264" i="3"/>
  <c r="W264" i="3"/>
  <c r="AA264" i="3" s="1"/>
  <c r="V264" i="3"/>
  <c r="U264" i="3"/>
  <c r="T264" i="3"/>
  <c r="S264" i="3"/>
  <c r="AB264" i="3" s="1"/>
  <c r="AH263" i="3"/>
  <c r="AF263" i="3"/>
  <c r="AD263" i="3"/>
  <c r="AC263" i="3"/>
  <c r="Z263" i="3"/>
  <c r="W263" i="3"/>
  <c r="AA263" i="3" s="1"/>
  <c r="V263" i="3"/>
  <c r="U263" i="3"/>
  <c r="T263" i="3"/>
  <c r="S263" i="3"/>
  <c r="AB263" i="3" s="1"/>
  <c r="AF262" i="3"/>
  <c r="AD262" i="3"/>
  <c r="AC262" i="3"/>
  <c r="Z262" i="3"/>
  <c r="W262" i="3"/>
  <c r="V262" i="3"/>
  <c r="U262" i="3"/>
  <c r="T262" i="3"/>
  <c r="S262" i="3"/>
  <c r="AF261" i="3"/>
  <c r="AD261" i="3"/>
  <c r="AC261" i="3"/>
  <c r="AB261" i="3"/>
  <c r="Z261" i="3"/>
  <c r="W261" i="3"/>
  <c r="X261" i="3" s="1"/>
  <c r="V261" i="3"/>
  <c r="U261" i="3"/>
  <c r="T261" i="3"/>
  <c r="S261" i="3"/>
  <c r="AH260" i="3"/>
  <c r="AG260" i="3"/>
  <c r="AF260" i="3"/>
  <c r="AM300" i="3" s="1"/>
  <c r="AK300" i="3" s="1"/>
  <c r="AD260" i="3"/>
  <c r="AC260" i="3"/>
  <c r="AB260" i="3"/>
  <c r="Z260" i="3"/>
  <c r="Y260" i="3"/>
  <c r="X260" i="3"/>
  <c r="W260" i="3"/>
  <c r="AA260" i="3" s="1"/>
  <c r="V260" i="3"/>
  <c r="U260" i="3"/>
  <c r="T260" i="3"/>
  <c r="S260" i="3"/>
  <c r="AQ259" i="3"/>
  <c r="AG259" i="3"/>
  <c r="AF259" i="3"/>
  <c r="AD259" i="3"/>
  <c r="AC259" i="3"/>
  <c r="AA259" i="3"/>
  <c r="Z259" i="3"/>
  <c r="Y259" i="3"/>
  <c r="W259" i="3"/>
  <c r="AH259" i="3" s="1"/>
  <c r="V259" i="3"/>
  <c r="U259" i="3"/>
  <c r="T259" i="3"/>
  <c r="S259" i="3"/>
  <c r="AB259" i="3" s="1"/>
  <c r="AG258" i="3"/>
  <c r="AF258" i="3"/>
  <c r="AD258" i="3"/>
  <c r="AC258" i="3"/>
  <c r="AA258" i="3"/>
  <c r="Z258" i="3"/>
  <c r="Y258" i="3"/>
  <c r="W258" i="3"/>
  <c r="AH258" i="3" s="1"/>
  <c r="V258" i="3"/>
  <c r="U258" i="3"/>
  <c r="T258" i="3"/>
  <c r="S258" i="3"/>
  <c r="AB258" i="3" s="1"/>
  <c r="AH257" i="3"/>
  <c r="AF257" i="3"/>
  <c r="AD257" i="3"/>
  <c r="AC257" i="3"/>
  <c r="AA257" i="3"/>
  <c r="Z257" i="3"/>
  <c r="X257" i="3"/>
  <c r="W257" i="3"/>
  <c r="V257" i="3"/>
  <c r="U257" i="3"/>
  <c r="T257" i="3"/>
  <c r="S257" i="3"/>
  <c r="AB257" i="3" s="1"/>
  <c r="AF256" i="3"/>
  <c r="AD256" i="3"/>
  <c r="AC256" i="3"/>
  <c r="AA256" i="3"/>
  <c r="Z256" i="3"/>
  <c r="X256" i="3"/>
  <c r="W256" i="3"/>
  <c r="AH256" i="3" s="1"/>
  <c r="V256" i="3"/>
  <c r="U256" i="3"/>
  <c r="T256" i="3"/>
  <c r="S256" i="3"/>
  <c r="AB256" i="3" s="1"/>
  <c r="AO255" i="3"/>
  <c r="AH255" i="3"/>
  <c r="AG255" i="3"/>
  <c r="AF255" i="3"/>
  <c r="AD255" i="3"/>
  <c r="AC255" i="3"/>
  <c r="AB255" i="3"/>
  <c r="AA255" i="3"/>
  <c r="Z255" i="3"/>
  <c r="Y255" i="3"/>
  <c r="X255" i="3"/>
  <c r="W255" i="3"/>
  <c r="AE255" i="3" s="1"/>
  <c r="V255" i="3"/>
  <c r="U255" i="3"/>
  <c r="T255" i="3"/>
  <c r="S255" i="3"/>
  <c r="AH254" i="3"/>
  <c r="AF254" i="3"/>
  <c r="AD254" i="3"/>
  <c r="AC254" i="3"/>
  <c r="Z254" i="3"/>
  <c r="W254" i="3"/>
  <c r="AA254" i="3" s="1"/>
  <c r="V254" i="3"/>
  <c r="U254" i="3"/>
  <c r="T254" i="3"/>
  <c r="S254" i="3"/>
  <c r="AB254" i="3" s="1"/>
  <c r="AH253" i="3"/>
  <c r="AF253" i="3"/>
  <c r="AD253" i="3"/>
  <c r="AC253" i="3"/>
  <c r="Z253" i="3"/>
  <c r="W253" i="3"/>
  <c r="AA253" i="3" s="1"/>
  <c r="V253" i="3"/>
  <c r="U253" i="3"/>
  <c r="T253" i="3"/>
  <c r="S253" i="3"/>
  <c r="AB253" i="3" s="1"/>
  <c r="AF252" i="3"/>
  <c r="AD252" i="3"/>
  <c r="AC252" i="3"/>
  <c r="Z252" i="3"/>
  <c r="W252" i="3"/>
  <c r="V252" i="3"/>
  <c r="U252" i="3"/>
  <c r="T252" i="3"/>
  <c r="S252" i="3"/>
  <c r="AF251" i="3"/>
  <c r="AD251" i="3"/>
  <c r="AC251" i="3"/>
  <c r="AB251" i="3"/>
  <c r="Z251" i="3"/>
  <c r="W251" i="3"/>
  <c r="X251" i="3" s="1"/>
  <c r="V251" i="3"/>
  <c r="U251" i="3"/>
  <c r="T251" i="3"/>
  <c r="S251" i="3"/>
  <c r="AH250" i="3"/>
  <c r="AG250" i="3"/>
  <c r="AF250" i="3"/>
  <c r="AD250" i="3"/>
  <c r="AC250" i="3"/>
  <c r="AB250" i="3"/>
  <c r="Z250" i="3"/>
  <c r="Y250" i="3"/>
  <c r="X250" i="3"/>
  <c r="W250" i="3"/>
  <c r="AA250" i="3" s="1"/>
  <c r="V250" i="3"/>
  <c r="U250" i="3"/>
  <c r="T250" i="3"/>
  <c r="S250" i="3"/>
  <c r="AG249" i="3"/>
  <c r="AF249" i="3"/>
  <c r="AD249" i="3"/>
  <c r="AC249" i="3"/>
  <c r="AA249" i="3"/>
  <c r="Z249" i="3"/>
  <c r="Y249" i="3"/>
  <c r="W249" i="3"/>
  <c r="AH249" i="3" s="1"/>
  <c r="V249" i="3"/>
  <c r="U249" i="3"/>
  <c r="T249" i="3"/>
  <c r="S249" i="3"/>
  <c r="AB249" i="3" s="1"/>
  <c r="AG248" i="3"/>
  <c r="AF248" i="3"/>
  <c r="AD248" i="3"/>
  <c r="AC248" i="3"/>
  <c r="AA248" i="3"/>
  <c r="Z248" i="3"/>
  <c r="Y248" i="3"/>
  <c r="W248" i="3"/>
  <c r="AH248" i="3" s="1"/>
  <c r="V248" i="3"/>
  <c r="U248" i="3"/>
  <c r="T248" i="3"/>
  <c r="S248" i="3"/>
  <c r="AB248" i="3" s="1"/>
  <c r="AQ247" i="3"/>
  <c r="AH247" i="3"/>
  <c r="AF247" i="3"/>
  <c r="AD247" i="3"/>
  <c r="AC247" i="3"/>
  <c r="AA247" i="3"/>
  <c r="Z247" i="3"/>
  <c r="X247" i="3"/>
  <c r="W247" i="3"/>
  <c r="V247" i="3"/>
  <c r="U247" i="3"/>
  <c r="T247" i="3"/>
  <c r="S247" i="3"/>
  <c r="AB247" i="3" s="1"/>
  <c r="AF246" i="3"/>
  <c r="AD246" i="3"/>
  <c r="AC246" i="3"/>
  <c r="AA246" i="3"/>
  <c r="Z246" i="3"/>
  <c r="X246" i="3"/>
  <c r="W246" i="3"/>
  <c r="AH246" i="3" s="1"/>
  <c r="V246" i="3"/>
  <c r="U246" i="3"/>
  <c r="T246" i="3"/>
  <c r="S246" i="3"/>
  <c r="AB246" i="3" s="1"/>
  <c r="AH245" i="3"/>
  <c r="AG245" i="3"/>
  <c r="AF245" i="3"/>
  <c r="AD245" i="3"/>
  <c r="AC245" i="3"/>
  <c r="AB245" i="3"/>
  <c r="AA245" i="3"/>
  <c r="Z245" i="3"/>
  <c r="Y245" i="3"/>
  <c r="X245" i="3"/>
  <c r="W245" i="3"/>
  <c r="AE245" i="3" s="1"/>
  <c r="V245" i="3"/>
  <c r="U245" i="3"/>
  <c r="T245" i="3"/>
  <c r="S245" i="3"/>
  <c r="AH244" i="3"/>
  <c r="AF244" i="3"/>
  <c r="AD244" i="3"/>
  <c r="AC244" i="3"/>
  <c r="Z244" i="3"/>
  <c r="W244" i="3"/>
  <c r="AA244" i="3" s="1"/>
  <c r="V244" i="3"/>
  <c r="U244" i="3"/>
  <c r="T244" i="3"/>
  <c r="S244" i="3"/>
  <c r="AB244" i="3" s="1"/>
  <c r="AH243" i="3"/>
  <c r="AF243" i="3"/>
  <c r="AD243" i="3"/>
  <c r="AC243" i="3"/>
  <c r="Z243" i="3"/>
  <c r="W243" i="3"/>
  <c r="AA243" i="3" s="1"/>
  <c r="V243" i="3"/>
  <c r="U243" i="3"/>
  <c r="T243" i="3"/>
  <c r="S243" i="3"/>
  <c r="AB243" i="3" s="1"/>
  <c r="AF242" i="3"/>
  <c r="AD242" i="3"/>
  <c r="AC242" i="3"/>
  <c r="Z242" i="3"/>
  <c r="W242" i="3"/>
  <c r="V242" i="3"/>
  <c r="U242" i="3"/>
  <c r="T242" i="3"/>
  <c r="S242" i="3"/>
  <c r="AF241" i="3"/>
  <c r="AD241" i="3"/>
  <c r="AC241" i="3"/>
  <c r="AB241" i="3"/>
  <c r="Z241" i="3"/>
  <c r="W241" i="3"/>
  <c r="X241" i="3" s="1"/>
  <c r="V241" i="3"/>
  <c r="U241" i="3"/>
  <c r="T241" i="3"/>
  <c r="S241" i="3"/>
  <c r="AH240" i="3"/>
  <c r="AG240" i="3"/>
  <c r="AF240" i="3"/>
  <c r="AD240" i="3"/>
  <c r="AC240" i="3"/>
  <c r="AB240" i="3"/>
  <c r="Z240" i="3"/>
  <c r="Y240" i="3"/>
  <c r="X240" i="3"/>
  <c r="W240" i="3"/>
  <c r="AA240" i="3" s="1"/>
  <c r="V240" i="3"/>
  <c r="U240" i="3"/>
  <c r="T240" i="3"/>
  <c r="S240" i="3"/>
  <c r="AG239" i="3"/>
  <c r="AF239" i="3"/>
  <c r="AD239" i="3"/>
  <c r="AC239" i="3"/>
  <c r="AA239" i="3"/>
  <c r="Z239" i="3"/>
  <c r="Y239" i="3"/>
  <c r="W239" i="3"/>
  <c r="AH239" i="3" s="1"/>
  <c r="V239" i="3"/>
  <c r="U239" i="3"/>
  <c r="T239" i="3"/>
  <c r="S239" i="3"/>
  <c r="AB239" i="3" s="1"/>
  <c r="AG238" i="3"/>
  <c r="AF238" i="3"/>
  <c r="AD238" i="3"/>
  <c r="AC238" i="3"/>
  <c r="AA238" i="3"/>
  <c r="Z238" i="3"/>
  <c r="Y238" i="3"/>
  <c r="W238" i="3"/>
  <c r="AH238" i="3" s="1"/>
  <c r="V238" i="3"/>
  <c r="U238" i="3"/>
  <c r="T238" i="3"/>
  <c r="S238" i="3"/>
  <c r="AB238" i="3" s="1"/>
  <c r="AG237" i="3"/>
  <c r="AF237" i="3"/>
  <c r="AD237" i="3"/>
  <c r="AC237" i="3"/>
  <c r="AA237" i="3"/>
  <c r="Z237" i="3"/>
  <c r="Y237" i="3"/>
  <c r="W237" i="3"/>
  <c r="AH237" i="3" s="1"/>
  <c r="V237" i="3"/>
  <c r="U237" i="3"/>
  <c r="T237" i="3"/>
  <c r="S237" i="3"/>
  <c r="AB237" i="3" s="1"/>
  <c r="AG236" i="3"/>
  <c r="AF236" i="3"/>
  <c r="AD236" i="3"/>
  <c r="AC236" i="3"/>
  <c r="AA236" i="3"/>
  <c r="Z236" i="3"/>
  <c r="Y236" i="3"/>
  <c r="W236" i="3"/>
  <c r="AH236" i="3" s="1"/>
  <c r="V236" i="3"/>
  <c r="U236" i="3"/>
  <c r="T236" i="3"/>
  <c r="S236" i="3"/>
  <c r="AB236" i="3" s="1"/>
  <c r="AG235" i="3"/>
  <c r="AF235" i="3"/>
  <c r="AD235" i="3"/>
  <c r="AC235" i="3"/>
  <c r="AA235" i="3"/>
  <c r="Z235" i="3"/>
  <c r="Y235" i="3"/>
  <c r="W235" i="3"/>
  <c r="AH235" i="3" s="1"/>
  <c r="V235" i="3"/>
  <c r="U235" i="3"/>
  <c r="T235" i="3"/>
  <c r="S235" i="3"/>
  <c r="AB235" i="3" s="1"/>
  <c r="AZ234" i="3"/>
  <c r="AH234" i="3"/>
  <c r="AF234" i="3"/>
  <c r="AD234" i="3"/>
  <c r="AC234" i="3"/>
  <c r="Z234" i="3"/>
  <c r="W234" i="3"/>
  <c r="AA234" i="3" s="1"/>
  <c r="V234" i="3"/>
  <c r="U234" i="3"/>
  <c r="T234" i="3"/>
  <c r="S234" i="3"/>
  <c r="AB234" i="3" s="1"/>
  <c r="BD233" i="3"/>
  <c r="AV233" i="3"/>
  <c r="AN233" i="3"/>
  <c r="AG233" i="3"/>
  <c r="AF233" i="3"/>
  <c r="AD233" i="3"/>
  <c r="AC233" i="3"/>
  <c r="AA233" i="3"/>
  <c r="Z233" i="3"/>
  <c r="Y233" i="3"/>
  <c r="W233" i="3"/>
  <c r="AH233" i="3" s="1"/>
  <c r="V233" i="3"/>
  <c r="U233" i="3"/>
  <c r="T233" i="3"/>
  <c r="S233" i="3"/>
  <c r="AB233" i="3" s="1"/>
  <c r="AG232" i="3"/>
  <c r="AF232" i="3"/>
  <c r="AD232" i="3"/>
  <c r="AC232" i="3"/>
  <c r="AA232" i="3"/>
  <c r="Z232" i="3"/>
  <c r="Y232" i="3"/>
  <c r="W232" i="3"/>
  <c r="AH232" i="3" s="1"/>
  <c r="V232" i="3"/>
  <c r="U232" i="3"/>
  <c r="T232" i="3"/>
  <c r="S232" i="3"/>
  <c r="AB232" i="3" s="1"/>
  <c r="BD231" i="3"/>
  <c r="BC231" i="3"/>
  <c r="BB231" i="3"/>
  <c r="BA231" i="3"/>
  <c r="AZ231" i="3"/>
  <c r="AX231" i="3"/>
  <c r="AW231" i="3"/>
  <c r="AV231" i="3"/>
  <c r="AT231" i="3"/>
  <c r="AS231" i="3"/>
  <c r="AR231" i="3"/>
  <c r="AP231" i="3"/>
  <c r="AO231" i="3"/>
  <c r="AN231" i="3"/>
  <c r="AM231" i="3"/>
  <c r="AH231" i="3"/>
  <c r="AF231" i="3"/>
  <c r="AD231" i="3"/>
  <c r="AC231" i="3"/>
  <c r="Z231" i="3"/>
  <c r="W231" i="3"/>
  <c r="AA231" i="3" s="1"/>
  <c r="V231" i="3"/>
  <c r="U231" i="3"/>
  <c r="T231" i="3"/>
  <c r="S231" i="3"/>
  <c r="AB231" i="3" s="1"/>
  <c r="BD230" i="3"/>
  <c r="BC230" i="3"/>
  <c r="BB230" i="3"/>
  <c r="BA230" i="3"/>
  <c r="AZ230" i="3"/>
  <c r="AY230" i="3"/>
  <c r="AX230" i="3"/>
  <c r="AW230" i="3"/>
  <c r="AV230" i="3"/>
  <c r="AU230" i="3"/>
  <c r="AT230" i="3"/>
  <c r="AS230" i="3"/>
  <c r="AR230" i="3"/>
  <c r="AQ230" i="3"/>
  <c r="AP230" i="3"/>
  <c r="AO230" i="3"/>
  <c r="AN230" i="3"/>
  <c r="AL230" i="3" s="1"/>
  <c r="AG230" i="3"/>
  <c r="AF230" i="3"/>
  <c r="AD230" i="3"/>
  <c r="AC230" i="3"/>
  <c r="AA230" i="3"/>
  <c r="Z230" i="3"/>
  <c r="Y230" i="3"/>
  <c r="W230" i="3"/>
  <c r="AH230" i="3" s="1"/>
  <c r="V230" i="3"/>
  <c r="U230" i="3"/>
  <c r="T230" i="3"/>
  <c r="S230" i="3"/>
  <c r="AB230" i="3" s="1"/>
  <c r="BD229" i="3"/>
  <c r="BC229" i="3"/>
  <c r="BB229" i="3"/>
  <c r="BA229" i="3"/>
  <c r="AZ229" i="3"/>
  <c r="AX229" i="3"/>
  <c r="AW229" i="3"/>
  <c r="AV229" i="3"/>
  <c r="AT229" i="3"/>
  <c r="AS229" i="3"/>
  <c r="AR229" i="3"/>
  <c r="AR234" i="3" s="1"/>
  <c r="AQ229" i="3"/>
  <c r="AP229" i="3"/>
  <c r="AO229" i="3"/>
  <c r="AN229" i="3"/>
  <c r="AM229" i="3"/>
  <c r="AH229" i="3"/>
  <c r="AF229" i="3"/>
  <c r="AD229" i="3"/>
  <c r="AC229" i="3"/>
  <c r="Z229" i="3"/>
  <c r="W229" i="3"/>
  <c r="AA229" i="3" s="1"/>
  <c r="V229" i="3"/>
  <c r="U229" i="3"/>
  <c r="T229" i="3"/>
  <c r="S229" i="3"/>
  <c r="AB229" i="3" s="1"/>
  <c r="BD228" i="3"/>
  <c r="BC228" i="3"/>
  <c r="BC234" i="3" s="1"/>
  <c r="BB228" i="3"/>
  <c r="BB234" i="3" s="1"/>
  <c r="BA228" i="3"/>
  <c r="AZ228" i="3"/>
  <c r="AX228" i="3"/>
  <c r="AX234" i="3" s="1"/>
  <c r="AW228" i="3"/>
  <c r="AW234" i="3" s="1"/>
  <c r="AV228" i="3"/>
  <c r="AV234" i="3" s="1"/>
  <c r="AT228" i="3"/>
  <c r="AT234" i="3" s="1"/>
  <c r="AS228" i="3"/>
  <c r="AS234" i="3" s="1"/>
  <c r="AR228" i="3"/>
  <c r="AP228" i="3"/>
  <c r="AP234" i="3" s="1"/>
  <c r="AO228" i="3"/>
  <c r="AO234" i="3" s="1"/>
  <c r="AN228" i="3"/>
  <c r="AG228" i="3"/>
  <c r="AF228" i="3"/>
  <c r="AD228" i="3"/>
  <c r="AC228" i="3"/>
  <c r="AA228" i="3"/>
  <c r="Z228" i="3"/>
  <c r="Y228" i="3"/>
  <c r="W228" i="3"/>
  <c r="AH228" i="3" s="1"/>
  <c r="V228" i="3"/>
  <c r="U228" i="3"/>
  <c r="T228" i="3"/>
  <c r="S228" i="3"/>
  <c r="AB228" i="3" s="1"/>
  <c r="AN227" i="3"/>
  <c r="AH227" i="3"/>
  <c r="AF227" i="3"/>
  <c r="AD227" i="3"/>
  <c r="AC227" i="3"/>
  <c r="Z227" i="3"/>
  <c r="W227" i="3"/>
  <c r="AA227" i="3" s="1"/>
  <c r="V227" i="3"/>
  <c r="U227" i="3"/>
  <c r="T227" i="3"/>
  <c r="S227" i="3"/>
  <c r="AB227" i="3" s="1"/>
  <c r="AL226" i="3"/>
  <c r="AK226" i="3"/>
  <c r="AG226" i="3"/>
  <c r="AF226" i="3"/>
  <c r="AD226" i="3"/>
  <c r="AC226" i="3"/>
  <c r="AB226" i="3"/>
  <c r="Z226" i="3"/>
  <c r="Y226" i="3"/>
  <c r="W226" i="3"/>
  <c r="X226" i="3" s="1"/>
  <c r="V226" i="3"/>
  <c r="U226" i="3"/>
  <c r="T226" i="3"/>
  <c r="S226" i="3"/>
  <c r="BD225" i="3"/>
  <c r="BC225" i="3"/>
  <c r="BB225" i="3"/>
  <c r="AZ225" i="3"/>
  <c r="AX225" i="3"/>
  <c r="AV225" i="3"/>
  <c r="AT225" i="3"/>
  <c r="AR225" i="3"/>
  <c r="AP225" i="3"/>
  <c r="AN225" i="3"/>
  <c r="AG225" i="3"/>
  <c r="AF225" i="3"/>
  <c r="AD225" i="3"/>
  <c r="AC225" i="3"/>
  <c r="AA225" i="3"/>
  <c r="Z225" i="3"/>
  <c r="Y225" i="3"/>
  <c r="X225" i="3"/>
  <c r="W225" i="3"/>
  <c r="AH225" i="3" s="1"/>
  <c r="V225" i="3"/>
  <c r="U225" i="3"/>
  <c r="T225" i="3"/>
  <c r="S225" i="3"/>
  <c r="AB225" i="3" s="1"/>
  <c r="BD224" i="3"/>
  <c r="BC224" i="3"/>
  <c r="BB224" i="3"/>
  <c r="AZ224" i="3"/>
  <c r="AX224" i="3"/>
  <c r="AV224" i="3"/>
  <c r="AU224" i="3"/>
  <c r="AT224" i="3"/>
  <c r="AL224" i="3" s="1"/>
  <c r="AR224" i="3"/>
  <c r="AP224" i="3"/>
  <c r="AO224" i="3"/>
  <c r="AN224" i="3"/>
  <c r="AF224" i="3"/>
  <c r="AD224" i="3"/>
  <c r="AC224" i="3"/>
  <c r="AB224" i="3"/>
  <c r="Z224" i="3"/>
  <c r="W224" i="3"/>
  <c r="X224" i="3" s="1"/>
  <c r="V224" i="3"/>
  <c r="U224" i="3"/>
  <c r="T224" i="3"/>
  <c r="S224" i="3"/>
  <c r="BD223" i="3"/>
  <c r="BC223" i="3"/>
  <c r="BB223" i="3"/>
  <c r="AZ223" i="3"/>
  <c r="AX223" i="3"/>
  <c r="AV223" i="3"/>
  <c r="AT223" i="3"/>
  <c r="AR223" i="3"/>
  <c r="AP223" i="3"/>
  <c r="AL223" i="3" s="1"/>
  <c r="AO223" i="3"/>
  <c r="AN223" i="3"/>
  <c r="AM223" i="3"/>
  <c r="AG223" i="3"/>
  <c r="AF223" i="3"/>
  <c r="AD223" i="3"/>
  <c r="AC223" i="3"/>
  <c r="AA223" i="3"/>
  <c r="Z223" i="3"/>
  <c r="Y223" i="3"/>
  <c r="X223" i="3"/>
  <c r="W223" i="3"/>
  <c r="AH223" i="3" s="1"/>
  <c r="V223" i="3"/>
  <c r="U223" i="3"/>
  <c r="T223" i="3"/>
  <c r="S223" i="3"/>
  <c r="AB223" i="3" s="1"/>
  <c r="BD222" i="3"/>
  <c r="BC222" i="3"/>
  <c r="BB222" i="3"/>
  <c r="BB233" i="3" s="1"/>
  <c r="AZ222" i="3"/>
  <c r="AZ233" i="3" s="1"/>
  <c r="AX222" i="3"/>
  <c r="AV222" i="3"/>
  <c r="AT222" i="3"/>
  <c r="AS222" i="3"/>
  <c r="AR222" i="3"/>
  <c r="AR233" i="3" s="1"/>
  <c r="AP222" i="3"/>
  <c r="AO222" i="3"/>
  <c r="AN222" i="3"/>
  <c r="AG222" i="3"/>
  <c r="AF222" i="3"/>
  <c r="AD222" i="3"/>
  <c r="AC222" i="3"/>
  <c r="AB222" i="3"/>
  <c r="Z222" i="3"/>
  <c r="Y222" i="3"/>
  <c r="W222" i="3"/>
  <c r="X222" i="3" s="1"/>
  <c r="V222" i="3"/>
  <c r="U222" i="3"/>
  <c r="T222" i="3"/>
  <c r="S222" i="3"/>
  <c r="AN221" i="3"/>
  <c r="AL221" i="3" s="1"/>
  <c r="AG221" i="3"/>
  <c r="AF221" i="3"/>
  <c r="AD221" i="3"/>
  <c r="AC221" i="3"/>
  <c r="AA221" i="3"/>
  <c r="Z221" i="3"/>
  <c r="Y221" i="3"/>
  <c r="X221" i="3"/>
  <c r="W221" i="3"/>
  <c r="AH221" i="3" s="1"/>
  <c r="V221" i="3"/>
  <c r="U221" i="3"/>
  <c r="T221" i="3"/>
  <c r="S221" i="3"/>
  <c r="AB221" i="3" s="1"/>
  <c r="AG220" i="3"/>
  <c r="AF220" i="3"/>
  <c r="AD220" i="3"/>
  <c r="AC220" i="3"/>
  <c r="AA220" i="3"/>
  <c r="Z220" i="3"/>
  <c r="Y220" i="3"/>
  <c r="X220" i="3"/>
  <c r="W220" i="3"/>
  <c r="AH220" i="3" s="1"/>
  <c r="V220" i="3"/>
  <c r="U220" i="3"/>
  <c r="T220" i="3"/>
  <c r="S220" i="3"/>
  <c r="AB220" i="3" s="1"/>
  <c r="AG219" i="3"/>
  <c r="AF219" i="3"/>
  <c r="AD219" i="3"/>
  <c r="AC219" i="3"/>
  <c r="AA219" i="3"/>
  <c r="Z219" i="3"/>
  <c r="Y219" i="3"/>
  <c r="X219" i="3"/>
  <c r="W219" i="3"/>
  <c r="AH219" i="3" s="1"/>
  <c r="V219" i="3"/>
  <c r="U219" i="3"/>
  <c r="T219" i="3"/>
  <c r="S219" i="3"/>
  <c r="AB219" i="3" s="1"/>
  <c r="AG218" i="3"/>
  <c r="AF218" i="3"/>
  <c r="AD218" i="3"/>
  <c r="AC218" i="3"/>
  <c r="AA218" i="3"/>
  <c r="Z218" i="3"/>
  <c r="Y218" i="3"/>
  <c r="X218" i="3"/>
  <c r="W218" i="3"/>
  <c r="AH218" i="3" s="1"/>
  <c r="V218" i="3"/>
  <c r="U218" i="3"/>
  <c r="T218" i="3"/>
  <c r="S218" i="3"/>
  <c r="AB218" i="3" s="1"/>
  <c r="AG217" i="3"/>
  <c r="AF217" i="3"/>
  <c r="AD217" i="3"/>
  <c r="AC217" i="3"/>
  <c r="AA217" i="3"/>
  <c r="Z217" i="3"/>
  <c r="Y217" i="3"/>
  <c r="X217" i="3"/>
  <c r="W217" i="3"/>
  <c r="AH217" i="3" s="1"/>
  <c r="V217" i="3"/>
  <c r="U217" i="3"/>
  <c r="T217" i="3"/>
  <c r="S217" i="3"/>
  <c r="AB217" i="3" s="1"/>
  <c r="AG216" i="3"/>
  <c r="AF216" i="3"/>
  <c r="AD216" i="3"/>
  <c r="AC216" i="3"/>
  <c r="AA216" i="3"/>
  <c r="Z216" i="3"/>
  <c r="Y216" i="3"/>
  <c r="X216" i="3"/>
  <c r="W216" i="3"/>
  <c r="AH216" i="3" s="1"/>
  <c r="V216" i="3"/>
  <c r="U216" i="3"/>
  <c r="T216" i="3"/>
  <c r="S216" i="3"/>
  <c r="AB216" i="3" s="1"/>
  <c r="AG215" i="3"/>
  <c r="AF215" i="3"/>
  <c r="AD215" i="3"/>
  <c r="AC215" i="3"/>
  <c r="AB215" i="3"/>
  <c r="Z215" i="3"/>
  <c r="Y215" i="3"/>
  <c r="W215" i="3"/>
  <c r="X215" i="3" s="1"/>
  <c r="V215" i="3"/>
  <c r="U215" i="3"/>
  <c r="T215" i="3"/>
  <c r="S215" i="3"/>
  <c r="AX214" i="3"/>
  <c r="AG214" i="3"/>
  <c r="AF214" i="3"/>
  <c r="AD214" i="3"/>
  <c r="AC214" i="3"/>
  <c r="AA214" i="3"/>
  <c r="Z214" i="3"/>
  <c r="Y214" i="3"/>
  <c r="X214" i="3"/>
  <c r="W214" i="3"/>
  <c r="E6" i="6" s="1"/>
  <c r="F6" i="6" s="1"/>
  <c r="V214" i="3"/>
  <c r="U214" i="3"/>
  <c r="T214" i="3"/>
  <c r="S214" i="3"/>
  <c r="AB214" i="3" s="1"/>
  <c r="AG213" i="3"/>
  <c r="AF213" i="3"/>
  <c r="AD213" i="3"/>
  <c r="AC213" i="3"/>
  <c r="AA213" i="3"/>
  <c r="Z213" i="3"/>
  <c r="Y213" i="3"/>
  <c r="X213" i="3"/>
  <c r="W213" i="3"/>
  <c r="AH213" i="3" s="1"/>
  <c r="V213" i="3"/>
  <c r="U213" i="3"/>
  <c r="T213" i="3"/>
  <c r="S213" i="3"/>
  <c r="AB213" i="3" s="1"/>
  <c r="BD212" i="3"/>
  <c r="BC212" i="3"/>
  <c r="BB212" i="3"/>
  <c r="BA212" i="3"/>
  <c r="AZ212" i="3"/>
  <c r="AY212" i="3"/>
  <c r="AX212" i="3"/>
  <c r="AW212" i="3"/>
  <c r="AV212" i="3"/>
  <c r="AU212" i="3"/>
  <c r="AT212" i="3"/>
  <c r="AS212" i="3"/>
  <c r="AR212" i="3"/>
  <c r="AQ212" i="3"/>
  <c r="AP212" i="3"/>
  <c r="AO212" i="3"/>
  <c r="AK212" i="3" s="1"/>
  <c r="AN212" i="3"/>
  <c r="AM212" i="3"/>
  <c r="AL212" i="3"/>
  <c r="AG212" i="3"/>
  <c r="AF212" i="3"/>
  <c r="AD212" i="3"/>
  <c r="AC212" i="3"/>
  <c r="AB212" i="3"/>
  <c r="Z212" i="3"/>
  <c r="Y212" i="3"/>
  <c r="W212" i="3"/>
  <c r="X212" i="3" s="1"/>
  <c r="V212" i="3"/>
  <c r="U212" i="3"/>
  <c r="T212" i="3"/>
  <c r="S212" i="3"/>
  <c r="BD211" i="3"/>
  <c r="BC211" i="3"/>
  <c r="BB211" i="3"/>
  <c r="BA211" i="3"/>
  <c r="AZ211" i="3"/>
  <c r="AY211" i="3"/>
  <c r="AX211" i="3"/>
  <c r="AW211" i="3"/>
  <c r="AV211" i="3"/>
  <c r="AU211" i="3"/>
  <c r="AT211" i="3"/>
  <c r="AS211" i="3"/>
  <c r="AR211" i="3"/>
  <c r="AQ211" i="3"/>
  <c r="AP211" i="3"/>
  <c r="AL211" i="3" s="1"/>
  <c r="AO211" i="3"/>
  <c r="AN211" i="3"/>
  <c r="AM211" i="3"/>
  <c r="AG211" i="3"/>
  <c r="AF211" i="3"/>
  <c r="AD211" i="3"/>
  <c r="AC211" i="3"/>
  <c r="AA211" i="3"/>
  <c r="Z211" i="3"/>
  <c r="Y211" i="3"/>
  <c r="X211" i="3"/>
  <c r="W211" i="3"/>
  <c r="AH211" i="3" s="1"/>
  <c r="V211" i="3"/>
  <c r="U211" i="3"/>
  <c r="T211" i="3"/>
  <c r="S211" i="3"/>
  <c r="AB211" i="3" s="1"/>
  <c r="BD210" i="3"/>
  <c r="BC210" i="3"/>
  <c r="BB210" i="3"/>
  <c r="BB215" i="3" s="1"/>
  <c r="BA210" i="3"/>
  <c r="AZ210" i="3"/>
  <c r="AY210" i="3"/>
  <c r="AX210" i="3"/>
  <c r="AW210" i="3"/>
  <c r="AV210" i="3"/>
  <c r="AT210" i="3"/>
  <c r="AT215" i="3" s="1"/>
  <c r="AS210" i="3"/>
  <c r="AR210" i="3"/>
  <c r="AQ210" i="3"/>
  <c r="AP210" i="3"/>
  <c r="AO210" i="3"/>
  <c r="AN210" i="3"/>
  <c r="AM210" i="3"/>
  <c r="AL210" i="3"/>
  <c r="AG210" i="3"/>
  <c r="AF210" i="3"/>
  <c r="AD210" i="3"/>
  <c r="AC210" i="3"/>
  <c r="AB210" i="3"/>
  <c r="Z210" i="3"/>
  <c r="Y210" i="3"/>
  <c r="W210" i="3"/>
  <c r="X210" i="3" s="1"/>
  <c r="V210" i="3"/>
  <c r="U210" i="3"/>
  <c r="T210" i="3"/>
  <c r="S210" i="3"/>
  <c r="BD209" i="3"/>
  <c r="BD215" i="3" s="1"/>
  <c r="BC209" i="3"/>
  <c r="BC215" i="3" s="1"/>
  <c r="BB209" i="3"/>
  <c r="BA209" i="3"/>
  <c r="BA215" i="3" s="1"/>
  <c r="AZ209" i="3"/>
  <c r="AZ215" i="3" s="1"/>
  <c r="AY209" i="3"/>
  <c r="AY215" i="3" s="1"/>
  <c r="AX209" i="3"/>
  <c r="AX215" i="3" s="1"/>
  <c r="AW209" i="3"/>
  <c r="AV209" i="3"/>
  <c r="AV215" i="3" s="1"/>
  <c r="AT209" i="3"/>
  <c r="AS209" i="3"/>
  <c r="AR209" i="3"/>
  <c r="AR215" i="3" s="1"/>
  <c r="AQ209" i="3"/>
  <c r="AP209" i="3"/>
  <c r="AO209" i="3"/>
  <c r="AO215" i="3" s="1"/>
  <c r="AN209" i="3"/>
  <c r="AG209" i="3"/>
  <c r="AF209" i="3"/>
  <c r="AD209" i="3"/>
  <c r="AC209" i="3"/>
  <c r="AA209" i="3"/>
  <c r="Z209" i="3"/>
  <c r="Y209" i="3"/>
  <c r="X209" i="3"/>
  <c r="W209" i="3"/>
  <c r="AH209" i="3" s="1"/>
  <c r="V209" i="3"/>
  <c r="U209" i="3"/>
  <c r="T209" i="3"/>
  <c r="S209" i="3"/>
  <c r="AB209" i="3" s="1"/>
  <c r="AN208" i="3"/>
  <c r="AN215" i="3" s="1"/>
  <c r="AL208" i="3"/>
  <c r="AH208" i="3"/>
  <c r="AG208" i="3"/>
  <c r="AF208" i="3"/>
  <c r="AD208" i="3"/>
  <c r="AC208" i="3"/>
  <c r="AB208" i="3"/>
  <c r="Z208" i="3"/>
  <c r="Y208" i="3"/>
  <c r="W208" i="3"/>
  <c r="X208" i="3" s="1"/>
  <c r="V208" i="3"/>
  <c r="U208" i="3"/>
  <c r="T208" i="3"/>
  <c r="S208" i="3"/>
  <c r="AL207" i="3"/>
  <c r="AK207" i="3"/>
  <c r="AG207" i="3"/>
  <c r="AF207" i="3"/>
  <c r="AD207" i="3"/>
  <c r="AC207" i="3"/>
  <c r="AB207" i="3"/>
  <c r="AA207" i="3"/>
  <c r="Z207" i="3"/>
  <c r="Y207" i="3"/>
  <c r="W207" i="3"/>
  <c r="AH207" i="3" s="1"/>
  <c r="V207" i="3"/>
  <c r="U207" i="3"/>
  <c r="T207" i="3"/>
  <c r="S207" i="3"/>
  <c r="BD206" i="3"/>
  <c r="BC206" i="3"/>
  <c r="BB206" i="3"/>
  <c r="BA206" i="3"/>
  <c r="AZ206" i="3"/>
  <c r="AY206" i="3"/>
  <c r="AX206" i="3"/>
  <c r="AW206" i="3"/>
  <c r="AV206" i="3"/>
  <c r="AU206" i="3"/>
  <c r="AT206" i="3"/>
  <c r="AR206" i="3"/>
  <c r="AQ206" i="3"/>
  <c r="AP206" i="3"/>
  <c r="AO206" i="3"/>
  <c r="AN206" i="3"/>
  <c r="AM206" i="3"/>
  <c r="AH206" i="3"/>
  <c r="AF206" i="3"/>
  <c r="AD206" i="3"/>
  <c r="AC206" i="3"/>
  <c r="Z206" i="3"/>
  <c r="X206" i="3"/>
  <c r="W206" i="3"/>
  <c r="AA206" i="3" s="1"/>
  <c r="V206" i="3"/>
  <c r="U206" i="3"/>
  <c r="T206" i="3"/>
  <c r="S206" i="3"/>
  <c r="AB206" i="3" s="1"/>
  <c r="BD205" i="3"/>
  <c r="BC205" i="3"/>
  <c r="BB205" i="3"/>
  <c r="BA205" i="3"/>
  <c r="AZ205" i="3"/>
  <c r="AY205" i="3"/>
  <c r="AX205" i="3"/>
  <c r="AW205" i="3"/>
  <c r="AV205" i="3"/>
  <c r="AU205" i="3"/>
  <c r="AT205" i="3"/>
  <c r="AR205" i="3"/>
  <c r="AQ205" i="3"/>
  <c r="AP205" i="3"/>
  <c r="AO205" i="3"/>
  <c r="AN205" i="3"/>
  <c r="AL205" i="3" s="1"/>
  <c r="AG205" i="3"/>
  <c r="AF205" i="3"/>
  <c r="AD205" i="3"/>
  <c r="AC205" i="3"/>
  <c r="AB205" i="3"/>
  <c r="AA205" i="3"/>
  <c r="Z205" i="3"/>
  <c r="Y205" i="3"/>
  <c r="W205" i="3"/>
  <c r="AH205" i="3" s="1"/>
  <c r="V205" i="3"/>
  <c r="U205" i="3"/>
  <c r="T205" i="3"/>
  <c r="S205" i="3"/>
  <c r="BD204" i="3"/>
  <c r="BC204" i="3"/>
  <c r="BB204" i="3"/>
  <c r="AZ204" i="3"/>
  <c r="AX204" i="3"/>
  <c r="AV204" i="3"/>
  <c r="AT204" i="3"/>
  <c r="AR204" i="3"/>
  <c r="AQ204" i="3"/>
  <c r="AP204" i="3"/>
  <c r="AL204" i="3" s="1"/>
  <c r="AO204" i="3"/>
  <c r="AN204" i="3"/>
  <c r="AM204" i="3"/>
  <c r="AF204" i="3"/>
  <c r="AD204" i="3"/>
  <c r="AC204" i="3"/>
  <c r="Z204" i="3"/>
  <c r="X204" i="3"/>
  <c r="W204" i="3"/>
  <c r="AH204" i="3" s="1"/>
  <c r="V204" i="3"/>
  <c r="U204" i="3"/>
  <c r="T204" i="3"/>
  <c r="S204" i="3"/>
  <c r="BD203" i="3"/>
  <c r="BD214" i="3" s="1"/>
  <c r="BC203" i="3"/>
  <c r="BB203" i="3"/>
  <c r="BB214" i="3" s="1"/>
  <c r="AZ203" i="3"/>
  <c r="AX203" i="3"/>
  <c r="AV203" i="3"/>
  <c r="AT203" i="3"/>
  <c r="AT214" i="3" s="1"/>
  <c r="AS203" i="3"/>
  <c r="AR203" i="3"/>
  <c r="AP203" i="3"/>
  <c r="AO203" i="3"/>
  <c r="AO214" i="3" s="1"/>
  <c r="AN203" i="3"/>
  <c r="AL203" i="3" s="1"/>
  <c r="AH203" i="3"/>
  <c r="AG203" i="3"/>
  <c r="AF203" i="3"/>
  <c r="AD203" i="3"/>
  <c r="AC203" i="3"/>
  <c r="AA203" i="3"/>
  <c r="Z203" i="3"/>
  <c r="Y203" i="3"/>
  <c r="W203" i="3"/>
  <c r="X203" i="3" s="1"/>
  <c r="V203" i="3"/>
  <c r="U203" i="3"/>
  <c r="T203" i="3"/>
  <c r="S203" i="3"/>
  <c r="AB203" i="3" s="1"/>
  <c r="AN202" i="3"/>
  <c r="AF202" i="3"/>
  <c r="AD202" i="3"/>
  <c r="AC202" i="3"/>
  <c r="AA202" i="3"/>
  <c r="Z202" i="3"/>
  <c r="X202" i="3"/>
  <c r="W202" i="3"/>
  <c r="V202" i="3"/>
  <c r="U202" i="3"/>
  <c r="T202" i="3"/>
  <c r="S202" i="3"/>
  <c r="AF201" i="3"/>
  <c r="AD201" i="3"/>
  <c r="AC201" i="3"/>
  <c r="Z201" i="3"/>
  <c r="W201" i="3"/>
  <c r="V201" i="3"/>
  <c r="U201" i="3"/>
  <c r="T201" i="3"/>
  <c r="S201" i="3"/>
  <c r="AF200" i="3"/>
  <c r="AD200" i="3"/>
  <c r="AC200" i="3"/>
  <c r="AA200" i="3"/>
  <c r="Z200" i="3"/>
  <c r="W200" i="3"/>
  <c r="V200" i="3"/>
  <c r="U200" i="3"/>
  <c r="T200" i="3"/>
  <c r="S200" i="3"/>
  <c r="AB200" i="3" s="1"/>
  <c r="AF199" i="3"/>
  <c r="AD199" i="3"/>
  <c r="AC199" i="3"/>
  <c r="Z199" i="3"/>
  <c r="W199" i="3"/>
  <c r="V199" i="3"/>
  <c r="U199" i="3"/>
  <c r="T199" i="3"/>
  <c r="S199" i="3"/>
  <c r="AF198" i="3"/>
  <c r="AE198" i="3"/>
  <c r="AD198" i="3"/>
  <c r="AC198" i="3"/>
  <c r="AA198" i="3"/>
  <c r="Z198" i="3"/>
  <c r="X198" i="3"/>
  <c r="W198" i="3"/>
  <c r="V198" i="3"/>
  <c r="U198" i="3"/>
  <c r="T198" i="3"/>
  <c r="S198" i="3"/>
  <c r="AB198" i="3" s="1"/>
  <c r="AF197" i="3"/>
  <c r="AD197" i="3"/>
  <c r="AC197" i="3"/>
  <c r="AA197" i="3"/>
  <c r="AE197" i="3" s="1"/>
  <c r="Z197" i="3"/>
  <c r="X197" i="3"/>
  <c r="W197" i="3"/>
  <c r="V197" i="3"/>
  <c r="U197" i="3"/>
  <c r="T197" i="3"/>
  <c r="S197" i="3"/>
  <c r="AB197" i="3" s="1"/>
  <c r="AH196" i="3"/>
  <c r="AG196" i="3"/>
  <c r="AF196" i="3"/>
  <c r="AD196" i="3"/>
  <c r="AC196" i="3"/>
  <c r="AA196" i="3"/>
  <c r="Z196" i="3"/>
  <c r="Y196" i="3"/>
  <c r="W196" i="3"/>
  <c r="X196" i="3" s="1"/>
  <c r="V196" i="3"/>
  <c r="U196" i="3"/>
  <c r="T196" i="3"/>
  <c r="S196" i="3"/>
  <c r="AB196" i="3" s="1"/>
  <c r="AH195" i="3"/>
  <c r="AG195" i="3"/>
  <c r="AF195" i="3"/>
  <c r="AD195" i="3"/>
  <c r="AC195" i="3"/>
  <c r="Z195" i="3"/>
  <c r="Y195" i="3"/>
  <c r="X195" i="3"/>
  <c r="W195" i="3"/>
  <c r="AA195" i="3" s="1"/>
  <c r="V195" i="3"/>
  <c r="U195" i="3"/>
  <c r="T195" i="3"/>
  <c r="S195" i="3"/>
  <c r="AH194" i="3"/>
  <c r="AF194" i="3"/>
  <c r="AD194" i="3"/>
  <c r="AC194" i="3"/>
  <c r="Z194" i="3"/>
  <c r="Y194" i="3"/>
  <c r="W194" i="3"/>
  <c r="AA194" i="3" s="1"/>
  <c r="V194" i="3"/>
  <c r="U194" i="3"/>
  <c r="T194" i="3"/>
  <c r="S194" i="3"/>
  <c r="BD193" i="3"/>
  <c r="BC193" i="3"/>
  <c r="BB193" i="3"/>
  <c r="BA193" i="3"/>
  <c r="AZ193" i="3"/>
  <c r="AY193" i="3"/>
  <c r="AX193" i="3"/>
  <c r="AW193" i="3"/>
  <c r="AV193" i="3"/>
  <c r="AU193" i="3"/>
  <c r="AT193" i="3"/>
  <c r="AS193" i="3"/>
  <c r="AR193" i="3"/>
  <c r="AQ193" i="3"/>
  <c r="AP193" i="3"/>
  <c r="AO193" i="3"/>
  <c r="AN193" i="3"/>
  <c r="AM193" i="3"/>
  <c r="AL193" i="3"/>
  <c r="AH193" i="3"/>
  <c r="AF193" i="3"/>
  <c r="AD193" i="3"/>
  <c r="AC193" i="3"/>
  <c r="AA193" i="3"/>
  <c r="AE193" i="3" s="1"/>
  <c r="Z193" i="3"/>
  <c r="W193" i="3"/>
  <c r="X193" i="3" s="1"/>
  <c r="V193" i="3"/>
  <c r="U193" i="3"/>
  <c r="T193" i="3"/>
  <c r="S193" i="3"/>
  <c r="AB193" i="3" s="1"/>
  <c r="BD192" i="3"/>
  <c r="BC192" i="3"/>
  <c r="BB192" i="3"/>
  <c r="BA192" i="3"/>
  <c r="AZ192" i="3"/>
  <c r="AY192" i="3"/>
  <c r="AX192" i="3"/>
  <c r="AW192" i="3"/>
  <c r="AV192" i="3"/>
  <c r="AU192" i="3"/>
  <c r="AT192" i="3"/>
  <c r="AS192" i="3"/>
  <c r="AR192" i="3"/>
  <c r="AQ192" i="3"/>
  <c r="AP192" i="3"/>
  <c r="AL192" i="3" s="1"/>
  <c r="AO192" i="3"/>
  <c r="AK192" i="3" s="1"/>
  <c r="AN192" i="3"/>
  <c r="AM192" i="3"/>
  <c r="AF192" i="3"/>
  <c r="AD192" i="3"/>
  <c r="AC192" i="3"/>
  <c r="Z192" i="3"/>
  <c r="X192" i="3"/>
  <c r="W192" i="3"/>
  <c r="AH192" i="3" s="1"/>
  <c r="V192" i="3"/>
  <c r="U192" i="3"/>
  <c r="T192" i="3"/>
  <c r="S192" i="3"/>
  <c r="AB192" i="3" s="1"/>
  <c r="BD191" i="3"/>
  <c r="BC191" i="3"/>
  <c r="BB191" i="3"/>
  <c r="BB196" i="3" s="1"/>
  <c r="BA191" i="3"/>
  <c r="AZ191" i="3"/>
  <c r="AX191" i="3"/>
  <c r="AW191" i="3"/>
  <c r="AV191" i="3"/>
  <c r="AT191" i="3"/>
  <c r="AT196" i="3" s="1"/>
  <c r="AS191" i="3"/>
  <c r="AR191" i="3"/>
  <c r="AQ191" i="3"/>
  <c r="AP191" i="3"/>
  <c r="AO191" i="3"/>
  <c r="AN191" i="3"/>
  <c r="AM191" i="3"/>
  <c r="AL191" i="3"/>
  <c r="AH191" i="3"/>
  <c r="AG191" i="3"/>
  <c r="AF191" i="3"/>
  <c r="AD191" i="3"/>
  <c r="AC191" i="3"/>
  <c r="AB191" i="3"/>
  <c r="AA191" i="3"/>
  <c r="Z191" i="3"/>
  <c r="Y191" i="3"/>
  <c r="W191" i="3"/>
  <c r="X191" i="3" s="1"/>
  <c r="AM108" i="3" s="1"/>
  <c r="V191" i="3"/>
  <c r="U191" i="3"/>
  <c r="T191" i="3"/>
  <c r="S191" i="3"/>
  <c r="BD190" i="3"/>
  <c r="BD196" i="3" s="1"/>
  <c r="BC190" i="3"/>
  <c r="BB190" i="3"/>
  <c r="BA190" i="3"/>
  <c r="AZ190" i="3"/>
  <c r="AZ196" i="3" s="1"/>
  <c r="AX190" i="3"/>
  <c r="AX196" i="3" s="1"/>
  <c r="AW190" i="3"/>
  <c r="AV190" i="3"/>
  <c r="AV196" i="3" s="1"/>
  <c r="AT190" i="3"/>
  <c r="AS190" i="3"/>
  <c r="AR190" i="3"/>
  <c r="AR196" i="3" s="1"/>
  <c r="AP190" i="3"/>
  <c r="AP196" i="3" s="1"/>
  <c r="AO190" i="3"/>
  <c r="AO196" i="3" s="1"/>
  <c r="AN190" i="3"/>
  <c r="AH190" i="3"/>
  <c r="AF190" i="3"/>
  <c r="AD190" i="3"/>
  <c r="AC190" i="3"/>
  <c r="Z190" i="3"/>
  <c r="X190" i="3"/>
  <c r="W190" i="3"/>
  <c r="AG190" i="3" s="1"/>
  <c r="V190" i="3"/>
  <c r="U190" i="3"/>
  <c r="T190" i="3"/>
  <c r="S190" i="3"/>
  <c r="AB190" i="3" s="1"/>
  <c r="AN189" i="3"/>
  <c r="AN196" i="3" s="1"/>
  <c r="AL189" i="3"/>
  <c r="AH189" i="3"/>
  <c r="AG189" i="3"/>
  <c r="AF189" i="3"/>
  <c r="AD189" i="3"/>
  <c r="AC189" i="3"/>
  <c r="AB189" i="3"/>
  <c r="AA189" i="3"/>
  <c r="Z189" i="3"/>
  <c r="Y189" i="3"/>
  <c r="W189" i="3"/>
  <c r="X189" i="3" s="1"/>
  <c r="V189" i="3"/>
  <c r="U189" i="3"/>
  <c r="T189" i="3"/>
  <c r="S189" i="3"/>
  <c r="AL188" i="3"/>
  <c r="AK188" i="3"/>
  <c r="AG188" i="3"/>
  <c r="AF188" i="3"/>
  <c r="AD188" i="3"/>
  <c r="AC188" i="3"/>
  <c r="AB188" i="3"/>
  <c r="AA188" i="3"/>
  <c r="Z188" i="3"/>
  <c r="Y188" i="3"/>
  <c r="X188" i="3"/>
  <c r="W188" i="3"/>
  <c r="AE188" i="3" s="1"/>
  <c r="V188" i="3"/>
  <c r="U188" i="3"/>
  <c r="T188" i="3"/>
  <c r="S188" i="3"/>
  <c r="BD187" i="3"/>
  <c r="BC187" i="3"/>
  <c r="BB187" i="3"/>
  <c r="AZ187" i="3"/>
  <c r="AY187" i="3"/>
  <c r="AX187" i="3"/>
  <c r="AW187" i="3"/>
  <c r="AV187" i="3"/>
  <c r="AU187" i="3"/>
  <c r="AT187" i="3"/>
  <c r="AR187" i="3"/>
  <c r="AQ187" i="3"/>
  <c r="AP187" i="3"/>
  <c r="AL187" i="3" s="1"/>
  <c r="AO187" i="3"/>
  <c r="AN187" i="3"/>
  <c r="AM187" i="3"/>
  <c r="AH187" i="3"/>
  <c r="AG187" i="3"/>
  <c r="AF187" i="3"/>
  <c r="AD187" i="3"/>
  <c r="AC187" i="3"/>
  <c r="AB187" i="3"/>
  <c r="Z187" i="3"/>
  <c r="Y187" i="3"/>
  <c r="X187" i="3"/>
  <c r="W187" i="3"/>
  <c r="AA187" i="3" s="1"/>
  <c r="V187" i="3"/>
  <c r="U187" i="3"/>
  <c r="T187" i="3"/>
  <c r="S187" i="3"/>
  <c r="BD186" i="3"/>
  <c r="BC186" i="3"/>
  <c r="BB186" i="3"/>
  <c r="AZ186" i="3"/>
  <c r="AY186" i="3"/>
  <c r="AX186" i="3"/>
  <c r="AW186" i="3"/>
  <c r="AV186" i="3"/>
  <c r="AU186" i="3"/>
  <c r="AT186" i="3"/>
  <c r="AR186" i="3"/>
  <c r="AQ186" i="3"/>
  <c r="AP186" i="3"/>
  <c r="AO186" i="3"/>
  <c r="AN186" i="3"/>
  <c r="AL186" i="3" s="1"/>
  <c r="AH186" i="3"/>
  <c r="AG186" i="3"/>
  <c r="AF186" i="3"/>
  <c r="AD186" i="3"/>
  <c r="AC186" i="3"/>
  <c r="AB186" i="3"/>
  <c r="AA186" i="3"/>
  <c r="Z186" i="3"/>
  <c r="Y186" i="3"/>
  <c r="X186" i="3"/>
  <c r="W186" i="3"/>
  <c r="AE186" i="3" s="1"/>
  <c r="V186" i="3"/>
  <c r="U186" i="3"/>
  <c r="T186" i="3"/>
  <c r="S186" i="3"/>
  <c r="BD185" i="3"/>
  <c r="BC185" i="3"/>
  <c r="BB185" i="3"/>
  <c r="AZ185" i="3"/>
  <c r="AX185" i="3"/>
  <c r="AV185" i="3"/>
  <c r="AT185" i="3"/>
  <c r="AR185" i="3"/>
  <c r="AQ185" i="3"/>
  <c r="AP185" i="3"/>
  <c r="AL185" i="3" s="1"/>
  <c r="AO185" i="3"/>
  <c r="AN185" i="3"/>
  <c r="AM185" i="3"/>
  <c r="AH185" i="3"/>
  <c r="AG185" i="3"/>
  <c r="AF185" i="3"/>
  <c r="AD185" i="3"/>
  <c r="AC185" i="3"/>
  <c r="AB185" i="3"/>
  <c r="Z185" i="3"/>
  <c r="Y185" i="3"/>
  <c r="X185" i="3"/>
  <c r="W185" i="3"/>
  <c r="AA185" i="3" s="1"/>
  <c r="V185" i="3"/>
  <c r="U185" i="3"/>
  <c r="T185" i="3"/>
  <c r="S185" i="3"/>
  <c r="BD184" i="3"/>
  <c r="BD195" i="3" s="1"/>
  <c r="BC184" i="3"/>
  <c r="BB184" i="3"/>
  <c r="BB195" i="3" s="1"/>
  <c r="BA184" i="3"/>
  <c r="AZ184" i="3"/>
  <c r="AZ195" i="3" s="1"/>
  <c r="AX184" i="3"/>
  <c r="AX195" i="3" s="1"/>
  <c r="AV184" i="3"/>
  <c r="AV195" i="3" s="1"/>
  <c r="AT184" i="3"/>
  <c r="AT195" i="3" s="1"/>
  <c r="AS184" i="3"/>
  <c r="AR184" i="3"/>
  <c r="AR195" i="3" s="1"/>
  <c r="AP184" i="3"/>
  <c r="AP195" i="3" s="1"/>
  <c r="AO184" i="3"/>
  <c r="AN184" i="3"/>
  <c r="AL184" i="3" s="1"/>
  <c r="AH184" i="3"/>
  <c r="AG184" i="3"/>
  <c r="AF184" i="3"/>
  <c r="AD184" i="3"/>
  <c r="AC184" i="3"/>
  <c r="AB184" i="3"/>
  <c r="AA184" i="3"/>
  <c r="Z184" i="3"/>
  <c r="Y184" i="3"/>
  <c r="X184" i="3"/>
  <c r="W184" i="3"/>
  <c r="AE184" i="3" s="1"/>
  <c r="V184" i="3"/>
  <c r="U184" i="3"/>
  <c r="T184" i="3"/>
  <c r="S184" i="3"/>
  <c r="AN183" i="3"/>
  <c r="AN195" i="3" s="1"/>
  <c r="AL183" i="3"/>
  <c r="AH183" i="3"/>
  <c r="AG183" i="3"/>
  <c r="AF183" i="3"/>
  <c r="AD183" i="3"/>
  <c r="AC183" i="3"/>
  <c r="AB183" i="3"/>
  <c r="Z183" i="3"/>
  <c r="Y183" i="3"/>
  <c r="X183" i="3"/>
  <c r="W183" i="3"/>
  <c r="AA183" i="3" s="1"/>
  <c r="V183" i="3"/>
  <c r="U183" i="3"/>
  <c r="T183" i="3"/>
  <c r="S183" i="3"/>
  <c r="AH182" i="3"/>
  <c r="AG182" i="3"/>
  <c r="AF182" i="3"/>
  <c r="AD182" i="3"/>
  <c r="AC182" i="3"/>
  <c r="AB182" i="3"/>
  <c r="Z182" i="3"/>
  <c r="Y182" i="3"/>
  <c r="X182" i="3"/>
  <c r="W182" i="3"/>
  <c r="AA182" i="3" s="1"/>
  <c r="V182" i="3"/>
  <c r="U182" i="3"/>
  <c r="T182" i="3"/>
  <c r="S182" i="3"/>
  <c r="AH181" i="3"/>
  <c r="AG181" i="3"/>
  <c r="AF181" i="3"/>
  <c r="AD181" i="3"/>
  <c r="AC181" i="3"/>
  <c r="AB181" i="3"/>
  <c r="Z181" i="3"/>
  <c r="Y181" i="3"/>
  <c r="X181" i="3"/>
  <c r="W181" i="3"/>
  <c r="AA181" i="3" s="1"/>
  <c r="V181" i="3"/>
  <c r="U181" i="3"/>
  <c r="T181" i="3"/>
  <c r="S181" i="3"/>
  <c r="AH180" i="3"/>
  <c r="AG180" i="3"/>
  <c r="AF180" i="3"/>
  <c r="AD180" i="3"/>
  <c r="AC180" i="3"/>
  <c r="AB180" i="3"/>
  <c r="Z180" i="3"/>
  <c r="Y180" i="3"/>
  <c r="X180" i="3"/>
  <c r="W180" i="3"/>
  <c r="AA180" i="3" s="1"/>
  <c r="V180" i="3"/>
  <c r="U180" i="3"/>
  <c r="T180" i="3"/>
  <c r="S180" i="3"/>
  <c r="AH179" i="3"/>
  <c r="AG179" i="3"/>
  <c r="AF179" i="3"/>
  <c r="AD179" i="3"/>
  <c r="AC179" i="3"/>
  <c r="AB179" i="3"/>
  <c r="Z179" i="3"/>
  <c r="Y179" i="3"/>
  <c r="X179" i="3"/>
  <c r="W179" i="3"/>
  <c r="AA179" i="3" s="1"/>
  <c r="V179" i="3"/>
  <c r="U179" i="3"/>
  <c r="T179" i="3"/>
  <c r="S179" i="3"/>
  <c r="AH178" i="3"/>
  <c r="AG178" i="3"/>
  <c r="AF178" i="3"/>
  <c r="AD178" i="3"/>
  <c r="AC178" i="3"/>
  <c r="AB178" i="3"/>
  <c r="Z178" i="3"/>
  <c r="Y178" i="3"/>
  <c r="X178" i="3"/>
  <c r="W178" i="3"/>
  <c r="AA178" i="3" s="1"/>
  <c r="V178" i="3"/>
  <c r="U178" i="3"/>
  <c r="T178" i="3"/>
  <c r="S178" i="3"/>
  <c r="AH177" i="3"/>
  <c r="AG177" i="3"/>
  <c r="AF177" i="3"/>
  <c r="AD177" i="3"/>
  <c r="AC177" i="3"/>
  <c r="AB177" i="3"/>
  <c r="AA177" i="3"/>
  <c r="Z177" i="3"/>
  <c r="Y177" i="3"/>
  <c r="X177" i="3"/>
  <c r="W177" i="3"/>
  <c r="AE177" i="3" s="1"/>
  <c r="V177" i="3"/>
  <c r="U177" i="3"/>
  <c r="T177" i="3"/>
  <c r="S177" i="3"/>
  <c r="AH176" i="3"/>
  <c r="AG176" i="3"/>
  <c r="AF176" i="3"/>
  <c r="AD176" i="3"/>
  <c r="AC176" i="3"/>
  <c r="AB176" i="3"/>
  <c r="Z176" i="3"/>
  <c r="Y176" i="3"/>
  <c r="X176" i="3"/>
  <c r="W176" i="3"/>
  <c r="AA176" i="3" s="1"/>
  <c r="V176" i="3"/>
  <c r="U176" i="3"/>
  <c r="T176" i="3"/>
  <c r="S176" i="3"/>
  <c r="AH175" i="3"/>
  <c r="AG175" i="3"/>
  <c r="AF175" i="3"/>
  <c r="AD175" i="3"/>
  <c r="AC175" i="3"/>
  <c r="AB175" i="3"/>
  <c r="Z175" i="3"/>
  <c r="Y175" i="3"/>
  <c r="X175" i="3"/>
  <c r="W175" i="3"/>
  <c r="AA175" i="3" s="1"/>
  <c r="V175" i="3"/>
  <c r="U175" i="3"/>
  <c r="T175" i="3"/>
  <c r="S175" i="3"/>
  <c r="BD174" i="3"/>
  <c r="BC174" i="3"/>
  <c r="BB174" i="3"/>
  <c r="BA174" i="3"/>
  <c r="AZ174" i="3"/>
  <c r="AY174" i="3"/>
  <c r="AX174" i="3"/>
  <c r="AW174" i="3"/>
  <c r="AV174" i="3"/>
  <c r="AU174" i="3"/>
  <c r="AT174" i="3"/>
  <c r="AS174" i="3"/>
  <c r="AR174" i="3"/>
  <c r="AQ174" i="3"/>
  <c r="AP174" i="3"/>
  <c r="AO174" i="3"/>
  <c r="AN174" i="3"/>
  <c r="AL174" i="3" s="1"/>
  <c r="AM174" i="3"/>
  <c r="AH174" i="3"/>
  <c r="AG174" i="3"/>
  <c r="AF174" i="3"/>
  <c r="AD174" i="3"/>
  <c r="AC174" i="3"/>
  <c r="AB174" i="3"/>
  <c r="AA174" i="3"/>
  <c r="Z174" i="3"/>
  <c r="Y174" i="3"/>
  <c r="X174" i="3"/>
  <c r="W174" i="3"/>
  <c r="AE174" i="3" s="1"/>
  <c r="V174" i="3"/>
  <c r="U174" i="3"/>
  <c r="T174" i="3"/>
  <c r="S174" i="3"/>
  <c r="BD173" i="3"/>
  <c r="BC173" i="3"/>
  <c r="BB173" i="3"/>
  <c r="BA173" i="3"/>
  <c r="AZ173" i="3"/>
  <c r="AY173" i="3"/>
  <c r="AX173" i="3"/>
  <c r="AW173" i="3"/>
  <c r="AV173" i="3"/>
  <c r="AU173" i="3"/>
  <c r="AT173" i="3"/>
  <c r="AS173" i="3"/>
  <c r="AR173" i="3"/>
  <c r="AQ173" i="3"/>
  <c r="AP173" i="3"/>
  <c r="AL173" i="3" s="1"/>
  <c r="AO173" i="3"/>
  <c r="AN173" i="3"/>
  <c r="AM173" i="3"/>
  <c r="AH173" i="3"/>
  <c r="AG173" i="3"/>
  <c r="AF173" i="3"/>
  <c r="AD173" i="3"/>
  <c r="AC173" i="3"/>
  <c r="AB173" i="3"/>
  <c r="Z173" i="3"/>
  <c r="Y173" i="3"/>
  <c r="X173" i="3"/>
  <c r="W173" i="3"/>
  <c r="AA173" i="3" s="1"/>
  <c r="V173" i="3"/>
  <c r="U173" i="3"/>
  <c r="T173" i="3"/>
  <c r="S173" i="3"/>
  <c r="BD172" i="3"/>
  <c r="BD177" i="3" s="1"/>
  <c r="BC172" i="3"/>
  <c r="BB172" i="3"/>
  <c r="BA172" i="3"/>
  <c r="AZ172" i="3"/>
  <c r="AY172" i="3"/>
  <c r="AX172" i="3"/>
  <c r="AW172" i="3"/>
  <c r="AV172" i="3"/>
  <c r="AV177" i="3" s="1"/>
  <c r="AT172" i="3"/>
  <c r="AS172" i="3"/>
  <c r="AR172" i="3"/>
  <c r="AQ172" i="3"/>
  <c r="AP172" i="3"/>
  <c r="AO172" i="3"/>
  <c r="AN172" i="3"/>
  <c r="AL172" i="3" s="1"/>
  <c r="AM172" i="3"/>
  <c r="AH172" i="3"/>
  <c r="AG172" i="3"/>
  <c r="AF172" i="3"/>
  <c r="AD172" i="3"/>
  <c r="AC172" i="3"/>
  <c r="AB172" i="3"/>
  <c r="AA172" i="3"/>
  <c r="Z172" i="3"/>
  <c r="Y172" i="3"/>
  <c r="X172" i="3"/>
  <c r="W172" i="3"/>
  <c r="AE172" i="3" s="1"/>
  <c r="V172" i="3"/>
  <c r="U172" i="3"/>
  <c r="T172" i="3"/>
  <c r="S172" i="3"/>
  <c r="BD171" i="3"/>
  <c r="BC171" i="3"/>
  <c r="BC177" i="3" s="1"/>
  <c r="BB171" i="3"/>
  <c r="BB177" i="3" s="1"/>
  <c r="BA171" i="3"/>
  <c r="AZ171" i="3"/>
  <c r="AZ177" i="3" s="1"/>
  <c r="AX171" i="3"/>
  <c r="AX177" i="3" s="1"/>
  <c r="AW171" i="3"/>
  <c r="AW177" i="3" s="1"/>
  <c r="AV171" i="3"/>
  <c r="AT171" i="3"/>
  <c r="AT177" i="3" s="1"/>
  <c r="AS171" i="3"/>
  <c r="AR171" i="3"/>
  <c r="AR177" i="3" s="1"/>
  <c r="AP171" i="3"/>
  <c r="AP177" i="3" s="1"/>
  <c r="AO171" i="3"/>
  <c r="AN171" i="3"/>
  <c r="AM171" i="3"/>
  <c r="AH171" i="3"/>
  <c r="AG171" i="3"/>
  <c r="AF171" i="3"/>
  <c r="AD171" i="3"/>
  <c r="AC171" i="3"/>
  <c r="AB171" i="3"/>
  <c r="Z171" i="3"/>
  <c r="Y171" i="3"/>
  <c r="X171" i="3"/>
  <c r="W171" i="3"/>
  <c r="AA171" i="3" s="1"/>
  <c r="V171" i="3"/>
  <c r="U171" i="3"/>
  <c r="T171" i="3"/>
  <c r="S171" i="3"/>
  <c r="AN170" i="3"/>
  <c r="AN177" i="3" s="1"/>
  <c r="AH170" i="3"/>
  <c r="AG170" i="3"/>
  <c r="AF170" i="3"/>
  <c r="AD170" i="3"/>
  <c r="AC170" i="3"/>
  <c r="AB170" i="3"/>
  <c r="AA170" i="3"/>
  <c r="Z170" i="3"/>
  <c r="Y170" i="3"/>
  <c r="X170" i="3"/>
  <c r="W170" i="3"/>
  <c r="V170" i="3"/>
  <c r="U170" i="3"/>
  <c r="T170" i="3"/>
  <c r="S170" i="3"/>
  <c r="AL169" i="3"/>
  <c r="AK169" i="3"/>
  <c r="AH169" i="3"/>
  <c r="AF169" i="3"/>
  <c r="AD169" i="3"/>
  <c r="AC169" i="3"/>
  <c r="Z169" i="3"/>
  <c r="X169" i="3"/>
  <c r="W169" i="3"/>
  <c r="AG169" i="3" s="1"/>
  <c r="V169" i="3"/>
  <c r="U169" i="3"/>
  <c r="T169" i="3"/>
  <c r="S169" i="3"/>
  <c r="AB169" i="3" s="1"/>
  <c r="BD168" i="3"/>
  <c r="BC168" i="3"/>
  <c r="BB168" i="3"/>
  <c r="BA168" i="3"/>
  <c r="AZ168" i="3"/>
  <c r="AY168" i="3"/>
  <c r="AX168" i="3"/>
  <c r="AW168" i="3"/>
  <c r="AV168" i="3"/>
  <c r="AU168" i="3"/>
  <c r="AT168" i="3"/>
  <c r="AR168" i="3"/>
  <c r="AQ168" i="3"/>
  <c r="AP168" i="3"/>
  <c r="AO168" i="3"/>
  <c r="AN168" i="3"/>
  <c r="AM168" i="3"/>
  <c r="AL168" i="3"/>
  <c r="AH168" i="3"/>
  <c r="AF168" i="3"/>
  <c r="AD168" i="3"/>
  <c r="AC168" i="3"/>
  <c r="AB168" i="3"/>
  <c r="AA168" i="3"/>
  <c r="Z168" i="3"/>
  <c r="W168" i="3"/>
  <c r="AG168" i="3" s="1"/>
  <c r="V168" i="3"/>
  <c r="U168" i="3"/>
  <c r="T168" i="3"/>
  <c r="S168" i="3"/>
  <c r="BD167" i="3"/>
  <c r="BC167" i="3"/>
  <c r="BB167" i="3"/>
  <c r="AZ167" i="3"/>
  <c r="AY167" i="3"/>
  <c r="AX167" i="3"/>
  <c r="AW167" i="3"/>
  <c r="AV167" i="3"/>
  <c r="AU167" i="3"/>
  <c r="AT167" i="3"/>
  <c r="AS167" i="3"/>
  <c r="AR167" i="3"/>
  <c r="AQ167" i="3"/>
  <c r="AP167" i="3"/>
  <c r="AL167" i="3" s="1"/>
  <c r="AO167" i="3"/>
  <c r="AN167" i="3"/>
  <c r="AH167" i="3"/>
  <c r="AF167" i="3"/>
  <c r="AD167" i="3"/>
  <c r="AC167" i="3"/>
  <c r="Z167" i="3"/>
  <c r="X167" i="3"/>
  <c r="W167" i="3"/>
  <c r="AM209" i="3" s="1"/>
  <c r="V167" i="3"/>
  <c r="U167" i="3"/>
  <c r="T167" i="3"/>
  <c r="S167" i="3"/>
  <c r="AB167" i="3" s="1"/>
  <c r="BD166" i="3"/>
  <c r="BC166" i="3"/>
  <c r="BB166" i="3"/>
  <c r="BA166" i="3"/>
  <c r="AZ166" i="3"/>
  <c r="AY166" i="3"/>
  <c r="AX166" i="3"/>
  <c r="AV166" i="3"/>
  <c r="AT166" i="3"/>
  <c r="AR166" i="3"/>
  <c r="AQ166" i="3"/>
  <c r="AP166" i="3"/>
  <c r="AO166" i="3"/>
  <c r="AN166" i="3"/>
  <c r="AM166" i="3"/>
  <c r="AL166" i="3"/>
  <c r="AH166" i="3"/>
  <c r="AF166" i="3"/>
  <c r="AD166" i="3"/>
  <c r="AC166" i="3"/>
  <c r="AB166" i="3"/>
  <c r="AA166" i="3"/>
  <c r="Z166" i="3"/>
  <c r="W166" i="3"/>
  <c r="AG166" i="3" s="1"/>
  <c r="V166" i="3"/>
  <c r="U166" i="3"/>
  <c r="T166" i="3"/>
  <c r="S166" i="3"/>
  <c r="BD165" i="3"/>
  <c r="BD176" i="3" s="1"/>
  <c r="BC165" i="3"/>
  <c r="BB165" i="3"/>
  <c r="BB176" i="3" s="1"/>
  <c r="AZ165" i="3"/>
  <c r="AZ176" i="3" s="1"/>
  <c r="AX165" i="3"/>
  <c r="AX176" i="3" s="1"/>
  <c r="AV165" i="3"/>
  <c r="AV176" i="3" s="1"/>
  <c r="AT165" i="3"/>
  <c r="AT176" i="3" s="1"/>
  <c r="AS165" i="3"/>
  <c r="AR165" i="3"/>
  <c r="AR176" i="3" s="1"/>
  <c r="AP165" i="3"/>
  <c r="AP176" i="3" s="1"/>
  <c r="AO165" i="3"/>
  <c r="AN165" i="3"/>
  <c r="AF165" i="3"/>
  <c r="AD165" i="3"/>
  <c r="AC165" i="3"/>
  <c r="Z165" i="3"/>
  <c r="W165" i="3"/>
  <c r="AH165" i="3" s="1"/>
  <c r="V165" i="3"/>
  <c r="U165" i="3"/>
  <c r="T165" i="3"/>
  <c r="S165" i="3"/>
  <c r="AB165" i="3" s="1"/>
  <c r="G165" i="3"/>
  <c r="AN164" i="3"/>
  <c r="AN176" i="3" s="1"/>
  <c r="AL164" i="3"/>
  <c r="AF164" i="3"/>
  <c r="AD164" i="3"/>
  <c r="AC164" i="3"/>
  <c r="Z164" i="3"/>
  <c r="V164" i="3"/>
  <c r="U164" i="3"/>
  <c r="T164" i="3"/>
  <c r="S164" i="3"/>
  <c r="AB164" i="3" s="1"/>
  <c r="G164" i="3"/>
  <c r="W164" i="3" s="1"/>
  <c r="AF163" i="3"/>
  <c r="AD163" i="3"/>
  <c r="AC163" i="3"/>
  <c r="Z163" i="3"/>
  <c r="V163" i="3"/>
  <c r="U163" i="3"/>
  <c r="T163" i="3"/>
  <c r="S163" i="3"/>
  <c r="AB163" i="3" s="1"/>
  <c r="G163" i="3"/>
  <c r="W163" i="3" s="1"/>
  <c r="AF162" i="3"/>
  <c r="AD162" i="3"/>
  <c r="AC162" i="3"/>
  <c r="Z162" i="3"/>
  <c r="V162" i="3"/>
  <c r="U162" i="3"/>
  <c r="T162" i="3"/>
  <c r="S162" i="3"/>
  <c r="AB162" i="3" s="1"/>
  <c r="G162" i="3"/>
  <c r="W162" i="3" s="1"/>
  <c r="AF161" i="3"/>
  <c r="AD161" i="3"/>
  <c r="AC161" i="3"/>
  <c r="Z161" i="3"/>
  <c r="V161" i="3"/>
  <c r="U161" i="3"/>
  <c r="T161" i="3"/>
  <c r="S161" i="3"/>
  <c r="G161" i="3"/>
  <c r="W161" i="3" s="1"/>
  <c r="AF160" i="3"/>
  <c r="AD160" i="3"/>
  <c r="AC160" i="3"/>
  <c r="Z160" i="3"/>
  <c r="V160" i="3"/>
  <c r="U160" i="3"/>
  <c r="T160" i="3"/>
  <c r="S160" i="3"/>
  <c r="AB160" i="3" s="1"/>
  <c r="G160" i="3"/>
  <c r="W160" i="3" s="1"/>
  <c r="AF159" i="3"/>
  <c r="AD159" i="3"/>
  <c r="AC159" i="3"/>
  <c r="Z159" i="3"/>
  <c r="V159" i="3"/>
  <c r="U159" i="3"/>
  <c r="T159" i="3"/>
  <c r="S159" i="3"/>
  <c r="AB159" i="3" s="1"/>
  <c r="G159" i="3"/>
  <c r="W159" i="3" s="1"/>
  <c r="AF158" i="3"/>
  <c r="AD158" i="3"/>
  <c r="AC158" i="3"/>
  <c r="Z158" i="3"/>
  <c r="W158" i="3"/>
  <c r="AU210" i="3" s="1"/>
  <c r="V158" i="3"/>
  <c r="U158" i="3"/>
  <c r="T158" i="3"/>
  <c r="S158" i="3"/>
  <c r="AB158" i="3" s="1"/>
  <c r="G158" i="3"/>
  <c r="AF157" i="3"/>
  <c r="AD157" i="3"/>
  <c r="AC157" i="3"/>
  <c r="Z157" i="3"/>
  <c r="V157" i="3"/>
  <c r="U157" i="3"/>
  <c r="T157" i="3"/>
  <c r="S157" i="3"/>
  <c r="AB157" i="3" s="1"/>
  <c r="G157" i="3"/>
  <c r="W157" i="3" s="1"/>
  <c r="AF156" i="3"/>
  <c r="AD156" i="3"/>
  <c r="AC156" i="3"/>
  <c r="Z156" i="3"/>
  <c r="V156" i="3"/>
  <c r="U156" i="3"/>
  <c r="T156" i="3"/>
  <c r="S156" i="3"/>
  <c r="AB156" i="3" s="1"/>
  <c r="G156" i="3"/>
  <c r="W156" i="3" s="1"/>
  <c r="BD155" i="3"/>
  <c r="BC155" i="3"/>
  <c r="BB155" i="3"/>
  <c r="BA155" i="3"/>
  <c r="AZ155" i="3"/>
  <c r="AY155" i="3"/>
  <c r="AX155" i="3"/>
  <c r="AX158" i="3" s="1"/>
  <c r="AW155" i="3"/>
  <c r="AV155" i="3"/>
  <c r="AU155" i="3"/>
  <c r="AT155" i="3"/>
  <c r="AS155" i="3"/>
  <c r="AR155" i="3"/>
  <c r="AQ155" i="3"/>
  <c r="AP155" i="3"/>
  <c r="AP158" i="3" s="1"/>
  <c r="AO155" i="3"/>
  <c r="AN155" i="3"/>
  <c r="AM155" i="3"/>
  <c r="AF155" i="3"/>
  <c r="AU299" i="3" s="1"/>
  <c r="AD155" i="3"/>
  <c r="AC155" i="3"/>
  <c r="Z155" i="3"/>
  <c r="W155" i="3"/>
  <c r="V155" i="3"/>
  <c r="U155" i="3"/>
  <c r="T155" i="3"/>
  <c r="S155" i="3"/>
  <c r="AB155" i="3" s="1"/>
  <c r="G155" i="3"/>
  <c r="BD154" i="3"/>
  <c r="BC154" i="3"/>
  <c r="BB154" i="3"/>
  <c r="BA154" i="3"/>
  <c r="AZ154" i="3"/>
  <c r="AZ158" i="3" s="1"/>
  <c r="AY154" i="3"/>
  <c r="AX154" i="3"/>
  <c r="AW154" i="3"/>
  <c r="AV154" i="3"/>
  <c r="AU154" i="3"/>
  <c r="AT154" i="3"/>
  <c r="AS154" i="3"/>
  <c r="AR154" i="3"/>
  <c r="AQ154" i="3"/>
  <c r="AP154" i="3"/>
  <c r="AO154" i="3"/>
  <c r="AN154" i="3"/>
  <c r="AM154" i="3"/>
  <c r="AL154" i="3"/>
  <c r="AF154" i="3"/>
  <c r="AD154" i="3"/>
  <c r="AC154" i="3"/>
  <c r="V154" i="3"/>
  <c r="U154" i="3"/>
  <c r="T154" i="3"/>
  <c r="S154" i="3"/>
  <c r="G154" i="3"/>
  <c r="BD153" i="3"/>
  <c r="BC153" i="3"/>
  <c r="BB153" i="3"/>
  <c r="BA153" i="3"/>
  <c r="AZ153" i="3"/>
  <c r="AX153" i="3"/>
  <c r="AW153" i="3"/>
  <c r="AV153" i="3"/>
  <c r="AT153" i="3"/>
  <c r="AS153" i="3"/>
  <c r="AR153" i="3"/>
  <c r="AQ153" i="3"/>
  <c r="AP153" i="3"/>
  <c r="AL153" i="3" s="1"/>
  <c r="AO153" i="3"/>
  <c r="AN153" i="3"/>
  <c r="AM153" i="3"/>
  <c r="AG153" i="3"/>
  <c r="AF153" i="3"/>
  <c r="AD153" i="3"/>
  <c r="AC153" i="3"/>
  <c r="Y153" i="3"/>
  <c r="W153" i="3"/>
  <c r="AA153" i="3" s="1"/>
  <c r="V153" i="3"/>
  <c r="U153" i="3"/>
  <c r="T153" i="3"/>
  <c r="S153" i="3"/>
  <c r="AB153" i="3" s="1"/>
  <c r="G153" i="3"/>
  <c r="AH153" i="3" s="1"/>
  <c r="BD152" i="3"/>
  <c r="BD158" i="3" s="1"/>
  <c r="BC152" i="3"/>
  <c r="BB152" i="3"/>
  <c r="BB158" i="3" s="1"/>
  <c r="BA152" i="3"/>
  <c r="AZ152" i="3"/>
  <c r="AY152" i="3"/>
  <c r="AX152" i="3"/>
  <c r="AW152" i="3"/>
  <c r="AV152" i="3"/>
  <c r="AV158" i="3" s="1"/>
  <c r="AT152" i="3"/>
  <c r="AT158" i="3" s="1"/>
  <c r="AS152" i="3"/>
  <c r="AR152" i="3"/>
  <c r="AR158" i="3" s="1"/>
  <c r="AQ152" i="3"/>
  <c r="AP152" i="3"/>
  <c r="AO152" i="3"/>
  <c r="AN152" i="3"/>
  <c r="AN158" i="3" s="1"/>
  <c r="AM152" i="3"/>
  <c r="AF152" i="3"/>
  <c r="AD152" i="3"/>
  <c r="AC152" i="3"/>
  <c r="V152" i="3"/>
  <c r="U152" i="3"/>
  <c r="T152" i="3"/>
  <c r="S152" i="3"/>
  <c r="G152" i="3"/>
  <c r="W152" i="3" s="1"/>
  <c r="AN151" i="3"/>
  <c r="AL151" i="3" s="1"/>
  <c r="AF151" i="3"/>
  <c r="AD151" i="3"/>
  <c r="AC151" i="3"/>
  <c r="V151" i="3"/>
  <c r="U151" i="3"/>
  <c r="T151" i="3"/>
  <c r="S151" i="3"/>
  <c r="G151" i="3"/>
  <c r="AL150" i="3"/>
  <c r="AK150" i="3"/>
  <c r="AF150" i="3"/>
  <c r="AU301" i="3" s="1"/>
  <c r="AD150" i="3"/>
  <c r="AC150" i="3"/>
  <c r="V150" i="3"/>
  <c r="U150" i="3"/>
  <c r="T150" i="3"/>
  <c r="S150" i="3"/>
  <c r="G150" i="3"/>
  <c r="W150" i="3" s="1"/>
  <c r="BD149" i="3"/>
  <c r="BC149" i="3"/>
  <c r="BB149" i="3"/>
  <c r="BA149" i="3"/>
  <c r="AZ149" i="3"/>
  <c r="AY149" i="3"/>
  <c r="AX149" i="3"/>
  <c r="AV149" i="3"/>
  <c r="AU149" i="3"/>
  <c r="AT149" i="3"/>
  <c r="AR149" i="3"/>
  <c r="AQ149" i="3"/>
  <c r="AP149" i="3"/>
  <c r="AL149" i="3" s="1"/>
  <c r="AO149" i="3"/>
  <c r="AN149" i="3"/>
  <c r="AF149" i="3"/>
  <c r="AD149" i="3"/>
  <c r="AC149" i="3"/>
  <c r="V149" i="3"/>
  <c r="U149" i="3"/>
  <c r="T149" i="3"/>
  <c r="S149" i="3"/>
  <c r="G149" i="3"/>
  <c r="BD148" i="3"/>
  <c r="BC148" i="3"/>
  <c r="BB148" i="3"/>
  <c r="AZ148" i="3"/>
  <c r="AY148" i="3"/>
  <c r="AX148" i="3"/>
  <c r="AV148" i="3"/>
  <c r="AU148" i="3"/>
  <c r="AT148" i="3"/>
  <c r="AS148" i="3"/>
  <c r="AR148" i="3"/>
  <c r="AQ148" i="3"/>
  <c r="AP148" i="3"/>
  <c r="AL148" i="3" s="1"/>
  <c r="AO148" i="3"/>
  <c r="AN148" i="3"/>
  <c r="AM148" i="3"/>
  <c r="AF148" i="3"/>
  <c r="AD148" i="3"/>
  <c r="AC148" i="3"/>
  <c r="V148" i="3"/>
  <c r="U148" i="3"/>
  <c r="T148" i="3"/>
  <c r="S148" i="3"/>
  <c r="G148" i="3"/>
  <c r="BD147" i="3"/>
  <c r="BC147" i="3"/>
  <c r="BB147" i="3"/>
  <c r="AZ147" i="3"/>
  <c r="AX147" i="3"/>
  <c r="AV147" i="3"/>
  <c r="AT147" i="3"/>
  <c r="AR147" i="3"/>
  <c r="AQ147" i="3"/>
  <c r="AP147" i="3"/>
  <c r="AO147" i="3"/>
  <c r="AN147" i="3"/>
  <c r="AM147" i="3"/>
  <c r="AL147" i="3"/>
  <c r="AF147" i="3"/>
  <c r="AD147" i="3"/>
  <c r="AC147" i="3"/>
  <c r="AA147" i="3"/>
  <c r="W147" i="3"/>
  <c r="V147" i="3"/>
  <c r="U147" i="3"/>
  <c r="T147" i="3"/>
  <c r="S147" i="3"/>
  <c r="AB147" i="3" s="1"/>
  <c r="G147" i="3"/>
  <c r="AH147" i="3" s="1"/>
  <c r="BD146" i="3"/>
  <c r="BD157" i="3" s="1"/>
  <c r="BC146" i="3"/>
  <c r="BB146" i="3"/>
  <c r="BB157" i="3" s="1"/>
  <c r="BA146" i="3"/>
  <c r="AZ146" i="3"/>
  <c r="AZ157" i="3" s="1"/>
  <c r="AX146" i="3"/>
  <c r="AX157" i="3" s="1"/>
  <c r="AV146" i="3"/>
  <c r="AV157" i="3" s="1"/>
  <c r="AT146" i="3"/>
  <c r="AT157" i="3" s="1"/>
  <c r="AS146" i="3"/>
  <c r="AR146" i="3"/>
  <c r="AR157" i="3" s="1"/>
  <c r="AQ146" i="3"/>
  <c r="AP146" i="3"/>
  <c r="AL146" i="3" s="1"/>
  <c r="AO146" i="3"/>
  <c r="AN146" i="3"/>
  <c r="AF146" i="3"/>
  <c r="AD146" i="3"/>
  <c r="AC146" i="3"/>
  <c r="V146" i="3"/>
  <c r="U146" i="3"/>
  <c r="T146" i="3"/>
  <c r="S146" i="3"/>
  <c r="G146" i="3"/>
  <c r="AN145" i="3"/>
  <c r="AN157" i="3" s="1"/>
  <c r="AF145" i="3"/>
  <c r="AD145" i="3"/>
  <c r="AC145" i="3"/>
  <c r="W145" i="3"/>
  <c r="AG145" i="3" s="1"/>
  <c r="V145" i="3"/>
  <c r="U145" i="3"/>
  <c r="T145" i="3"/>
  <c r="S145" i="3"/>
  <c r="G145" i="3"/>
  <c r="AH145" i="3" s="1"/>
  <c r="AF144" i="3"/>
  <c r="AD144" i="3"/>
  <c r="AC144" i="3"/>
  <c r="V144" i="3"/>
  <c r="U144" i="3"/>
  <c r="T144" i="3"/>
  <c r="S144" i="3"/>
  <c r="G144" i="3"/>
  <c r="AG143" i="3"/>
  <c r="AF143" i="3"/>
  <c r="AD143" i="3"/>
  <c r="AC143" i="3"/>
  <c r="Y143" i="3"/>
  <c r="W143" i="3"/>
  <c r="AA143" i="3" s="1"/>
  <c r="V143" i="3"/>
  <c r="U143" i="3"/>
  <c r="T143" i="3"/>
  <c r="S143" i="3"/>
  <c r="AB143" i="3" s="1"/>
  <c r="G143" i="3"/>
  <c r="AH143" i="3" s="1"/>
  <c r="AF142" i="3"/>
  <c r="AD142" i="3"/>
  <c r="AC142" i="3"/>
  <c r="V142" i="3"/>
  <c r="U142" i="3"/>
  <c r="T142" i="3"/>
  <c r="S142" i="3"/>
  <c r="G142" i="3"/>
  <c r="AF141" i="3"/>
  <c r="AD141" i="3"/>
  <c r="AC141" i="3"/>
  <c r="V141" i="3"/>
  <c r="U141" i="3"/>
  <c r="T141" i="3"/>
  <c r="S141" i="3"/>
  <c r="G141" i="3"/>
  <c r="AF140" i="3"/>
  <c r="AD140" i="3"/>
  <c r="AC140" i="3"/>
  <c r="V140" i="3"/>
  <c r="U140" i="3"/>
  <c r="T140" i="3"/>
  <c r="S140" i="3"/>
  <c r="G140" i="3"/>
  <c r="AG139" i="3"/>
  <c r="AF139" i="3"/>
  <c r="AD139" i="3"/>
  <c r="AC139" i="3"/>
  <c r="Y139" i="3"/>
  <c r="W139" i="3"/>
  <c r="AA139" i="3" s="1"/>
  <c r="V139" i="3"/>
  <c r="U139" i="3"/>
  <c r="T139" i="3"/>
  <c r="S139" i="3"/>
  <c r="AB139" i="3" s="1"/>
  <c r="G139" i="3"/>
  <c r="AH139" i="3" s="1"/>
  <c r="AF138" i="3"/>
  <c r="AD138" i="3"/>
  <c r="AC138" i="3"/>
  <c r="V138" i="3"/>
  <c r="U138" i="3"/>
  <c r="T138" i="3"/>
  <c r="S138" i="3"/>
  <c r="G138" i="3"/>
  <c r="W138" i="3" s="1"/>
  <c r="AF137" i="3"/>
  <c r="AD137" i="3"/>
  <c r="AC137" i="3"/>
  <c r="W137" i="3"/>
  <c r="AG137" i="3" s="1"/>
  <c r="V137" i="3"/>
  <c r="U137" i="3"/>
  <c r="T137" i="3"/>
  <c r="S137" i="3"/>
  <c r="G137" i="3"/>
  <c r="AH137" i="3" s="1"/>
  <c r="BD136" i="3"/>
  <c r="BC136" i="3"/>
  <c r="BB136" i="3"/>
  <c r="BA136" i="3"/>
  <c r="AZ136" i="3"/>
  <c r="AY136" i="3"/>
  <c r="AX136" i="3"/>
  <c r="AW136" i="3"/>
  <c r="AV136" i="3"/>
  <c r="AU136" i="3"/>
  <c r="AT136" i="3"/>
  <c r="AS136" i="3"/>
  <c r="AR136" i="3"/>
  <c r="AQ136" i="3"/>
  <c r="AP136" i="3"/>
  <c r="AO136" i="3"/>
  <c r="AK136" i="3" s="1"/>
  <c r="AN136" i="3"/>
  <c r="AM136" i="3"/>
  <c r="AL136" i="3"/>
  <c r="AF136" i="3"/>
  <c r="AD136" i="3"/>
  <c r="AC136" i="3"/>
  <c r="V136" i="3"/>
  <c r="U136" i="3"/>
  <c r="T136" i="3"/>
  <c r="S136" i="3"/>
  <c r="G136" i="3"/>
  <c r="BD135" i="3"/>
  <c r="BC135" i="3"/>
  <c r="BB135" i="3"/>
  <c r="BA135" i="3"/>
  <c r="AZ135" i="3"/>
  <c r="AY135" i="3"/>
  <c r="AX135" i="3"/>
  <c r="AW135" i="3"/>
  <c r="AV135" i="3"/>
  <c r="AU135" i="3"/>
  <c r="AT135" i="3"/>
  <c r="AS135" i="3"/>
  <c r="AR135" i="3"/>
  <c r="AQ135" i="3"/>
  <c r="AP135" i="3"/>
  <c r="AL135" i="3" s="1"/>
  <c r="AO135" i="3"/>
  <c r="AN135" i="3"/>
  <c r="AM135" i="3"/>
  <c r="AG135" i="3"/>
  <c r="AF135" i="3"/>
  <c r="AD135" i="3"/>
  <c r="AC135" i="3"/>
  <c r="Y135" i="3"/>
  <c r="W135" i="3"/>
  <c r="AA135" i="3" s="1"/>
  <c r="V135" i="3"/>
  <c r="U135" i="3"/>
  <c r="T135" i="3"/>
  <c r="S135" i="3"/>
  <c r="AB135" i="3" s="1"/>
  <c r="G135" i="3"/>
  <c r="AH135" i="3" s="1"/>
  <c r="BD134" i="3"/>
  <c r="BC134" i="3"/>
  <c r="BB134" i="3"/>
  <c r="BA134" i="3"/>
  <c r="AZ134" i="3"/>
  <c r="AY134" i="3"/>
  <c r="AX134" i="3"/>
  <c r="AW134" i="3"/>
  <c r="AV134" i="3"/>
  <c r="AT134" i="3"/>
  <c r="AS134" i="3"/>
  <c r="AR134" i="3"/>
  <c r="AQ134" i="3"/>
  <c r="AP134" i="3"/>
  <c r="AO134" i="3"/>
  <c r="AN134" i="3"/>
  <c r="AL134" i="3" s="1"/>
  <c r="AM134" i="3"/>
  <c r="AD134" i="3"/>
  <c r="AC134" i="3"/>
  <c r="V134" i="3"/>
  <c r="U134" i="3"/>
  <c r="T134" i="3"/>
  <c r="S134" i="3"/>
  <c r="AB134" i="3" s="1"/>
  <c r="H134" i="3"/>
  <c r="AF134" i="3" s="1"/>
  <c r="G134" i="3"/>
  <c r="W134" i="3" s="1"/>
  <c r="BD133" i="3"/>
  <c r="BD139" i="3" s="1"/>
  <c r="BC133" i="3"/>
  <c r="BB133" i="3"/>
  <c r="BB139" i="3" s="1"/>
  <c r="BA133" i="3"/>
  <c r="AZ133" i="3"/>
  <c r="AZ139" i="3" s="1"/>
  <c r="AX133" i="3"/>
  <c r="AX139" i="3" s="1"/>
  <c r="AW133" i="3"/>
  <c r="AV133" i="3"/>
  <c r="AV139" i="3" s="1"/>
  <c r="AT133" i="3"/>
  <c r="AT139" i="3" s="1"/>
  <c r="AS133" i="3"/>
  <c r="AS139" i="3" s="1"/>
  <c r="AR133" i="3"/>
  <c r="AR139" i="3" s="1"/>
  <c r="AP133" i="3"/>
  <c r="AL133" i="3" s="1"/>
  <c r="AO133" i="3"/>
  <c r="AN133" i="3"/>
  <c r="AM133" i="3"/>
  <c r="AD133" i="3"/>
  <c r="AC133" i="3"/>
  <c r="V133" i="3"/>
  <c r="U133" i="3"/>
  <c r="T133" i="3"/>
  <c r="S133" i="3"/>
  <c r="H133" i="3"/>
  <c r="AF133" i="3" s="1"/>
  <c r="G133" i="3"/>
  <c r="AN132" i="3"/>
  <c r="AN139" i="3" s="1"/>
  <c r="AL132" i="3"/>
  <c r="AF132" i="3"/>
  <c r="AD132" i="3"/>
  <c r="AC132" i="3"/>
  <c r="W132" i="3"/>
  <c r="AH132" i="3" s="1"/>
  <c r="V132" i="3"/>
  <c r="U132" i="3"/>
  <c r="T132" i="3"/>
  <c r="S132" i="3"/>
  <c r="AB132" i="3" s="1"/>
  <c r="H132" i="3"/>
  <c r="Z132" i="3" s="1"/>
  <c r="AD131" i="3"/>
  <c r="AC131" i="3"/>
  <c r="V131" i="3"/>
  <c r="U131" i="3"/>
  <c r="T131" i="3"/>
  <c r="S131" i="3"/>
  <c r="H131" i="3"/>
  <c r="Z131" i="3" s="1"/>
  <c r="BD130" i="3"/>
  <c r="BC130" i="3"/>
  <c r="BB130" i="3"/>
  <c r="BA130" i="3"/>
  <c r="AZ130" i="3"/>
  <c r="AY130" i="3"/>
  <c r="AX130" i="3"/>
  <c r="AW130" i="3"/>
  <c r="AV130" i="3"/>
  <c r="AU130" i="3"/>
  <c r="AT130" i="3"/>
  <c r="AR130" i="3"/>
  <c r="AQ130" i="3"/>
  <c r="AP130" i="3"/>
  <c r="AO130" i="3"/>
  <c r="AN130" i="3"/>
  <c r="AM130" i="3"/>
  <c r="AL130" i="3"/>
  <c r="AD130" i="3"/>
  <c r="AC130" i="3"/>
  <c r="V130" i="3"/>
  <c r="U130" i="3"/>
  <c r="T130" i="3"/>
  <c r="S130" i="3"/>
  <c r="H130" i="3"/>
  <c r="AF130" i="3" s="1"/>
  <c r="G130" i="3"/>
  <c r="BD129" i="3"/>
  <c r="BC129" i="3"/>
  <c r="BB129" i="3"/>
  <c r="BA129" i="3"/>
  <c r="AZ129" i="3"/>
  <c r="AY129" i="3"/>
  <c r="AX129" i="3"/>
  <c r="AV129" i="3"/>
  <c r="AU129" i="3"/>
  <c r="AT129" i="3"/>
  <c r="AR129" i="3"/>
  <c r="AQ129" i="3"/>
  <c r="AP129" i="3"/>
  <c r="AO129" i="3"/>
  <c r="AN129" i="3"/>
  <c r="AM129" i="3"/>
  <c r="AL129" i="3"/>
  <c r="AF129" i="3"/>
  <c r="AD129" i="3"/>
  <c r="AC129" i="3"/>
  <c r="W129" i="3"/>
  <c r="AA129" i="3" s="1"/>
  <c r="V129" i="3"/>
  <c r="U129" i="3"/>
  <c r="T129" i="3"/>
  <c r="S129" i="3"/>
  <c r="AB129" i="3" s="1"/>
  <c r="H129" i="3"/>
  <c r="G129" i="3"/>
  <c r="AH129" i="3" s="1"/>
  <c r="BD128" i="3"/>
  <c r="BC128" i="3"/>
  <c r="BB128" i="3"/>
  <c r="AZ128" i="3"/>
  <c r="AY128" i="3"/>
  <c r="AX128" i="3"/>
  <c r="AW128" i="3"/>
  <c r="AV128" i="3"/>
  <c r="AT128" i="3"/>
  <c r="AR128" i="3"/>
  <c r="AQ128" i="3"/>
  <c r="AP128" i="3"/>
  <c r="AO128" i="3"/>
  <c r="AN128" i="3"/>
  <c r="AM128" i="3"/>
  <c r="AL128" i="3"/>
  <c r="AD128" i="3"/>
  <c r="AC128" i="3"/>
  <c r="V128" i="3"/>
  <c r="U128" i="3"/>
  <c r="T128" i="3"/>
  <c r="S128" i="3"/>
  <c r="H128" i="3"/>
  <c r="AF128" i="3" s="1"/>
  <c r="G128" i="3"/>
  <c r="W128" i="3" s="1"/>
  <c r="BD127" i="3"/>
  <c r="BD138" i="3" s="1"/>
  <c r="BC127" i="3"/>
  <c r="BB127" i="3"/>
  <c r="BB138" i="3" s="1"/>
  <c r="AZ127" i="3"/>
  <c r="AZ138" i="3" s="1"/>
  <c r="AX127" i="3"/>
  <c r="AX138" i="3" s="1"/>
  <c r="AV127" i="3"/>
  <c r="AV138" i="3" s="1"/>
  <c r="AT127" i="3"/>
  <c r="AT138" i="3" s="1"/>
  <c r="AS127" i="3"/>
  <c r="AR127" i="3"/>
  <c r="AR138" i="3" s="1"/>
  <c r="AP127" i="3"/>
  <c r="AP138" i="3" s="1"/>
  <c r="AO127" i="3"/>
  <c r="AN127" i="3"/>
  <c r="AD127" i="3"/>
  <c r="AC127" i="3"/>
  <c r="V127" i="3"/>
  <c r="U127" i="3"/>
  <c r="T127" i="3"/>
  <c r="S127" i="3"/>
  <c r="H127" i="3"/>
  <c r="Z127" i="3" s="1"/>
  <c r="AN126" i="3"/>
  <c r="AN138" i="3" s="1"/>
  <c r="AD126" i="3"/>
  <c r="AC126" i="3"/>
  <c r="V126" i="3"/>
  <c r="U126" i="3"/>
  <c r="T126" i="3"/>
  <c r="S126" i="3"/>
  <c r="H126" i="3"/>
  <c r="AF126" i="3" s="1"/>
  <c r="G126" i="3"/>
  <c r="W126" i="3" s="1"/>
  <c r="AD125" i="3"/>
  <c r="AC125" i="3"/>
  <c r="V125" i="3"/>
  <c r="U125" i="3"/>
  <c r="T125" i="3"/>
  <c r="S125" i="3"/>
  <c r="H125" i="3"/>
  <c r="AF125" i="3" s="1"/>
  <c r="G125" i="3"/>
  <c r="AD124" i="3"/>
  <c r="AC124" i="3"/>
  <c r="V124" i="3"/>
  <c r="U124" i="3"/>
  <c r="T124" i="3"/>
  <c r="S124" i="3"/>
  <c r="H124" i="3"/>
  <c r="Z124" i="3" s="1"/>
  <c r="AD123" i="3"/>
  <c r="AC123" i="3"/>
  <c r="V123" i="3"/>
  <c r="U123" i="3"/>
  <c r="T123" i="3"/>
  <c r="S123" i="3"/>
  <c r="H123" i="3"/>
  <c r="Z123" i="3" s="1"/>
  <c r="AD122" i="3"/>
  <c r="AC122" i="3"/>
  <c r="V122" i="3"/>
  <c r="U122" i="3"/>
  <c r="T122" i="3"/>
  <c r="S122" i="3"/>
  <c r="H122" i="3"/>
  <c r="AF122" i="3" s="1"/>
  <c r="G122" i="3"/>
  <c r="AD121" i="3"/>
  <c r="AC121" i="3"/>
  <c r="V121" i="3"/>
  <c r="U121" i="3"/>
  <c r="T121" i="3"/>
  <c r="S121" i="3"/>
  <c r="H121" i="3"/>
  <c r="AF121" i="3" s="1"/>
  <c r="G121" i="3"/>
  <c r="AD120" i="3"/>
  <c r="AC120" i="3"/>
  <c r="Z120" i="3"/>
  <c r="V120" i="3"/>
  <c r="U120" i="3"/>
  <c r="T120" i="3"/>
  <c r="S120" i="3"/>
  <c r="H120" i="3"/>
  <c r="AF120" i="3" s="1"/>
  <c r="AD119" i="3"/>
  <c r="AC119" i="3"/>
  <c r="V119" i="3"/>
  <c r="U119" i="3"/>
  <c r="T119" i="3"/>
  <c r="S119" i="3"/>
  <c r="H119" i="3"/>
  <c r="Z119" i="3" s="1"/>
  <c r="AD118" i="3"/>
  <c r="AC118" i="3"/>
  <c r="V118" i="3"/>
  <c r="U118" i="3"/>
  <c r="T118" i="3"/>
  <c r="S118" i="3"/>
  <c r="H118" i="3"/>
  <c r="AF118" i="3" s="1"/>
  <c r="G118" i="3"/>
  <c r="BD117" i="3"/>
  <c r="BC117" i="3"/>
  <c r="BB117" i="3"/>
  <c r="BA117" i="3"/>
  <c r="AZ117" i="3"/>
  <c r="AZ120" i="3" s="1"/>
  <c r="AY117" i="3"/>
  <c r="AX117" i="3"/>
  <c r="AW117" i="3"/>
  <c r="AV117" i="3"/>
  <c r="AU117" i="3"/>
  <c r="AT117" i="3"/>
  <c r="AS117" i="3"/>
  <c r="AR117" i="3"/>
  <c r="AR120" i="3" s="1"/>
  <c r="AQ117" i="3"/>
  <c r="AP117" i="3"/>
  <c r="AL117" i="3" s="1"/>
  <c r="AO117" i="3"/>
  <c r="AN117" i="3"/>
  <c r="AM117" i="3"/>
  <c r="AF117" i="3"/>
  <c r="AD117" i="3"/>
  <c r="AC117" i="3"/>
  <c r="W117" i="3"/>
  <c r="AH117" i="3" s="1"/>
  <c r="V117" i="3"/>
  <c r="U117" i="3"/>
  <c r="T117" i="3"/>
  <c r="S117" i="3"/>
  <c r="AB117" i="3" s="1"/>
  <c r="H117" i="3"/>
  <c r="Z117" i="3" s="1"/>
  <c r="BD116" i="3"/>
  <c r="BC116" i="3"/>
  <c r="BB116" i="3"/>
  <c r="BA116" i="3"/>
  <c r="AZ116" i="3"/>
  <c r="AY116" i="3"/>
  <c r="AX116" i="3"/>
  <c r="AW116" i="3"/>
  <c r="AV116" i="3"/>
  <c r="AU116" i="3"/>
  <c r="AT116" i="3"/>
  <c r="AS116" i="3"/>
  <c r="AR116" i="3"/>
  <c r="AQ116" i="3"/>
  <c r="AP116" i="3"/>
  <c r="AO116" i="3"/>
  <c r="AN116" i="3"/>
  <c r="AM116" i="3"/>
  <c r="AL116" i="3"/>
  <c r="AD116" i="3"/>
  <c r="AC116" i="3"/>
  <c r="V116" i="3"/>
  <c r="U116" i="3"/>
  <c r="T116" i="3"/>
  <c r="S116" i="3"/>
  <c r="H116" i="3"/>
  <c r="AF116" i="3" s="1"/>
  <c r="G116" i="3"/>
  <c r="BD115" i="3"/>
  <c r="BC115" i="3"/>
  <c r="BB115" i="3"/>
  <c r="BA115" i="3"/>
  <c r="AZ115" i="3"/>
  <c r="AY115" i="3"/>
  <c r="AX115" i="3"/>
  <c r="AW115" i="3"/>
  <c r="AV115" i="3"/>
  <c r="AT115" i="3"/>
  <c r="AS115" i="3"/>
  <c r="AR115" i="3"/>
  <c r="AQ115" i="3"/>
  <c r="AP115" i="3"/>
  <c r="AO115" i="3"/>
  <c r="AN115" i="3"/>
  <c r="AM115" i="3"/>
  <c r="AL115" i="3"/>
  <c r="AD115" i="3"/>
  <c r="AC115" i="3"/>
  <c r="V115" i="3"/>
  <c r="U115" i="3"/>
  <c r="T115" i="3"/>
  <c r="S115" i="3"/>
  <c r="H115" i="3"/>
  <c r="Z115" i="3" s="1"/>
  <c r="BD114" i="3"/>
  <c r="BD120" i="3" s="1"/>
  <c r="BC114" i="3"/>
  <c r="BC120" i="3" s="1"/>
  <c r="BB114" i="3"/>
  <c r="BB120" i="3" s="1"/>
  <c r="BA114" i="3"/>
  <c r="AZ114" i="3"/>
  <c r="AX114" i="3"/>
  <c r="AX120" i="3" s="1"/>
  <c r="AW114" i="3"/>
  <c r="AV114" i="3"/>
  <c r="AV120" i="3" s="1"/>
  <c r="AU114" i="3"/>
  <c r="AT114" i="3"/>
  <c r="AT120" i="3" s="1"/>
  <c r="AS114" i="3"/>
  <c r="AR114" i="3"/>
  <c r="AQ114" i="3"/>
  <c r="AP114" i="3"/>
  <c r="AP120" i="3" s="1"/>
  <c r="AO114" i="3"/>
  <c r="AN114" i="3"/>
  <c r="AM114" i="3"/>
  <c r="AF114" i="3"/>
  <c r="AD114" i="3"/>
  <c r="AC114" i="3"/>
  <c r="W114" i="3"/>
  <c r="AA114" i="3" s="1"/>
  <c r="AE114" i="3" s="1"/>
  <c r="V114" i="3"/>
  <c r="U114" i="3"/>
  <c r="T114" i="3"/>
  <c r="S114" i="3"/>
  <c r="AB114" i="3" s="1"/>
  <c r="H114" i="3"/>
  <c r="G114" i="3"/>
  <c r="AH114" i="3" s="1"/>
  <c r="AN113" i="3"/>
  <c r="AN120" i="3" s="1"/>
  <c r="AL113" i="3"/>
  <c r="AD113" i="3"/>
  <c r="AC113" i="3"/>
  <c r="Z113" i="3"/>
  <c r="V113" i="3"/>
  <c r="U113" i="3"/>
  <c r="T113" i="3"/>
  <c r="S113" i="3"/>
  <c r="H113" i="3"/>
  <c r="AF113" i="3" s="1"/>
  <c r="AD112" i="3"/>
  <c r="AC112" i="3"/>
  <c r="Z112" i="3"/>
  <c r="V112" i="3"/>
  <c r="U112" i="3"/>
  <c r="T112" i="3"/>
  <c r="S112" i="3"/>
  <c r="H112" i="3"/>
  <c r="AF112" i="3" s="1"/>
  <c r="BD111" i="3"/>
  <c r="BC111" i="3"/>
  <c r="BB111" i="3"/>
  <c r="BA111" i="3"/>
  <c r="AZ111" i="3"/>
  <c r="AY111" i="3"/>
  <c r="AX111" i="3"/>
  <c r="AW111" i="3"/>
  <c r="AV111" i="3"/>
  <c r="AU111" i="3"/>
  <c r="AT111" i="3"/>
  <c r="AR111" i="3"/>
  <c r="AQ111" i="3"/>
  <c r="AP111" i="3"/>
  <c r="AL111" i="3" s="1"/>
  <c r="AO111" i="3"/>
  <c r="AN111" i="3"/>
  <c r="AM111" i="3"/>
  <c r="AF111" i="3"/>
  <c r="AD111" i="3"/>
  <c r="AC111" i="3"/>
  <c r="Z111" i="3"/>
  <c r="W111" i="3"/>
  <c r="V111" i="3"/>
  <c r="U111" i="3"/>
  <c r="T111" i="3"/>
  <c r="S111" i="3"/>
  <c r="AB111" i="3" s="1"/>
  <c r="H111" i="3"/>
  <c r="BD110" i="3"/>
  <c r="BC110" i="3"/>
  <c r="BB110" i="3"/>
  <c r="AZ110" i="3"/>
  <c r="AY110" i="3"/>
  <c r="AX110" i="3"/>
  <c r="AV110" i="3"/>
  <c r="AU110" i="3"/>
  <c r="AT110" i="3"/>
  <c r="AS110" i="3"/>
  <c r="AR110" i="3"/>
  <c r="AQ110" i="3"/>
  <c r="AP110" i="3"/>
  <c r="AO110" i="3"/>
  <c r="AN110" i="3"/>
  <c r="AL110" i="3"/>
  <c r="AD110" i="3"/>
  <c r="AC110" i="3"/>
  <c r="V110" i="3"/>
  <c r="U110" i="3"/>
  <c r="T110" i="3"/>
  <c r="S110" i="3"/>
  <c r="H110" i="3"/>
  <c r="Z110" i="3" s="1"/>
  <c r="BD109" i="3"/>
  <c r="BC109" i="3"/>
  <c r="BB109" i="3"/>
  <c r="AZ109" i="3"/>
  <c r="AY109" i="3"/>
  <c r="AX109" i="3"/>
  <c r="AW109" i="3"/>
  <c r="AV109" i="3"/>
  <c r="AT109" i="3"/>
  <c r="AR109" i="3"/>
  <c r="AQ109" i="3"/>
  <c r="AP109" i="3"/>
  <c r="AL109" i="3" s="1"/>
  <c r="AO109" i="3"/>
  <c r="AN109" i="3"/>
  <c r="AM109" i="3"/>
  <c r="AF109" i="3"/>
  <c r="AD109" i="3"/>
  <c r="AC109" i="3"/>
  <c r="W109" i="3"/>
  <c r="V109" i="3"/>
  <c r="U109" i="3"/>
  <c r="T109" i="3"/>
  <c r="S109" i="3"/>
  <c r="AB109" i="3" s="1"/>
  <c r="H109" i="3"/>
  <c r="G109" i="3"/>
  <c r="AH109" i="3" s="1"/>
  <c r="BD108" i="3"/>
  <c r="BD119" i="3" s="1"/>
  <c r="BC108" i="3"/>
  <c r="BC119" i="3" s="1"/>
  <c r="BB108" i="3"/>
  <c r="BB119" i="3" s="1"/>
  <c r="BA108" i="3"/>
  <c r="AZ108" i="3"/>
  <c r="AZ119" i="3" s="1"/>
  <c r="AX108" i="3"/>
  <c r="AX119" i="3" s="1"/>
  <c r="AW108" i="3"/>
  <c r="AV108" i="3"/>
  <c r="AV119" i="3" s="1"/>
  <c r="AT108" i="3"/>
  <c r="AT119" i="3" s="1"/>
  <c r="AS108" i="3"/>
  <c r="AR108" i="3"/>
  <c r="AR119" i="3" s="1"/>
  <c r="AQ108" i="3"/>
  <c r="AP108" i="3"/>
  <c r="AP119" i="3" s="1"/>
  <c r="AO108" i="3"/>
  <c r="AO119" i="3" s="1"/>
  <c r="AN108" i="3"/>
  <c r="AN119" i="3" s="1"/>
  <c r="AL108" i="3"/>
  <c r="AD108" i="3"/>
  <c r="AC108" i="3"/>
  <c r="V108" i="3"/>
  <c r="U108" i="3"/>
  <c r="T108" i="3"/>
  <c r="S108" i="3"/>
  <c r="H108" i="3"/>
  <c r="AF108" i="3" s="1"/>
  <c r="G108" i="3"/>
  <c r="AN107" i="3"/>
  <c r="AL107" i="3"/>
  <c r="AL119" i="3" s="1"/>
  <c r="AF107" i="3"/>
  <c r="AD107" i="3"/>
  <c r="AC107" i="3"/>
  <c r="V107" i="3"/>
  <c r="U107" i="3"/>
  <c r="T107" i="3"/>
  <c r="S107" i="3"/>
  <c r="H107" i="3"/>
  <c r="G107" i="3"/>
  <c r="AD106" i="3"/>
  <c r="AC106" i="3"/>
  <c r="V106" i="3"/>
  <c r="U106" i="3"/>
  <c r="T106" i="3"/>
  <c r="S106" i="3"/>
  <c r="H106" i="3"/>
  <c r="AF106" i="3" s="1"/>
  <c r="G106" i="3"/>
  <c r="AD105" i="3"/>
  <c r="AC105" i="3"/>
  <c r="V105" i="3"/>
  <c r="U105" i="3"/>
  <c r="T105" i="3"/>
  <c r="S105" i="3"/>
  <c r="H105" i="3"/>
  <c r="AF105" i="3" s="1"/>
  <c r="G105" i="3"/>
  <c r="AD104" i="3"/>
  <c r="AC104" i="3"/>
  <c r="V104" i="3"/>
  <c r="U104" i="3"/>
  <c r="T104" i="3"/>
  <c r="S104" i="3"/>
  <c r="H104" i="3"/>
  <c r="AF104" i="3" s="1"/>
  <c r="G104" i="3"/>
  <c r="AD103" i="3"/>
  <c r="AC103" i="3"/>
  <c r="V103" i="3"/>
  <c r="U103" i="3"/>
  <c r="T103" i="3"/>
  <c r="S103" i="3"/>
  <c r="H103" i="3"/>
  <c r="AF103" i="3" s="1"/>
  <c r="G103" i="3"/>
  <c r="AF102" i="3"/>
  <c r="AD102" i="3"/>
  <c r="AC102" i="3"/>
  <c r="AB102" i="3"/>
  <c r="W102" i="3"/>
  <c r="AA102" i="3" s="1"/>
  <c r="AE102" i="3" s="1"/>
  <c r="V102" i="3"/>
  <c r="U102" i="3"/>
  <c r="T102" i="3"/>
  <c r="S102" i="3"/>
  <c r="H102" i="3"/>
  <c r="G102" i="3"/>
  <c r="AH102" i="3" s="1"/>
  <c r="AD101" i="3"/>
  <c r="AC101" i="3"/>
  <c r="V101" i="3"/>
  <c r="U101" i="3"/>
  <c r="T101" i="3"/>
  <c r="S101" i="3"/>
  <c r="H101" i="3"/>
  <c r="AF100" i="3"/>
  <c r="AD100" i="3"/>
  <c r="AC100" i="3"/>
  <c r="W100" i="3"/>
  <c r="V100" i="3"/>
  <c r="U100" i="3"/>
  <c r="T100" i="3"/>
  <c r="S100" i="3"/>
  <c r="AB100" i="3" s="1"/>
  <c r="H100" i="3"/>
  <c r="Z100" i="3" s="1"/>
  <c r="AF99" i="3"/>
  <c r="AD99" i="3"/>
  <c r="AC99" i="3"/>
  <c r="W99" i="3"/>
  <c r="V99" i="3"/>
  <c r="U99" i="3"/>
  <c r="T99" i="3"/>
  <c r="S99" i="3"/>
  <c r="H99" i="3"/>
  <c r="G99" i="3"/>
  <c r="BD98" i="3"/>
  <c r="BC98" i="3"/>
  <c r="BB98" i="3"/>
  <c r="BA98" i="3"/>
  <c r="AZ98" i="3"/>
  <c r="AY98" i="3"/>
  <c r="AX98" i="3"/>
  <c r="AW98" i="3"/>
  <c r="AV98" i="3"/>
  <c r="AU98" i="3"/>
  <c r="AT98" i="3"/>
  <c r="AS98" i="3"/>
  <c r="AR98" i="3"/>
  <c r="AL98" i="3" s="1"/>
  <c r="AQ98" i="3"/>
  <c r="AP98" i="3"/>
  <c r="AO98" i="3"/>
  <c r="AN98" i="3"/>
  <c r="AM98" i="3"/>
  <c r="AD98" i="3"/>
  <c r="AC98" i="3"/>
  <c r="V98" i="3"/>
  <c r="U98" i="3"/>
  <c r="T98" i="3"/>
  <c r="S98" i="3"/>
  <c r="H98" i="3"/>
  <c r="Z98" i="3" s="1"/>
  <c r="BD97" i="3"/>
  <c r="BC97" i="3"/>
  <c r="BB97" i="3"/>
  <c r="BA97" i="3"/>
  <c r="AZ97" i="3"/>
  <c r="AY97" i="3"/>
  <c r="AX97" i="3"/>
  <c r="AW97" i="3"/>
  <c r="AV97" i="3"/>
  <c r="AU97" i="3"/>
  <c r="AT97" i="3"/>
  <c r="AS97" i="3"/>
  <c r="AR97" i="3"/>
  <c r="AQ97" i="3"/>
  <c r="AP97" i="3"/>
  <c r="AO97" i="3"/>
  <c r="AN97" i="3"/>
  <c r="AL97" i="3" s="1"/>
  <c r="AM97" i="3"/>
  <c r="AF97" i="3"/>
  <c r="AD97" i="3"/>
  <c r="AC97" i="3"/>
  <c r="AB97" i="3"/>
  <c r="W97" i="3"/>
  <c r="AG97" i="3" s="1"/>
  <c r="V97" i="3"/>
  <c r="U97" i="3"/>
  <c r="T97" i="3"/>
  <c r="S97" i="3"/>
  <c r="H97" i="3"/>
  <c r="Z97" i="3" s="1"/>
  <c r="BD96" i="3"/>
  <c r="BC96" i="3"/>
  <c r="BB96" i="3"/>
  <c r="BA96" i="3"/>
  <c r="AZ96" i="3"/>
  <c r="AY96" i="3"/>
  <c r="AX96" i="3"/>
  <c r="AW96" i="3"/>
  <c r="AV96" i="3"/>
  <c r="AU96" i="3"/>
  <c r="AT96" i="3"/>
  <c r="AS96" i="3"/>
  <c r="AR96" i="3"/>
  <c r="AQ96" i="3"/>
  <c r="AP96" i="3"/>
  <c r="AO96" i="3"/>
  <c r="AN96" i="3"/>
  <c r="AM96" i="3"/>
  <c r="AL96" i="3"/>
  <c r="AD96" i="3"/>
  <c r="AC96" i="3"/>
  <c r="V96" i="3"/>
  <c r="U96" i="3"/>
  <c r="T96" i="3"/>
  <c r="S96" i="3"/>
  <c r="H96" i="3"/>
  <c r="AF96" i="3" s="1"/>
  <c r="G96" i="3"/>
  <c r="Z96" i="3" s="1"/>
  <c r="BD95" i="3"/>
  <c r="BC95" i="3"/>
  <c r="BB95" i="3"/>
  <c r="BB101" i="3" s="1"/>
  <c r="BA95" i="3"/>
  <c r="AZ95" i="3"/>
  <c r="AZ101" i="3" s="1"/>
  <c r="AY95" i="3"/>
  <c r="AY101" i="3" s="1"/>
  <c r="AX95" i="3"/>
  <c r="AX101" i="3" s="1"/>
  <c r="AW95" i="3"/>
  <c r="AV95" i="3"/>
  <c r="AT95" i="3"/>
  <c r="AT101" i="3" s="1"/>
  <c r="AS95" i="3"/>
  <c r="AR95" i="3"/>
  <c r="AR101" i="3" s="1"/>
  <c r="AP95" i="3"/>
  <c r="AP101" i="3" s="1"/>
  <c r="AO95" i="3"/>
  <c r="AN95" i="3"/>
  <c r="AM95" i="3"/>
  <c r="AF95" i="3"/>
  <c r="AD95" i="3"/>
  <c r="AC95" i="3"/>
  <c r="W95" i="3"/>
  <c r="AA95" i="3" s="1"/>
  <c r="V95" i="3"/>
  <c r="U95" i="3"/>
  <c r="T95" i="3"/>
  <c r="S95" i="3"/>
  <c r="AB95" i="3" s="1"/>
  <c r="H95" i="3"/>
  <c r="G95" i="3"/>
  <c r="Z95" i="3" s="1"/>
  <c r="AN94" i="3"/>
  <c r="AL94" i="3"/>
  <c r="AF94" i="3"/>
  <c r="AD94" i="3"/>
  <c r="AC94" i="3"/>
  <c r="AB94" i="3"/>
  <c r="W94" i="3"/>
  <c r="AA94" i="3" s="1"/>
  <c r="V94" i="3"/>
  <c r="U94" i="3"/>
  <c r="T94" i="3"/>
  <c r="S94" i="3"/>
  <c r="H94" i="3"/>
  <c r="G94" i="3"/>
  <c r="Z94" i="3" s="1"/>
  <c r="AD93" i="3"/>
  <c r="AC93" i="3"/>
  <c r="V93" i="3"/>
  <c r="U93" i="3"/>
  <c r="T93" i="3"/>
  <c r="S93" i="3"/>
  <c r="H93" i="3"/>
  <c r="AF93" i="3" s="1"/>
  <c r="G93" i="3"/>
  <c r="Z93" i="3" s="1"/>
  <c r="BD92" i="3"/>
  <c r="BC92" i="3"/>
  <c r="BB92" i="3"/>
  <c r="BA92" i="3"/>
  <c r="AZ92" i="3"/>
  <c r="AY92" i="3"/>
  <c r="AX92" i="3"/>
  <c r="AW92" i="3"/>
  <c r="AV92" i="3"/>
  <c r="AU92" i="3"/>
  <c r="AT92" i="3"/>
  <c r="AR92" i="3"/>
  <c r="AQ92" i="3"/>
  <c r="AP92" i="3"/>
  <c r="AL92" i="3" s="1"/>
  <c r="AO92" i="3"/>
  <c r="AN92" i="3"/>
  <c r="AM92" i="3"/>
  <c r="AD92" i="3"/>
  <c r="AC92" i="3"/>
  <c r="V92" i="3"/>
  <c r="U92" i="3"/>
  <c r="T92" i="3"/>
  <c r="S92" i="3"/>
  <c r="H92" i="3"/>
  <c r="W92" i="3" s="1"/>
  <c r="G92" i="3"/>
  <c r="Z92" i="3" s="1"/>
  <c r="BD91" i="3"/>
  <c r="BC91" i="3"/>
  <c r="BB91" i="3"/>
  <c r="AZ91" i="3"/>
  <c r="AY91" i="3"/>
  <c r="AX91" i="3"/>
  <c r="AV91" i="3"/>
  <c r="AU91" i="3"/>
  <c r="AT91" i="3"/>
  <c r="AS91" i="3"/>
  <c r="AR91" i="3"/>
  <c r="AQ91" i="3"/>
  <c r="AP91" i="3"/>
  <c r="AL91" i="3" s="1"/>
  <c r="AO91" i="3"/>
  <c r="AN91" i="3"/>
  <c r="AD91" i="3"/>
  <c r="AC91" i="3"/>
  <c r="V91" i="3"/>
  <c r="U91" i="3"/>
  <c r="T91" i="3"/>
  <c r="S91" i="3"/>
  <c r="H91" i="3"/>
  <c r="Z91" i="3" s="1"/>
  <c r="BD90" i="3"/>
  <c r="BC90" i="3"/>
  <c r="BB90" i="3"/>
  <c r="BA90" i="3"/>
  <c r="AZ90" i="3"/>
  <c r="AX90" i="3"/>
  <c r="AV90" i="3"/>
  <c r="AT90" i="3"/>
  <c r="AR90" i="3"/>
  <c r="AQ90" i="3"/>
  <c r="AP90" i="3"/>
  <c r="AO90" i="3"/>
  <c r="AN90" i="3"/>
  <c r="AM90" i="3"/>
  <c r="AL90" i="3"/>
  <c r="AD90" i="3"/>
  <c r="AC90" i="3"/>
  <c r="V90" i="3"/>
  <c r="U90" i="3"/>
  <c r="T90" i="3"/>
  <c r="S90" i="3"/>
  <c r="AB90" i="3" s="1"/>
  <c r="H90" i="3"/>
  <c r="W90" i="3" s="1"/>
  <c r="G90" i="3"/>
  <c r="BD89" i="3"/>
  <c r="BD100" i="3" s="1"/>
  <c r="BC89" i="3"/>
  <c r="BB89" i="3"/>
  <c r="AZ89" i="3"/>
  <c r="AZ100" i="3" s="1"/>
  <c r="AY89" i="3"/>
  <c r="AX89" i="3"/>
  <c r="AX100" i="3" s="1"/>
  <c r="AV89" i="3"/>
  <c r="AV100" i="3" s="1"/>
  <c r="AT89" i="3"/>
  <c r="AS89" i="3"/>
  <c r="AR89" i="3"/>
  <c r="AR100" i="3" s="1"/>
  <c r="AP89" i="3"/>
  <c r="AL89" i="3" s="1"/>
  <c r="AO89" i="3"/>
  <c r="AN89" i="3"/>
  <c r="AH89" i="3"/>
  <c r="AG89" i="3"/>
  <c r="AF89" i="3"/>
  <c r="AD89" i="3"/>
  <c r="AC89" i="3"/>
  <c r="Z89" i="3"/>
  <c r="X89" i="3"/>
  <c r="W89" i="3"/>
  <c r="AA89" i="3" s="1"/>
  <c r="AE89" i="3" s="1"/>
  <c r="V89" i="3"/>
  <c r="U89" i="3"/>
  <c r="T89" i="3"/>
  <c r="S89" i="3"/>
  <c r="AB89" i="3" s="1"/>
  <c r="H89" i="3"/>
  <c r="AN88" i="3"/>
  <c r="AN100" i="3" s="1"/>
  <c r="AD88" i="3"/>
  <c r="AC88" i="3"/>
  <c r="V88" i="3"/>
  <c r="U88" i="3"/>
  <c r="T88" i="3"/>
  <c r="S88" i="3"/>
  <c r="H88" i="3"/>
  <c r="AF88" i="3" s="1"/>
  <c r="G88" i="3"/>
  <c r="AD87" i="3"/>
  <c r="AC87" i="3"/>
  <c r="V87" i="3"/>
  <c r="U87" i="3"/>
  <c r="T87" i="3"/>
  <c r="S87" i="3"/>
  <c r="H87" i="3"/>
  <c r="Z87" i="3" s="1"/>
  <c r="AD86" i="3"/>
  <c r="AC86" i="3"/>
  <c r="V86" i="3"/>
  <c r="U86" i="3"/>
  <c r="T86" i="3"/>
  <c r="S86" i="3"/>
  <c r="H86" i="3"/>
  <c r="AF86" i="3" s="1"/>
  <c r="G86" i="3"/>
  <c r="AF85" i="3"/>
  <c r="AD85" i="3"/>
  <c r="AC85" i="3"/>
  <c r="W85" i="3"/>
  <c r="V85" i="3"/>
  <c r="U85" i="3"/>
  <c r="T85" i="3"/>
  <c r="S85" i="3"/>
  <c r="AB85" i="3" s="1"/>
  <c r="H85" i="3"/>
  <c r="Z85" i="3" s="1"/>
  <c r="AF84" i="3"/>
  <c r="AD84" i="3"/>
  <c r="AC84" i="3"/>
  <c r="W84" i="3"/>
  <c r="V84" i="3"/>
  <c r="U84" i="3"/>
  <c r="T84" i="3"/>
  <c r="S84" i="3"/>
  <c r="AB84" i="3" s="1"/>
  <c r="H84" i="3"/>
  <c r="G84" i="3"/>
  <c r="AH84" i="3" s="1"/>
  <c r="AD83" i="3"/>
  <c r="AC83" i="3"/>
  <c r="V83" i="3"/>
  <c r="U83" i="3"/>
  <c r="T83" i="3"/>
  <c r="S83" i="3"/>
  <c r="H83" i="3"/>
  <c r="AF83" i="3" s="1"/>
  <c r="AF82" i="3"/>
  <c r="AD82" i="3"/>
  <c r="AC82" i="3"/>
  <c r="V82" i="3"/>
  <c r="U82" i="3"/>
  <c r="T82" i="3"/>
  <c r="S82" i="3"/>
  <c r="H82" i="3"/>
  <c r="G82" i="3"/>
  <c r="AH81" i="3"/>
  <c r="AF81" i="3"/>
  <c r="AD81" i="3"/>
  <c r="AC81" i="3"/>
  <c r="Z81" i="3"/>
  <c r="W81" i="3"/>
  <c r="AG81" i="3" s="1"/>
  <c r="V81" i="3"/>
  <c r="U81" i="3"/>
  <c r="T81" i="3"/>
  <c r="S81" i="3"/>
  <c r="AB81" i="3" s="1"/>
  <c r="H81" i="3"/>
  <c r="AF80" i="3"/>
  <c r="AD80" i="3"/>
  <c r="AC80" i="3"/>
  <c r="V80" i="3"/>
  <c r="U80" i="3"/>
  <c r="T80" i="3"/>
  <c r="S80" i="3"/>
  <c r="AB80" i="3" s="1"/>
  <c r="H80" i="3"/>
  <c r="G80" i="3"/>
  <c r="W80" i="3" s="1"/>
  <c r="BD79" i="3"/>
  <c r="BC79" i="3"/>
  <c r="BB79" i="3"/>
  <c r="BA79" i="3"/>
  <c r="AZ79" i="3"/>
  <c r="AY79" i="3"/>
  <c r="AX79" i="3"/>
  <c r="AW79" i="3"/>
  <c r="AV79" i="3"/>
  <c r="AU79" i="3"/>
  <c r="AT79" i="3"/>
  <c r="AS79" i="3"/>
  <c r="AS41" i="3" s="1"/>
  <c r="Y11" i="2" s="1"/>
  <c r="E10" i="5" s="1"/>
  <c r="F10" i="5" s="1"/>
  <c r="AR79" i="3"/>
  <c r="AQ79" i="3"/>
  <c r="AP79" i="3"/>
  <c r="AO79" i="3"/>
  <c r="AN79" i="3"/>
  <c r="AM79" i="3"/>
  <c r="AL79" i="3"/>
  <c r="AD79" i="3"/>
  <c r="AC79" i="3"/>
  <c r="V79" i="3"/>
  <c r="U79" i="3"/>
  <c r="T79" i="3"/>
  <c r="S79" i="3"/>
  <c r="H79" i="3"/>
  <c r="AF79" i="3" s="1"/>
  <c r="G79" i="3"/>
  <c r="BD78" i="3"/>
  <c r="BC78" i="3"/>
  <c r="BB78" i="3"/>
  <c r="BA78" i="3"/>
  <c r="AZ78" i="3"/>
  <c r="AY78" i="3"/>
  <c r="AX78" i="3"/>
  <c r="AW78" i="3"/>
  <c r="AV78" i="3"/>
  <c r="AU78" i="3"/>
  <c r="AT78" i="3"/>
  <c r="AS78" i="3"/>
  <c r="AR78" i="3"/>
  <c r="AQ78" i="3"/>
  <c r="AP78" i="3"/>
  <c r="AO78" i="3"/>
  <c r="AN78" i="3"/>
  <c r="AM78" i="3"/>
  <c r="AL78" i="3"/>
  <c r="AG78" i="3"/>
  <c r="AF78" i="3"/>
  <c r="AD78" i="3"/>
  <c r="AC78" i="3"/>
  <c r="X78" i="3"/>
  <c r="W78" i="3"/>
  <c r="AA78" i="3" s="1"/>
  <c r="V78" i="3"/>
  <c r="U78" i="3"/>
  <c r="T78" i="3"/>
  <c r="S78" i="3"/>
  <c r="AB78" i="3" s="1"/>
  <c r="H78" i="3"/>
  <c r="G78" i="3"/>
  <c r="AH78" i="3" s="1"/>
  <c r="BD77" i="3"/>
  <c r="BC77" i="3"/>
  <c r="BB77" i="3"/>
  <c r="BA77" i="3"/>
  <c r="AZ77" i="3"/>
  <c r="AY77" i="3"/>
  <c r="AX77" i="3"/>
  <c r="AW77" i="3"/>
  <c r="AV77" i="3"/>
  <c r="AU77" i="3"/>
  <c r="AT77" i="3"/>
  <c r="AS77" i="3"/>
  <c r="AR77" i="3"/>
  <c r="AQ77" i="3"/>
  <c r="AP77" i="3"/>
  <c r="AO77" i="3"/>
  <c r="AN77" i="3"/>
  <c r="AL77" i="3" s="1"/>
  <c r="AM77" i="3"/>
  <c r="AD77" i="3"/>
  <c r="AC77" i="3"/>
  <c r="V77" i="3"/>
  <c r="U77" i="3"/>
  <c r="T77" i="3"/>
  <c r="S77" i="3"/>
  <c r="H77" i="3"/>
  <c r="AF77" i="3" s="1"/>
  <c r="BD76" i="3"/>
  <c r="BD82" i="3" s="1"/>
  <c r="BC76" i="3"/>
  <c r="BB76" i="3"/>
  <c r="BB82" i="3" s="1"/>
  <c r="BA76" i="3"/>
  <c r="AZ76" i="3"/>
  <c r="AZ82" i="3" s="1"/>
  <c r="AY76" i="3"/>
  <c r="AX76" i="3"/>
  <c r="AX82" i="3" s="1"/>
  <c r="AW76" i="3"/>
  <c r="AV76" i="3"/>
  <c r="AV82" i="3" s="1"/>
  <c r="AU76" i="3"/>
  <c r="AT76" i="3"/>
  <c r="AT82" i="3" s="1"/>
  <c r="AS76" i="3"/>
  <c r="AR76" i="3"/>
  <c r="AR82" i="3" s="1"/>
  <c r="AP76" i="3"/>
  <c r="AL76" i="3" s="1"/>
  <c r="AO76" i="3"/>
  <c r="AN76" i="3"/>
  <c r="AM76" i="3"/>
  <c r="AD76" i="3"/>
  <c r="AC76" i="3"/>
  <c r="V76" i="3"/>
  <c r="U76" i="3"/>
  <c r="T76" i="3"/>
  <c r="S76" i="3"/>
  <c r="H76" i="3"/>
  <c r="Z76" i="3" s="1"/>
  <c r="AN75" i="3"/>
  <c r="AL75" i="3" s="1"/>
  <c r="AL82" i="3" s="1"/>
  <c r="AD75" i="3"/>
  <c r="AC75" i="3"/>
  <c r="V75" i="3"/>
  <c r="U75" i="3"/>
  <c r="T75" i="3"/>
  <c r="S75" i="3"/>
  <c r="H75" i="3"/>
  <c r="AF75" i="3" s="1"/>
  <c r="AD74" i="3"/>
  <c r="AC74" i="3"/>
  <c r="V74" i="3"/>
  <c r="U74" i="3"/>
  <c r="T74" i="3"/>
  <c r="S74" i="3"/>
  <c r="H74" i="3"/>
  <c r="AF74" i="3" s="1"/>
  <c r="G74" i="3"/>
  <c r="W74" i="3" s="1"/>
  <c r="BD73" i="3"/>
  <c r="BC73" i="3"/>
  <c r="BB73" i="3"/>
  <c r="AZ73" i="3"/>
  <c r="AY73" i="3"/>
  <c r="AX73" i="3"/>
  <c r="AW73" i="3"/>
  <c r="AV73" i="3"/>
  <c r="AU73" i="3"/>
  <c r="AT73" i="3"/>
  <c r="AR73" i="3"/>
  <c r="AQ73" i="3"/>
  <c r="AP73" i="3"/>
  <c r="AL73" i="3" s="1"/>
  <c r="AO73" i="3"/>
  <c r="AN73" i="3"/>
  <c r="AM73" i="3"/>
  <c r="AF73" i="3"/>
  <c r="AD73" i="3"/>
  <c r="AC73" i="3"/>
  <c r="W73" i="3"/>
  <c r="AA73" i="3" s="1"/>
  <c r="V73" i="3"/>
  <c r="U73" i="3"/>
  <c r="T73" i="3"/>
  <c r="S73" i="3"/>
  <c r="AB73" i="3" s="1"/>
  <c r="H73" i="3"/>
  <c r="Z73" i="3" s="1"/>
  <c r="BD72" i="3"/>
  <c r="BC72" i="3"/>
  <c r="BB72" i="3"/>
  <c r="AZ72" i="3"/>
  <c r="AY72" i="3"/>
  <c r="AX72" i="3"/>
  <c r="AV72" i="3"/>
  <c r="AU72" i="3"/>
  <c r="AT72" i="3"/>
  <c r="AS72" i="3"/>
  <c r="AR72" i="3"/>
  <c r="AQ72" i="3"/>
  <c r="AP72" i="3"/>
  <c r="AO72" i="3"/>
  <c r="AN72" i="3"/>
  <c r="AL72" i="3"/>
  <c r="AH72" i="3"/>
  <c r="AF72" i="3"/>
  <c r="AD72" i="3"/>
  <c r="AC72" i="3"/>
  <c r="Z72" i="3"/>
  <c r="W72" i="3"/>
  <c r="AG72" i="3" s="1"/>
  <c r="V72" i="3"/>
  <c r="U72" i="3"/>
  <c r="T72" i="3"/>
  <c r="S72" i="3"/>
  <c r="AB72" i="3" s="1"/>
  <c r="H72" i="3"/>
  <c r="BD71" i="3"/>
  <c r="BC71" i="3"/>
  <c r="BB71" i="3"/>
  <c r="BA71" i="3"/>
  <c r="AZ71" i="3"/>
  <c r="AZ81" i="3" s="1"/>
  <c r="AY71" i="3"/>
  <c r="AX71" i="3"/>
  <c r="AV71" i="3"/>
  <c r="AT71" i="3"/>
  <c r="AR71" i="3"/>
  <c r="AR81" i="3" s="1"/>
  <c r="AQ71" i="3"/>
  <c r="AP71" i="3"/>
  <c r="AL71" i="3" s="1"/>
  <c r="AO71" i="3"/>
  <c r="AN71" i="3"/>
  <c r="AM71" i="3"/>
  <c r="AD71" i="3"/>
  <c r="AC71" i="3"/>
  <c r="V71" i="3"/>
  <c r="U71" i="3"/>
  <c r="T71" i="3"/>
  <c r="S71" i="3"/>
  <c r="H71" i="3"/>
  <c r="AF71" i="3" s="1"/>
  <c r="G71" i="3"/>
  <c r="BD70" i="3"/>
  <c r="BD81" i="3" s="1"/>
  <c r="BC70" i="3"/>
  <c r="BC81" i="3" s="1"/>
  <c r="BB70" i="3"/>
  <c r="BB81" i="3" s="1"/>
  <c r="BA70" i="3"/>
  <c r="AZ70" i="3"/>
  <c r="AX70" i="3"/>
  <c r="AX81" i="3" s="1"/>
  <c r="AV70" i="3"/>
  <c r="AV81" i="3" s="1"/>
  <c r="AT70" i="3"/>
  <c r="AT81" i="3" s="1"/>
  <c r="AS70" i="3"/>
  <c r="AR70" i="3"/>
  <c r="AP70" i="3"/>
  <c r="AP81" i="3" s="1"/>
  <c r="AO70" i="3"/>
  <c r="AN70" i="3"/>
  <c r="AD70" i="3"/>
  <c r="AC70" i="3"/>
  <c r="V70" i="3"/>
  <c r="U70" i="3"/>
  <c r="T70" i="3"/>
  <c r="S70" i="3"/>
  <c r="H70" i="3"/>
  <c r="AF70" i="3" s="1"/>
  <c r="G70" i="3"/>
  <c r="AN69" i="3"/>
  <c r="AN81" i="3" s="1"/>
  <c r="AL69" i="3"/>
  <c r="AF69" i="3"/>
  <c r="AD69" i="3"/>
  <c r="AC69" i="3"/>
  <c r="V69" i="3"/>
  <c r="U69" i="3"/>
  <c r="T69" i="3"/>
  <c r="S69" i="3"/>
  <c r="H69" i="3"/>
  <c r="G69" i="3"/>
  <c r="AD68" i="3"/>
  <c r="AC68" i="3"/>
  <c r="V68" i="3"/>
  <c r="U68" i="3"/>
  <c r="T68" i="3"/>
  <c r="S68" i="3"/>
  <c r="H68" i="3"/>
  <c r="AF68" i="3" s="1"/>
  <c r="G68" i="3"/>
  <c r="W68" i="3" s="1"/>
  <c r="AD67" i="3"/>
  <c r="AC67" i="3"/>
  <c r="V67" i="3"/>
  <c r="U67" i="3"/>
  <c r="T67" i="3"/>
  <c r="S67" i="3"/>
  <c r="H67" i="3"/>
  <c r="AF67" i="3" s="1"/>
  <c r="G67" i="3"/>
  <c r="W67" i="3" s="1"/>
  <c r="AD66" i="3"/>
  <c r="AC66" i="3"/>
  <c r="V66" i="3"/>
  <c r="U66" i="3"/>
  <c r="T66" i="3"/>
  <c r="S66" i="3"/>
  <c r="H66" i="3"/>
  <c r="Z66" i="3" s="1"/>
  <c r="AD65" i="3"/>
  <c r="AC65" i="3"/>
  <c r="V65" i="3"/>
  <c r="U65" i="3"/>
  <c r="T65" i="3"/>
  <c r="S65" i="3"/>
  <c r="H65" i="3"/>
  <c r="AF65" i="3" s="1"/>
  <c r="G65" i="3"/>
  <c r="AD64" i="3"/>
  <c r="AC64" i="3"/>
  <c r="V64" i="3"/>
  <c r="U64" i="3"/>
  <c r="T64" i="3"/>
  <c r="S64" i="3"/>
  <c r="H64" i="3"/>
  <c r="AF64" i="3" s="1"/>
  <c r="G64" i="3"/>
  <c r="AD63" i="3"/>
  <c r="AC63" i="3"/>
  <c r="V63" i="3"/>
  <c r="U63" i="3"/>
  <c r="T63" i="3"/>
  <c r="S63" i="3"/>
  <c r="H63" i="3"/>
  <c r="AF63" i="3" s="1"/>
  <c r="G63" i="3"/>
  <c r="W63" i="3" s="1"/>
  <c r="AF62" i="3"/>
  <c r="AD62" i="3"/>
  <c r="AC62" i="3"/>
  <c r="W62" i="3"/>
  <c r="AA62" i="3" s="1"/>
  <c r="V62" i="3"/>
  <c r="U62" i="3"/>
  <c r="T62" i="3"/>
  <c r="S62" i="3"/>
  <c r="AB62" i="3" s="1"/>
  <c r="H62" i="3"/>
  <c r="G62" i="3"/>
  <c r="AH62" i="3" s="1"/>
  <c r="AG61" i="3"/>
  <c r="AF61" i="3"/>
  <c r="AD61" i="3"/>
  <c r="AC61" i="3"/>
  <c r="X61" i="3"/>
  <c r="W61" i="3"/>
  <c r="AA61" i="3" s="1"/>
  <c r="AE61" i="3" s="1"/>
  <c r="V61" i="3"/>
  <c r="U61" i="3"/>
  <c r="T61" i="3"/>
  <c r="S61" i="3"/>
  <c r="AB61" i="3" s="1"/>
  <c r="H61" i="3"/>
  <c r="G61" i="3"/>
  <c r="AH61" i="3" s="1"/>
  <c r="BD60" i="3"/>
  <c r="BD301" i="3" s="1"/>
  <c r="BC60" i="3"/>
  <c r="BB60" i="3"/>
  <c r="BB301" i="3" s="1"/>
  <c r="BA60" i="3"/>
  <c r="AZ60" i="3"/>
  <c r="AZ301" i="3" s="1"/>
  <c r="AY60" i="3"/>
  <c r="AX60" i="3"/>
  <c r="AX301" i="3" s="1"/>
  <c r="AW60" i="3"/>
  <c r="AV60" i="3"/>
  <c r="AV301" i="3" s="1"/>
  <c r="AU60" i="3"/>
  <c r="AT60" i="3"/>
  <c r="AT301" i="3" s="1"/>
  <c r="AS60" i="3"/>
  <c r="AR60" i="3"/>
  <c r="AR301" i="3" s="1"/>
  <c r="AQ60" i="3"/>
  <c r="AP60" i="3"/>
  <c r="AP301" i="3" s="1"/>
  <c r="AO60" i="3"/>
  <c r="AN60" i="3"/>
  <c r="AN301" i="3" s="1"/>
  <c r="AM60" i="3"/>
  <c r="AK60" i="3" s="1"/>
  <c r="AL60" i="3"/>
  <c r="AF60" i="3"/>
  <c r="AD60" i="3"/>
  <c r="AC60" i="3"/>
  <c r="W60" i="3"/>
  <c r="AA60" i="3" s="1"/>
  <c r="V60" i="3"/>
  <c r="U60" i="3"/>
  <c r="T60" i="3"/>
  <c r="S60" i="3"/>
  <c r="AB60" i="3" s="1"/>
  <c r="H60" i="3"/>
  <c r="G60" i="3"/>
  <c r="AH60" i="3" s="1"/>
  <c r="BD59" i="3"/>
  <c r="BD300" i="3" s="1"/>
  <c r="BC59" i="3"/>
  <c r="BB59" i="3"/>
  <c r="BB300" i="3" s="1"/>
  <c r="BA59" i="3"/>
  <c r="BA40" i="3" s="1"/>
  <c r="U17" i="2" s="1"/>
  <c r="K9" i="5" s="1"/>
  <c r="L9" i="5" s="1"/>
  <c r="AZ59" i="3"/>
  <c r="AZ300" i="3" s="1"/>
  <c r="AY59" i="3"/>
  <c r="AY40" i="3" s="1"/>
  <c r="AX59" i="3"/>
  <c r="AX300" i="3" s="1"/>
  <c r="AW59" i="3"/>
  <c r="AV59" i="3"/>
  <c r="AV300" i="3" s="1"/>
  <c r="AU59" i="3"/>
  <c r="AT59" i="3"/>
  <c r="AT300" i="3" s="1"/>
  <c r="AS59" i="3"/>
  <c r="AS40" i="3" s="1"/>
  <c r="Y10" i="2" s="1"/>
  <c r="E9" i="5" s="1"/>
  <c r="F9" i="5" s="1"/>
  <c r="AR59" i="3"/>
  <c r="AR300" i="3" s="1"/>
  <c r="AQ59" i="3"/>
  <c r="AQ40" i="3" s="1"/>
  <c r="AP59" i="3"/>
  <c r="AP300" i="3" s="1"/>
  <c r="AO59" i="3"/>
  <c r="AN59" i="3"/>
  <c r="AN300" i="3" s="1"/>
  <c r="AM59" i="3"/>
  <c r="AD59" i="3"/>
  <c r="AC59" i="3"/>
  <c r="V59" i="3"/>
  <c r="U59" i="3"/>
  <c r="T59" i="3"/>
  <c r="S59" i="3"/>
  <c r="H59" i="3"/>
  <c r="AF59" i="3" s="1"/>
  <c r="G59" i="3"/>
  <c r="W59" i="3" s="1"/>
  <c r="BD58" i="3"/>
  <c r="BD299" i="3" s="1"/>
  <c r="BC58" i="3"/>
  <c r="BC39" i="3" s="1"/>
  <c r="BB58" i="3"/>
  <c r="BB299" i="3" s="1"/>
  <c r="BA58" i="3"/>
  <c r="BA39" i="3" s="1"/>
  <c r="U16" i="2" s="1"/>
  <c r="K8" i="5" s="1"/>
  <c r="L8" i="5" s="1"/>
  <c r="AZ58" i="3"/>
  <c r="AZ299" i="3" s="1"/>
  <c r="AY58" i="3"/>
  <c r="AX58" i="3"/>
  <c r="AX299" i="3" s="1"/>
  <c r="AW58" i="3"/>
  <c r="AW39" i="3" s="1"/>
  <c r="AB9" i="2" s="1"/>
  <c r="H8" i="5" s="1"/>
  <c r="I8" i="5" s="1"/>
  <c r="AV58" i="3"/>
  <c r="AV299" i="3" s="1"/>
  <c r="AU58" i="3"/>
  <c r="AT58" i="3"/>
  <c r="AT299" i="3" s="1"/>
  <c r="AS58" i="3"/>
  <c r="AS39" i="3" s="1"/>
  <c r="AR58" i="3"/>
  <c r="AR299" i="3" s="1"/>
  <c r="AQ58" i="3"/>
  <c r="AQ39" i="3" s="1"/>
  <c r="AP58" i="3"/>
  <c r="AP299" i="3" s="1"/>
  <c r="AO58" i="3"/>
  <c r="AN58" i="3"/>
  <c r="AN299" i="3" s="1"/>
  <c r="AM58" i="3"/>
  <c r="AM39" i="3" s="1"/>
  <c r="U9" i="2" s="1"/>
  <c r="B8" i="5" s="1"/>
  <c r="C8" i="5" s="1"/>
  <c r="AF58" i="3"/>
  <c r="AD58" i="3"/>
  <c r="AC58" i="3"/>
  <c r="W58" i="3"/>
  <c r="AA58" i="3" s="1"/>
  <c r="V58" i="3"/>
  <c r="U58" i="3"/>
  <c r="T58" i="3"/>
  <c r="S58" i="3"/>
  <c r="AB58" i="3" s="1"/>
  <c r="H58" i="3"/>
  <c r="G58" i="3"/>
  <c r="AH58" i="3" s="1"/>
  <c r="BD57" i="3"/>
  <c r="BD298" i="3" s="1"/>
  <c r="BC57" i="3"/>
  <c r="BB57" i="3"/>
  <c r="BB298" i="3" s="1"/>
  <c r="BA57" i="3"/>
  <c r="AZ57" i="3"/>
  <c r="AZ298" i="3" s="1"/>
  <c r="AX57" i="3"/>
  <c r="AX298" i="3" s="1"/>
  <c r="AW57" i="3"/>
  <c r="AV57" i="3"/>
  <c r="AV298" i="3" s="1"/>
  <c r="AU57" i="3"/>
  <c r="AT57" i="3"/>
  <c r="AT298" i="3" s="1"/>
  <c r="AS57" i="3"/>
  <c r="AR57" i="3"/>
  <c r="AR298" i="3" s="1"/>
  <c r="AQ57" i="3"/>
  <c r="AP57" i="3"/>
  <c r="AP298" i="3" s="1"/>
  <c r="AO57" i="3"/>
  <c r="AN57" i="3"/>
  <c r="AN298" i="3" s="1"/>
  <c r="AM57" i="3"/>
  <c r="AL57" i="3"/>
  <c r="AD57" i="3"/>
  <c r="AC57" i="3"/>
  <c r="V57" i="3"/>
  <c r="U57" i="3"/>
  <c r="T57" i="3"/>
  <c r="S57" i="3"/>
  <c r="H57" i="3"/>
  <c r="AF57" i="3" s="1"/>
  <c r="G57" i="3"/>
  <c r="AN56" i="3"/>
  <c r="AN297" i="3" s="1"/>
  <c r="AL56" i="3"/>
  <c r="AF56" i="3"/>
  <c r="AD56" i="3"/>
  <c r="AC56" i="3"/>
  <c r="Z56" i="3"/>
  <c r="W56" i="3"/>
  <c r="V56" i="3"/>
  <c r="U56" i="3"/>
  <c r="T56" i="3"/>
  <c r="S56" i="3"/>
  <c r="AB56" i="3" s="1"/>
  <c r="H56" i="3"/>
  <c r="AF55" i="3"/>
  <c r="AD55" i="3"/>
  <c r="AC55" i="3"/>
  <c r="Z55" i="3"/>
  <c r="W55" i="3"/>
  <c r="V55" i="3"/>
  <c r="U55" i="3"/>
  <c r="T55" i="3"/>
  <c r="S55" i="3"/>
  <c r="AB55" i="3" s="1"/>
  <c r="H55" i="3"/>
  <c r="BD54" i="3"/>
  <c r="BD62" i="3" s="1"/>
  <c r="BC54" i="3"/>
  <c r="BC35" i="3" s="1"/>
  <c r="BB54" i="3"/>
  <c r="BA54" i="3"/>
  <c r="AZ54" i="3"/>
  <c r="AY54" i="3"/>
  <c r="AX54" i="3"/>
  <c r="AW54" i="3"/>
  <c r="AV54" i="3"/>
  <c r="AV62" i="3" s="1"/>
  <c r="AU54" i="3"/>
  <c r="AT54" i="3"/>
  <c r="AR54" i="3"/>
  <c r="AQ54" i="3"/>
  <c r="AP54" i="3"/>
  <c r="AO54" i="3"/>
  <c r="AN54" i="3"/>
  <c r="AM54" i="3"/>
  <c r="AL54" i="3"/>
  <c r="AD54" i="3"/>
  <c r="AC54" i="3"/>
  <c r="V54" i="3"/>
  <c r="U54" i="3"/>
  <c r="T54" i="3"/>
  <c r="S54" i="3"/>
  <c r="H54" i="3"/>
  <c r="Z54" i="3" s="1"/>
  <c r="BD53" i="3"/>
  <c r="BC53" i="3"/>
  <c r="BB53" i="3"/>
  <c r="BA53" i="3"/>
  <c r="AZ53" i="3"/>
  <c r="AY53" i="3"/>
  <c r="AX53" i="3"/>
  <c r="AX62" i="3" s="1"/>
  <c r="AV53" i="3"/>
  <c r="AU53" i="3"/>
  <c r="AU34" i="3" s="1"/>
  <c r="AT53" i="3"/>
  <c r="AR53" i="3"/>
  <c r="AQ53" i="3"/>
  <c r="AP53" i="3"/>
  <c r="AL53" i="3" s="1"/>
  <c r="AO53" i="3"/>
  <c r="AN53" i="3"/>
  <c r="AF53" i="3"/>
  <c r="AD53" i="3"/>
  <c r="AC53" i="3"/>
  <c r="W53" i="3"/>
  <c r="V53" i="3"/>
  <c r="U53" i="3"/>
  <c r="T53" i="3"/>
  <c r="S53" i="3"/>
  <c r="AB53" i="3" s="1"/>
  <c r="H53" i="3"/>
  <c r="G53" i="3"/>
  <c r="AH53" i="3" s="1"/>
  <c r="BD52" i="3"/>
  <c r="BC52" i="3"/>
  <c r="BC33" i="3" s="1"/>
  <c r="BB52" i="3"/>
  <c r="BA52" i="3"/>
  <c r="AZ52" i="3"/>
  <c r="AX52" i="3"/>
  <c r="AW52" i="3"/>
  <c r="AV52" i="3"/>
  <c r="AT52" i="3"/>
  <c r="AR52" i="3"/>
  <c r="AQ52" i="3"/>
  <c r="AP52" i="3"/>
  <c r="AO52" i="3"/>
  <c r="AN52" i="3"/>
  <c r="AM52" i="3"/>
  <c r="AL52" i="3"/>
  <c r="AF52" i="3"/>
  <c r="AD52" i="3"/>
  <c r="AC52" i="3"/>
  <c r="V52" i="3"/>
  <c r="U52" i="3"/>
  <c r="T52" i="3"/>
  <c r="S52" i="3"/>
  <c r="H52" i="3"/>
  <c r="G52" i="3"/>
  <c r="BD51" i="3"/>
  <c r="BC51" i="3"/>
  <c r="BB51" i="3"/>
  <c r="BB62" i="3" s="1"/>
  <c r="BA51" i="3"/>
  <c r="AZ51" i="3"/>
  <c r="AZ62" i="3" s="1"/>
  <c r="AX51" i="3"/>
  <c r="AV51" i="3"/>
  <c r="AT51" i="3"/>
  <c r="AT62" i="3" s="1"/>
  <c r="AS51" i="3"/>
  <c r="AS32" i="3" s="1"/>
  <c r="AR51" i="3"/>
  <c r="AR62" i="3" s="1"/>
  <c r="AQ51" i="3"/>
  <c r="AQ62" i="3" s="1"/>
  <c r="AP51" i="3"/>
  <c r="AO51" i="3"/>
  <c r="AO62" i="3" s="1"/>
  <c r="AN51" i="3"/>
  <c r="AD51" i="3"/>
  <c r="AC51" i="3"/>
  <c r="Z51" i="3"/>
  <c r="V51" i="3"/>
  <c r="U51" i="3"/>
  <c r="T51" i="3"/>
  <c r="S51" i="3"/>
  <c r="H51" i="3"/>
  <c r="AF51" i="3" s="1"/>
  <c r="AN50" i="3"/>
  <c r="AL50" i="3" s="1"/>
  <c r="AF50" i="3"/>
  <c r="AD50" i="3"/>
  <c r="AC50" i="3"/>
  <c r="W50" i="3"/>
  <c r="AA50" i="3" s="1"/>
  <c r="V50" i="3"/>
  <c r="U50" i="3"/>
  <c r="T50" i="3"/>
  <c r="S50" i="3"/>
  <c r="AB50" i="3" s="1"/>
  <c r="H50" i="3"/>
  <c r="G50" i="3"/>
  <c r="AH50" i="3" s="1"/>
  <c r="AD49" i="3"/>
  <c r="AC49" i="3"/>
  <c r="V49" i="3"/>
  <c r="U49" i="3"/>
  <c r="T49" i="3"/>
  <c r="S49" i="3"/>
  <c r="H49" i="3"/>
  <c r="AF49" i="3" s="1"/>
  <c r="G49" i="3"/>
  <c r="AF48" i="3"/>
  <c r="AD48" i="3"/>
  <c r="AC48" i="3"/>
  <c r="Z48" i="3"/>
  <c r="W48" i="3"/>
  <c r="V48" i="3"/>
  <c r="U48" i="3"/>
  <c r="T48" i="3"/>
  <c r="S48" i="3"/>
  <c r="AB48" i="3" s="1"/>
  <c r="H48" i="3"/>
  <c r="AD47" i="3"/>
  <c r="AC47" i="3"/>
  <c r="V47" i="3"/>
  <c r="U47" i="3"/>
  <c r="T47" i="3"/>
  <c r="S47" i="3"/>
  <c r="H47" i="3"/>
  <c r="AF47" i="3" s="1"/>
  <c r="G47" i="3"/>
  <c r="AD46" i="3"/>
  <c r="AC46" i="3"/>
  <c r="V46" i="3"/>
  <c r="U46" i="3"/>
  <c r="T46" i="3"/>
  <c r="S46" i="3"/>
  <c r="AB46" i="3" s="1"/>
  <c r="H46" i="3"/>
  <c r="AF46" i="3" s="1"/>
  <c r="G46" i="3"/>
  <c r="W46" i="3" s="1"/>
  <c r="AD45" i="3"/>
  <c r="AC45" i="3"/>
  <c r="V45" i="3"/>
  <c r="U45" i="3"/>
  <c r="T45" i="3"/>
  <c r="S45" i="3"/>
  <c r="AB45" i="3" s="1"/>
  <c r="H45" i="3"/>
  <c r="AF45" i="3" s="1"/>
  <c r="G45" i="3"/>
  <c r="W45" i="3" s="1"/>
  <c r="AF44" i="3"/>
  <c r="AD44" i="3"/>
  <c r="AC44" i="3"/>
  <c r="V44" i="3"/>
  <c r="U44" i="3"/>
  <c r="T44" i="3"/>
  <c r="S44" i="3"/>
  <c r="H44" i="3"/>
  <c r="G44" i="3"/>
  <c r="AF43" i="3"/>
  <c r="AD43" i="3"/>
  <c r="AC43" i="3"/>
  <c r="W43" i="3"/>
  <c r="AA43" i="3" s="1"/>
  <c r="V43" i="3"/>
  <c r="U43" i="3"/>
  <c r="T43" i="3"/>
  <c r="S43" i="3"/>
  <c r="AB43" i="3" s="1"/>
  <c r="H43" i="3"/>
  <c r="G43" i="3"/>
  <c r="AH43" i="3" s="1"/>
  <c r="AF42" i="3"/>
  <c r="AD42" i="3"/>
  <c r="AC42" i="3"/>
  <c r="Z42" i="3"/>
  <c r="W42" i="3"/>
  <c r="AA42" i="3" s="1"/>
  <c r="AE42" i="3" s="1"/>
  <c r="V42" i="3"/>
  <c r="U42" i="3"/>
  <c r="T42" i="3"/>
  <c r="S42" i="3"/>
  <c r="AB42" i="3" s="1"/>
  <c r="H42" i="3"/>
  <c r="BD41" i="3"/>
  <c r="BB41" i="3"/>
  <c r="P39" i="5" s="1"/>
  <c r="BA41" i="3"/>
  <c r="U18" i="2" s="1"/>
  <c r="K10" i="5" s="1"/>
  <c r="L10" i="5" s="1"/>
  <c r="AZ41" i="3"/>
  <c r="AX41" i="3"/>
  <c r="O39" i="5" s="1"/>
  <c r="AW41" i="3"/>
  <c r="AB11" i="2" s="1"/>
  <c r="H10" i="5" s="1"/>
  <c r="I10" i="5" s="1"/>
  <c r="AV41" i="3"/>
  <c r="AT41" i="3"/>
  <c r="N39" i="5" s="1"/>
  <c r="AR41" i="3"/>
  <c r="AP41" i="3"/>
  <c r="AO41" i="3"/>
  <c r="AN41" i="3"/>
  <c r="M39" i="5" s="1"/>
  <c r="AL41" i="3"/>
  <c r="AD41" i="3"/>
  <c r="AC41" i="3"/>
  <c r="V41" i="3"/>
  <c r="U41" i="3"/>
  <c r="T41" i="3"/>
  <c r="S41" i="3"/>
  <c r="H41" i="3"/>
  <c r="AF41" i="3" s="1"/>
  <c r="BD40" i="3"/>
  <c r="BC40" i="3"/>
  <c r="BB40" i="3"/>
  <c r="P38" i="5" s="1"/>
  <c r="AZ40" i="3"/>
  <c r="AX40" i="3"/>
  <c r="O38" i="5" s="1"/>
  <c r="AW40" i="3"/>
  <c r="AB10" i="2" s="1"/>
  <c r="H9" i="5" s="1"/>
  <c r="I9" i="5" s="1"/>
  <c r="AV40" i="3"/>
  <c r="AU40" i="3"/>
  <c r="AT40" i="3"/>
  <c r="N38" i="5" s="1"/>
  <c r="AR40" i="3"/>
  <c r="AP40" i="3"/>
  <c r="AL300" i="3" s="1"/>
  <c r="AO40" i="3"/>
  <c r="AN40" i="3"/>
  <c r="M38" i="5" s="1"/>
  <c r="AF40" i="3"/>
  <c r="AD40" i="3"/>
  <c r="AC40" i="3"/>
  <c r="W40" i="3"/>
  <c r="AA40" i="3" s="1"/>
  <c r="AE40" i="3" s="1"/>
  <c r="V40" i="3"/>
  <c r="U40" i="3"/>
  <c r="T40" i="3"/>
  <c r="S40" i="3"/>
  <c r="AB40" i="3" s="1"/>
  <c r="H40" i="3"/>
  <c r="G40" i="3"/>
  <c r="AH40" i="3" s="1"/>
  <c r="BD39" i="3"/>
  <c r="BB39" i="3"/>
  <c r="P37" i="5" s="1"/>
  <c r="AZ39" i="3"/>
  <c r="AZ44" i="3" s="1"/>
  <c r="AX39" i="3"/>
  <c r="O37" i="5" s="1"/>
  <c r="AV39" i="3"/>
  <c r="AT39" i="3"/>
  <c r="N37" i="5" s="1"/>
  <c r="AR39" i="3"/>
  <c r="AR44" i="3" s="1"/>
  <c r="AP39" i="3"/>
  <c r="AN39" i="3"/>
  <c r="M37" i="5" s="1"/>
  <c r="AL39" i="3"/>
  <c r="AD39" i="3"/>
  <c r="AC39" i="3"/>
  <c r="V39" i="3"/>
  <c r="U39" i="3"/>
  <c r="T39" i="3"/>
  <c r="S39" i="3"/>
  <c r="H39" i="3"/>
  <c r="AF39" i="3" s="1"/>
  <c r="BD38" i="3"/>
  <c r="BD44" i="3" s="1"/>
  <c r="BC38" i="3"/>
  <c r="BB38" i="3"/>
  <c r="P36" i="5" s="1"/>
  <c r="AZ38" i="3"/>
  <c r="AX38" i="3"/>
  <c r="O36" i="5" s="1"/>
  <c r="AW38" i="3"/>
  <c r="AB8" i="2" s="1"/>
  <c r="H7" i="5" s="1"/>
  <c r="I7" i="5" s="1"/>
  <c r="AV38" i="3"/>
  <c r="AV44" i="3" s="1"/>
  <c r="AT38" i="3"/>
  <c r="N36" i="5" s="1"/>
  <c r="AS38" i="3"/>
  <c r="AR38" i="3"/>
  <c r="AP38" i="3"/>
  <c r="AL298" i="3" s="1"/>
  <c r="AN38" i="3"/>
  <c r="M36" i="5" s="1"/>
  <c r="AF38" i="3"/>
  <c r="AD38" i="3"/>
  <c r="AC38" i="3"/>
  <c r="W38" i="3"/>
  <c r="AA38" i="3" s="1"/>
  <c r="V38" i="3"/>
  <c r="U38" i="3"/>
  <c r="T38" i="3"/>
  <c r="S38" i="3"/>
  <c r="AB38" i="3" s="1"/>
  <c r="H38" i="3"/>
  <c r="G38" i="3"/>
  <c r="AH38" i="3" s="1"/>
  <c r="AN37" i="3"/>
  <c r="AL297" i="3" s="1"/>
  <c r="AL37" i="3"/>
  <c r="AD37" i="3"/>
  <c r="AC37" i="3"/>
  <c r="V37" i="3"/>
  <c r="U37" i="3"/>
  <c r="T37" i="3"/>
  <c r="S37" i="3"/>
  <c r="H37" i="3"/>
  <c r="Z37" i="3" s="1"/>
  <c r="AD36" i="3"/>
  <c r="AC36" i="3"/>
  <c r="V36" i="3"/>
  <c r="U36" i="3"/>
  <c r="T36" i="3"/>
  <c r="S36" i="3"/>
  <c r="H36" i="3"/>
  <c r="AF36" i="3" s="1"/>
  <c r="G36" i="3"/>
  <c r="BD35" i="3"/>
  <c r="BB35" i="3"/>
  <c r="AZ35" i="3"/>
  <c r="AX35" i="3"/>
  <c r="AV35" i="3"/>
  <c r="AT35" i="3"/>
  <c r="AR35" i="3"/>
  <c r="AP35" i="3"/>
  <c r="AL35" i="3" s="1"/>
  <c r="D10" i="2" s="1"/>
  <c r="AN35" i="3"/>
  <c r="AF35" i="3"/>
  <c r="AD35" i="3"/>
  <c r="AC35" i="3"/>
  <c r="V35" i="3"/>
  <c r="U35" i="3"/>
  <c r="T35" i="3"/>
  <c r="S35" i="3"/>
  <c r="H35" i="3"/>
  <c r="G35" i="3"/>
  <c r="BD34" i="3"/>
  <c r="BB34" i="3"/>
  <c r="AZ34" i="3"/>
  <c r="AX34" i="3"/>
  <c r="AV34" i="3"/>
  <c r="AT34" i="3"/>
  <c r="AR34" i="3"/>
  <c r="AP34" i="3"/>
  <c r="AL34" i="3" s="1"/>
  <c r="AO34" i="3"/>
  <c r="AN34" i="3"/>
  <c r="AF34" i="3"/>
  <c r="AD34" i="3"/>
  <c r="AC34" i="3"/>
  <c r="W34" i="3"/>
  <c r="AA34" i="3" s="1"/>
  <c r="V34" i="3"/>
  <c r="U34" i="3"/>
  <c r="T34" i="3"/>
  <c r="S34" i="3"/>
  <c r="AB34" i="3" s="1"/>
  <c r="H34" i="3"/>
  <c r="G34" i="3"/>
  <c r="AH34" i="3" s="1"/>
  <c r="BD33" i="3"/>
  <c r="BB33" i="3"/>
  <c r="AZ33" i="3"/>
  <c r="AX33" i="3"/>
  <c r="AV33" i="3"/>
  <c r="AT33" i="3"/>
  <c r="AR33" i="3"/>
  <c r="AP33" i="3"/>
  <c r="AN33" i="3"/>
  <c r="AL33" i="3"/>
  <c r="AD33" i="3"/>
  <c r="AC33" i="3"/>
  <c r="Z33" i="3"/>
  <c r="V33" i="3"/>
  <c r="U33" i="3"/>
  <c r="T33" i="3"/>
  <c r="S33" i="3"/>
  <c r="H33" i="3"/>
  <c r="AF33" i="3" s="1"/>
  <c r="BD32" i="3"/>
  <c r="BD43" i="3" s="1"/>
  <c r="BC32" i="3"/>
  <c r="BB32" i="3"/>
  <c r="BB43" i="3" s="1"/>
  <c r="AZ32" i="3"/>
  <c r="AZ43" i="3" s="1"/>
  <c r="AX32" i="3"/>
  <c r="AX43" i="3" s="1"/>
  <c r="AV32" i="3"/>
  <c r="AV43" i="3" s="1"/>
  <c r="AT32" i="3"/>
  <c r="AT43" i="3" s="1"/>
  <c r="AR32" i="3"/>
  <c r="AR43" i="3" s="1"/>
  <c r="AP32" i="3"/>
  <c r="AL32" i="3" s="1"/>
  <c r="AN32" i="3"/>
  <c r="AF32" i="3"/>
  <c r="AD32" i="3"/>
  <c r="AC32" i="3"/>
  <c r="W32" i="3"/>
  <c r="AA32" i="3" s="1"/>
  <c r="V32" i="3"/>
  <c r="U32" i="3"/>
  <c r="T32" i="3"/>
  <c r="S32" i="3"/>
  <c r="AB32" i="3" s="1"/>
  <c r="H32" i="3"/>
  <c r="G32" i="3"/>
  <c r="AH32" i="3" s="1"/>
  <c r="AN31" i="3"/>
  <c r="AN43" i="3" s="1"/>
  <c r="AL31" i="3"/>
  <c r="AD31" i="3"/>
  <c r="AC31" i="3"/>
  <c r="V31" i="3"/>
  <c r="U31" i="3"/>
  <c r="T31" i="3"/>
  <c r="S31" i="3"/>
  <c r="H31" i="3"/>
  <c r="AF31" i="3" s="1"/>
  <c r="G31" i="3"/>
  <c r="AG30" i="3"/>
  <c r="AF30" i="3"/>
  <c r="AD30" i="3"/>
  <c r="AC30" i="3"/>
  <c r="X30" i="3"/>
  <c r="W30" i="3"/>
  <c r="AA30" i="3" s="1"/>
  <c r="V30" i="3"/>
  <c r="U30" i="3"/>
  <c r="T30" i="3"/>
  <c r="S30" i="3"/>
  <c r="AB30" i="3" s="1"/>
  <c r="H30" i="3"/>
  <c r="G30" i="3"/>
  <c r="AH30" i="3" s="1"/>
  <c r="AD29" i="3"/>
  <c r="AC29" i="3"/>
  <c r="V29" i="3"/>
  <c r="U29" i="3"/>
  <c r="T29" i="3"/>
  <c r="S29" i="3"/>
  <c r="H29" i="3"/>
  <c r="AF29" i="3" s="1"/>
  <c r="G29" i="3"/>
  <c r="AD28" i="3"/>
  <c r="AC28" i="3"/>
  <c r="V28" i="3"/>
  <c r="U28" i="3"/>
  <c r="T28" i="3"/>
  <c r="S28" i="3"/>
  <c r="H28" i="3"/>
  <c r="AF28" i="3" s="1"/>
  <c r="G28" i="3"/>
  <c r="AD27" i="3"/>
  <c r="AC27" i="3"/>
  <c r="V27" i="3"/>
  <c r="U27" i="3"/>
  <c r="T27" i="3"/>
  <c r="S27" i="3"/>
  <c r="H27" i="3"/>
  <c r="Z27" i="3" s="1"/>
  <c r="AD26" i="3"/>
  <c r="AC26" i="3"/>
  <c r="V26" i="3"/>
  <c r="U26" i="3"/>
  <c r="T26" i="3"/>
  <c r="S26" i="3"/>
  <c r="H26" i="3"/>
  <c r="AF26" i="3" s="1"/>
  <c r="G26" i="3"/>
  <c r="AD25" i="3"/>
  <c r="AC25" i="3"/>
  <c r="V25" i="3"/>
  <c r="U25" i="3"/>
  <c r="T25" i="3"/>
  <c r="S25" i="3"/>
  <c r="H25" i="3"/>
  <c r="AF25" i="3" s="1"/>
  <c r="G25" i="3"/>
  <c r="AD24" i="3"/>
  <c r="AC24" i="3"/>
  <c r="V24" i="3"/>
  <c r="U24" i="3"/>
  <c r="T24" i="3"/>
  <c r="S24" i="3"/>
  <c r="H24" i="3"/>
  <c r="AF24" i="3" s="1"/>
  <c r="G24" i="3"/>
  <c r="W24" i="3" s="1"/>
  <c r="AD23" i="3"/>
  <c r="AC23" i="3"/>
  <c r="V23" i="3"/>
  <c r="U23" i="3"/>
  <c r="T23" i="3"/>
  <c r="S23" i="3"/>
  <c r="H23" i="3"/>
  <c r="AF23" i="3" s="1"/>
  <c r="G23" i="3"/>
  <c r="W23" i="3" s="1"/>
  <c r="AD22" i="3"/>
  <c r="AC22" i="3"/>
  <c r="V22" i="3"/>
  <c r="U22" i="3"/>
  <c r="T22" i="3"/>
  <c r="S22" i="3"/>
  <c r="H22" i="3"/>
  <c r="AF22" i="3" s="1"/>
  <c r="G22" i="3"/>
  <c r="AG21" i="3"/>
  <c r="AF21" i="3"/>
  <c r="AD21" i="3"/>
  <c r="AC21" i="3"/>
  <c r="X21" i="3"/>
  <c r="W21" i="3"/>
  <c r="AA21" i="3" s="1"/>
  <c r="V21" i="3"/>
  <c r="U21" i="3"/>
  <c r="T21" i="3"/>
  <c r="S21" i="3"/>
  <c r="AB21" i="3" s="1"/>
  <c r="H21" i="3"/>
  <c r="G21" i="3"/>
  <c r="AH21" i="3" s="1"/>
  <c r="AD20" i="3"/>
  <c r="AC20" i="3"/>
  <c r="V20" i="3"/>
  <c r="U20" i="3"/>
  <c r="T20" i="3"/>
  <c r="S20" i="3"/>
  <c r="H20" i="3"/>
  <c r="AF20" i="3" s="1"/>
  <c r="G20" i="3"/>
  <c r="AD19" i="3"/>
  <c r="AC19" i="3"/>
  <c r="V19" i="3"/>
  <c r="U19" i="3"/>
  <c r="T19" i="3"/>
  <c r="S19" i="3"/>
  <c r="H19" i="3"/>
  <c r="AF19" i="3" s="1"/>
  <c r="G19" i="3"/>
  <c r="AD18" i="3"/>
  <c r="AC18" i="3"/>
  <c r="V18" i="3"/>
  <c r="U18" i="3"/>
  <c r="T18" i="3"/>
  <c r="S18" i="3"/>
  <c r="H18" i="3"/>
  <c r="Z18" i="3" s="1"/>
  <c r="AD17" i="3"/>
  <c r="AC17" i="3"/>
  <c r="V17" i="3"/>
  <c r="U17" i="3"/>
  <c r="T17" i="3"/>
  <c r="S17" i="3"/>
  <c r="H17" i="3"/>
  <c r="Z17" i="3" s="1"/>
  <c r="AD16" i="3"/>
  <c r="AC16" i="3"/>
  <c r="V16" i="3"/>
  <c r="U16" i="3"/>
  <c r="T16" i="3"/>
  <c r="S16" i="3"/>
  <c r="H16" i="3"/>
  <c r="AF16" i="3" s="1"/>
  <c r="G16" i="3"/>
  <c r="AD15" i="3"/>
  <c r="AC15" i="3"/>
  <c r="V15" i="3"/>
  <c r="U15" i="3"/>
  <c r="T15" i="3"/>
  <c r="S15" i="3"/>
  <c r="H15" i="3"/>
  <c r="AF15" i="3" s="1"/>
  <c r="G15" i="3"/>
  <c r="AD14" i="3"/>
  <c r="AC14" i="3"/>
  <c r="V14" i="3"/>
  <c r="U14" i="3"/>
  <c r="T14" i="3"/>
  <c r="S14" i="3"/>
  <c r="H14" i="3"/>
  <c r="AF14" i="3" s="1"/>
  <c r="AD13" i="3"/>
  <c r="AC13" i="3"/>
  <c r="V13" i="3"/>
  <c r="U13" i="3"/>
  <c r="T13" i="3"/>
  <c r="S13" i="3"/>
  <c r="AB13" i="3" s="1"/>
  <c r="H13" i="3"/>
  <c r="AF13" i="3" s="1"/>
  <c r="G13" i="3"/>
  <c r="W13" i="3" s="1"/>
  <c r="AD12" i="3"/>
  <c r="AC12" i="3"/>
  <c r="V12" i="3"/>
  <c r="U12" i="3"/>
  <c r="T12" i="3"/>
  <c r="S12" i="3"/>
  <c r="AB12" i="3" s="1"/>
  <c r="H12" i="3"/>
  <c r="AF12" i="3" s="1"/>
  <c r="G12" i="3"/>
  <c r="W12" i="3" s="1"/>
  <c r="AD11" i="3"/>
  <c r="AC11" i="3"/>
  <c r="V11" i="3"/>
  <c r="U11" i="3"/>
  <c r="T11" i="3"/>
  <c r="S11" i="3"/>
  <c r="H11" i="3"/>
  <c r="AF11" i="3" s="1"/>
  <c r="G11" i="3"/>
  <c r="AF10" i="3"/>
  <c r="AD10" i="3"/>
  <c r="AC10" i="3"/>
  <c r="W10" i="3"/>
  <c r="V10" i="3"/>
  <c r="U10" i="3"/>
  <c r="T10" i="3"/>
  <c r="S10" i="3"/>
  <c r="H10" i="3"/>
  <c r="G10" i="3"/>
  <c r="AD9" i="3"/>
  <c r="AC9" i="3"/>
  <c r="V9" i="3"/>
  <c r="U9" i="3"/>
  <c r="T9" i="3"/>
  <c r="S9" i="3"/>
  <c r="H9" i="3"/>
  <c r="AF9" i="3" s="1"/>
  <c r="G9" i="3"/>
  <c r="AF8" i="3"/>
  <c r="AD8" i="3"/>
  <c r="AC8" i="3"/>
  <c r="V8" i="3"/>
  <c r="U8" i="3"/>
  <c r="T8" i="3"/>
  <c r="S8" i="3"/>
  <c r="H8" i="3"/>
  <c r="G8" i="3"/>
  <c r="AD7" i="3"/>
  <c r="AC7" i="3"/>
  <c r="V7" i="3"/>
  <c r="U7" i="3"/>
  <c r="T7" i="3"/>
  <c r="S7" i="3"/>
  <c r="H7" i="3"/>
  <c r="AF7" i="3" s="1"/>
  <c r="G7" i="3"/>
  <c r="AD6" i="3"/>
  <c r="AC6" i="3"/>
  <c r="V6" i="3"/>
  <c r="U6" i="3"/>
  <c r="T6" i="3"/>
  <c r="S6" i="3"/>
  <c r="H6" i="3"/>
  <c r="AF6" i="3" s="1"/>
  <c r="G6" i="3"/>
  <c r="W6" i="3" s="1"/>
  <c r="AD5" i="3"/>
  <c r="AC5" i="3"/>
  <c r="V5" i="3"/>
  <c r="U5" i="3"/>
  <c r="T5" i="3"/>
  <c r="S5" i="3"/>
  <c r="H5" i="3"/>
  <c r="AF5" i="3" s="1"/>
  <c r="G5" i="3"/>
  <c r="AD4" i="3"/>
  <c r="AC4" i="3"/>
  <c r="V4" i="3"/>
  <c r="U4" i="3"/>
  <c r="T4" i="3"/>
  <c r="S4" i="3"/>
  <c r="H4" i="3"/>
  <c r="AF4" i="3" s="1"/>
  <c r="G4" i="3"/>
  <c r="W4" i="3" s="1"/>
  <c r="AD3" i="3"/>
  <c r="AC3" i="3"/>
  <c r="V3" i="3"/>
  <c r="U3" i="3"/>
  <c r="T3" i="3"/>
  <c r="S3" i="3"/>
  <c r="H3" i="3"/>
  <c r="W3" i="3" s="1"/>
  <c r="G3" i="3"/>
  <c r="AF2" i="3"/>
  <c r="AD2" i="3"/>
  <c r="AC2" i="3"/>
  <c r="W2" i="3"/>
  <c r="V2" i="3"/>
  <c r="U2" i="3"/>
  <c r="T2" i="3"/>
  <c r="S2" i="3"/>
  <c r="AB2" i="3" s="1"/>
  <c r="H2" i="3"/>
  <c r="G2" i="3"/>
  <c r="N35" i="2"/>
  <c r="P34" i="2"/>
  <c r="N34" i="2"/>
  <c r="P33" i="2"/>
  <c r="C36" i="5" s="1"/>
  <c r="N33" i="2"/>
  <c r="P32" i="2"/>
  <c r="N32" i="2"/>
  <c r="P31" i="2"/>
  <c r="N31" i="2"/>
  <c r="D31" i="2"/>
  <c r="J29" i="2"/>
  <c r="J22" i="2"/>
  <c r="D22" i="2"/>
  <c r="J21" i="2"/>
  <c r="D21" i="2"/>
  <c r="J20" i="2"/>
  <c r="D20" i="2"/>
  <c r="J19" i="2"/>
  <c r="D19" i="2"/>
  <c r="T18" i="2"/>
  <c r="J18" i="2"/>
  <c r="D18" i="2"/>
  <c r="T17" i="2"/>
  <c r="J17" i="2"/>
  <c r="D17" i="2"/>
  <c r="T16" i="2"/>
  <c r="J16" i="2"/>
  <c r="D16" i="2"/>
  <c r="T15" i="2"/>
  <c r="J15" i="2"/>
  <c r="D15" i="2"/>
  <c r="D24" i="2" s="1"/>
  <c r="AA11" i="2"/>
  <c r="X11" i="2"/>
  <c r="T11" i="2"/>
  <c r="AA10" i="2"/>
  <c r="X10" i="2"/>
  <c r="T10" i="2"/>
  <c r="J10" i="2"/>
  <c r="AA9" i="2"/>
  <c r="X9" i="2"/>
  <c r="T9" i="2"/>
  <c r="D9" i="2"/>
  <c r="AA8" i="2"/>
  <c r="Y8" i="2"/>
  <c r="X8" i="2"/>
  <c r="T8" i="2"/>
  <c r="J8" i="2"/>
  <c r="D8" i="2"/>
  <c r="D7" i="2"/>
  <c r="J6" i="2"/>
  <c r="D6" i="2"/>
  <c r="N2" i="2"/>
  <c r="F2" i="2"/>
  <c r="L18" i="1"/>
  <c r="F18" i="1"/>
  <c r="C18" i="1"/>
  <c r="J15" i="1"/>
  <c r="P35" i="2" s="1"/>
  <c r="J12" i="1"/>
  <c r="M1" i="1"/>
  <c r="V2" i="2" s="1"/>
  <c r="D1" i="1"/>
  <c r="A1" i="1"/>
  <c r="B2" i="2" s="1"/>
  <c r="A3" i="4"/>
  <c r="AM33" i="3" l="1"/>
  <c r="BC34" i="3"/>
  <c r="BC139" i="3"/>
  <c r="AK135" i="3"/>
  <c r="AO33" i="3"/>
  <c r="AO138" i="3"/>
  <c r="BC157" i="3"/>
  <c r="AA840" i="3"/>
  <c r="AB840" i="3"/>
  <c r="AK117" i="3"/>
  <c r="AW139" i="3"/>
  <c r="AS158" i="3"/>
  <c r="AK58" i="3"/>
  <c r="AO82" i="3"/>
  <c r="BC41" i="3"/>
  <c r="AK154" i="3"/>
  <c r="BC43" i="3"/>
  <c r="BA63" i="3"/>
  <c r="AO81" i="3"/>
  <c r="AK77" i="3"/>
  <c r="AM41" i="3"/>
  <c r="U11" i="2" s="1"/>
  <c r="B10" i="5" s="1"/>
  <c r="C10" i="5" s="1"/>
  <c r="AG840" i="3"/>
  <c r="Y9" i="2"/>
  <c r="E8" i="5" s="1"/>
  <c r="F8" i="5" s="1"/>
  <c r="I18" i="2"/>
  <c r="L18" i="2" s="1"/>
  <c r="I20" i="2"/>
  <c r="L20" i="2" s="1"/>
  <c r="K18" i="2"/>
  <c r="AO32" i="3"/>
  <c r="AS44" i="3"/>
  <c r="BC44" i="3"/>
  <c r="BA62" i="3"/>
  <c r="AO63" i="3"/>
  <c r="AW63" i="3"/>
  <c r="AU82" i="3"/>
  <c r="BC82" i="3"/>
  <c r="BA120" i="3"/>
  <c r="AQ157" i="3"/>
  <c r="AO176" i="3"/>
  <c r="AS177" i="3"/>
  <c r="BA234" i="3"/>
  <c r="AK98" i="3"/>
  <c r="AS120" i="3"/>
  <c r="AQ158" i="3"/>
  <c r="AK155" i="3"/>
  <c r="BC176" i="3"/>
  <c r="AK174" i="3"/>
  <c r="AW196" i="3"/>
  <c r="AW215" i="3"/>
  <c r="BC233" i="3"/>
  <c r="BC62" i="3"/>
  <c r="AW82" i="3"/>
  <c r="AK78" i="3"/>
  <c r="AS101" i="3"/>
  <c r="AK97" i="3"/>
  <c r="BC138" i="3"/>
  <c r="BA158" i="3"/>
  <c r="AK173" i="3"/>
  <c r="AO39" i="3"/>
  <c r="AS63" i="3"/>
  <c r="AY82" i="3"/>
  <c r="BC100" i="3"/>
  <c r="AO120" i="3"/>
  <c r="AW120" i="3"/>
  <c r="BC158" i="3"/>
  <c r="AO195" i="3"/>
  <c r="BA196" i="3"/>
  <c r="BC214" i="3"/>
  <c r="AQ215" i="3"/>
  <c r="AK211" i="3"/>
  <c r="AO38" i="3"/>
  <c r="I16" i="2" s="1"/>
  <c r="L16" i="2" s="1"/>
  <c r="BC63" i="3"/>
  <c r="AK79" i="3"/>
  <c r="AO177" i="3"/>
  <c r="BA38" i="3"/>
  <c r="AU63" i="3"/>
  <c r="AS82" i="3"/>
  <c r="BA82" i="3"/>
  <c r="AK96" i="3"/>
  <c r="BA139" i="3"/>
  <c r="AW158" i="3"/>
  <c r="BA177" i="3"/>
  <c r="BC195" i="3"/>
  <c r="AS196" i="3"/>
  <c r="AS215" i="3"/>
  <c r="AW44" i="3"/>
  <c r="AK59" i="3"/>
  <c r="BA101" i="3"/>
  <c r="AQ119" i="3"/>
  <c r="AQ120" i="3"/>
  <c r="AK116" i="3"/>
  <c r="AO158" i="3"/>
  <c r="AK193" i="3"/>
  <c r="D11" i="2"/>
  <c r="AG3" i="3"/>
  <c r="X3" i="3"/>
  <c r="AE3" i="3"/>
  <c r="AA3" i="3"/>
  <c r="AB3" i="3"/>
  <c r="AA2" i="3"/>
  <c r="AH3" i="3"/>
  <c r="AB31" i="2"/>
  <c r="AB33" i="2"/>
  <c r="AF3" i="3"/>
  <c r="AM297" i="3" s="1"/>
  <c r="E7" i="5"/>
  <c r="F7" i="5" s="1"/>
  <c r="AA31" i="2"/>
  <c r="K20" i="2"/>
  <c r="J24" i="2"/>
  <c r="AE2" i="3"/>
  <c r="AG4" i="3"/>
  <c r="X4" i="3"/>
  <c r="AA4" i="3"/>
  <c r="AE4" i="3" s="1"/>
  <c r="W8" i="3"/>
  <c r="AG23" i="3"/>
  <c r="X23" i="3"/>
  <c r="AA23" i="3"/>
  <c r="AA24" i="3"/>
  <c r="AE24" i="3" s="1"/>
  <c r="AG24" i="3"/>
  <c r="X24" i="3"/>
  <c r="AH25" i="3"/>
  <c r="AE63" i="3"/>
  <c r="AA63" i="3"/>
  <c r="AG63" i="3"/>
  <c r="X63" i="3"/>
  <c r="AG2" i="3"/>
  <c r="W5" i="3"/>
  <c r="AM56" i="3" s="1"/>
  <c r="Z6" i="3"/>
  <c r="Z8" i="3"/>
  <c r="AH10" i="3"/>
  <c r="E13" i="6"/>
  <c r="AG45" i="3"/>
  <c r="X45" i="3"/>
  <c r="AA45" i="3"/>
  <c r="AE45" i="3" s="1"/>
  <c r="AE46" i="3"/>
  <c r="AA46" i="3"/>
  <c r="AG46" i="3"/>
  <c r="X46" i="3"/>
  <c r="AB67" i="3"/>
  <c r="AB68" i="3"/>
  <c r="AB69" i="3"/>
  <c r="AB23" i="3"/>
  <c r="AE23" i="3" s="1"/>
  <c r="AB24" i="3"/>
  <c r="AB63" i="3"/>
  <c r="AB65" i="3"/>
  <c r="AA74" i="3"/>
  <c r="AE74" i="3" s="1"/>
  <c r="AG74" i="3"/>
  <c r="X74" i="3"/>
  <c r="AA6" i="3"/>
  <c r="AE6" i="3" s="1"/>
  <c r="AG6" i="3"/>
  <c r="X6" i="3"/>
  <c r="AB10" i="3"/>
  <c r="AL43" i="3"/>
  <c r="AA59" i="3"/>
  <c r="AG59" i="3"/>
  <c r="X59" i="3"/>
  <c r="AH88" i="3"/>
  <c r="AB6" i="3"/>
  <c r="X2" i="3"/>
  <c r="AH2" i="3"/>
  <c r="AB8" i="3"/>
  <c r="AG12" i="3"/>
  <c r="X12" i="3"/>
  <c r="AE12" i="3"/>
  <c r="AA12" i="3"/>
  <c r="AH15" i="3"/>
  <c r="AE43" i="3"/>
  <c r="AH52" i="3"/>
  <c r="AB74" i="3"/>
  <c r="AG92" i="3"/>
  <c r="X92" i="3"/>
  <c r="AB92" i="3"/>
  <c r="AE92" i="3" s="1"/>
  <c r="AA92" i="3"/>
  <c r="AH92" i="3"/>
  <c r="AB4" i="3"/>
  <c r="AH6" i="3"/>
  <c r="AB11" i="3"/>
  <c r="AE13" i="3"/>
  <c r="AA13" i="3"/>
  <c r="AG13" i="3"/>
  <c r="X13" i="3"/>
  <c r="AE30" i="3"/>
  <c r="AB59" i="3"/>
  <c r="AE59" i="3" s="1"/>
  <c r="AG80" i="3"/>
  <c r="X80" i="3"/>
  <c r="AE80" i="3"/>
  <c r="AA80" i="3"/>
  <c r="AB20" i="3"/>
  <c r="AE34" i="3"/>
  <c r="AA10" i="3"/>
  <c r="AG10" i="3"/>
  <c r="X10" i="3"/>
  <c r="AE10" i="3"/>
  <c r="AG67" i="3"/>
  <c r="X67" i="3"/>
  <c r="AA67" i="3"/>
  <c r="AE67" i="3" s="1"/>
  <c r="AA68" i="3"/>
  <c r="AE68" i="3" s="1"/>
  <c r="AG68" i="3"/>
  <c r="X68" i="3"/>
  <c r="AH69" i="3"/>
  <c r="AA90" i="3"/>
  <c r="AE90" i="3" s="1"/>
  <c r="X90" i="3"/>
  <c r="AG90" i="3"/>
  <c r="Z4" i="3"/>
  <c r="AH4" i="3"/>
  <c r="Z12" i="3"/>
  <c r="AH12" i="3"/>
  <c r="W15" i="3"/>
  <c r="Z23" i="3"/>
  <c r="AH23" i="3"/>
  <c r="W25" i="3"/>
  <c r="AB25" i="3" s="1"/>
  <c r="W35" i="3"/>
  <c r="Z39" i="3"/>
  <c r="Z45" i="3"/>
  <c r="AH45" i="3"/>
  <c r="W47" i="3"/>
  <c r="AN62" i="3"/>
  <c r="AQ63" i="3"/>
  <c r="Z67" i="3"/>
  <c r="AH67" i="3"/>
  <c r="W69" i="3"/>
  <c r="Z80" i="3"/>
  <c r="AH80" i="3"/>
  <c r="AG95" i="3"/>
  <c r="AO100" i="3"/>
  <c r="AF101" i="3"/>
  <c r="W101" i="3"/>
  <c r="AG126" i="3"/>
  <c r="X126" i="3"/>
  <c r="AA126" i="3"/>
  <c r="AE126" i="3" s="1"/>
  <c r="AE147" i="3"/>
  <c r="AB161" i="3"/>
  <c r="AA162" i="3"/>
  <c r="AH162" i="3"/>
  <c r="AG162" i="3"/>
  <c r="X162" i="3"/>
  <c r="AU147" i="3" s="1"/>
  <c r="AU153" i="3"/>
  <c r="AE162" i="3"/>
  <c r="Z5" i="3"/>
  <c r="AH5" i="3"/>
  <c r="W7" i="3"/>
  <c r="AH7" i="3" s="1"/>
  <c r="Z13" i="3"/>
  <c r="AH13" i="3"/>
  <c r="Z14" i="3"/>
  <c r="W16" i="3"/>
  <c r="AB16" i="3" s="1"/>
  <c r="W17" i="3"/>
  <c r="AB17" i="3" s="1"/>
  <c r="AF17" i="3"/>
  <c r="W18" i="3"/>
  <c r="AB18" i="3" s="1"/>
  <c r="AF18" i="3"/>
  <c r="Z24" i="3"/>
  <c r="AH24" i="3"/>
  <c r="W26" i="3"/>
  <c r="AH26" i="3" s="1"/>
  <c r="W27" i="3"/>
  <c r="AF27" i="3"/>
  <c r="AE32" i="3"/>
  <c r="AE38" i="3"/>
  <c r="Z41" i="3"/>
  <c r="W44" i="3"/>
  <c r="AP44" i="3"/>
  <c r="AX44" i="3"/>
  <c r="Z46" i="3"/>
  <c r="AH46" i="3"/>
  <c r="X48" i="3"/>
  <c r="AG48" i="3"/>
  <c r="W49" i="3"/>
  <c r="AH49" i="3" s="1"/>
  <c r="AE50" i="3"/>
  <c r="X53" i="3"/>
  <c r="AG53" i="3"/>
  <c r="X55" i="3"/>
  <c r="AG55" i="3"/>
  <c r="X56" i="3"/>
  <c r="AG56" i="3"/>
  <c r="AT304" i="3"/>
  <c r="AT303" i="3"/>
  <c r="BB304" i="3"/>
  <c r="BB303" i="3"/>
  <c r="AE58" i="3"/>
  <c r="Z59" i="3"/>
  <c r="AH59" i="3"/>
  <c r="AE62" i="3"/>
  <c r="Z63" i="3"/>
  <c r="AH63" i="3"/>
  <c r="AR63" i="3"/>
  <c r="AZ63" i="3"/>
  <c r="Z68" i="3"/>
  <c r="AH68" i="3"/>
  <c r="AL70" i="3"/>
  <c r="AL81" i="3" s="1"/>
  <c r="D29" i="2" s="1"/>
  <c r="AA72" i="3"/>
  <c r="AE72" i="3" s="1"/>
  <c r="AE73" i="3"/>
  <c r="Z74" i="3"/>
  <c r="AH74" i="3"/>
  <c r="Z75" i="3"/>
  <c r="Z77" i="3"/>
  <c r="W79" i="3"/>
  <c r="AH79" i="3" s="1"/>
  <c r="AA81" i="3"/>
  <c r="AE81" i="3" s="1"/>
  <c r="AN82" i="3"/>
  <c r="Z83" i="3"/>
  <c r="X84" i="3"/>
  <c r="AG84" i="3"/>
  <c r="X85" i="3"/>
  <c r="AG85" i="3"/>
  <c r="W86" i="3"/>
  <c r="AB86" i="3" s="1"/>
  <c r="W87" i="3"/>
  <c r="AB87" i="3" s="1"/>
  <c r="AF87" i="3"/>
  <c r="AF92" i="3"/>
  <c r="AN101" i="3"/>
  <c r="X95" i="3"/>
  <c r="AH95" i="3"/>
  <c r="AH99" i="3"/>
  <c r="AA100" i="3"/>
  <c r="AE100" i="3" s="1"/>
  <c r="AH100" i="3"/>
  <c r="AG100" i="3"/>
  <c r="X100" i="3"/>
  <c r="AP100" i="3"/>
  <c r="AL139" i="3"/>
  <c r="J32" i="2" s="1"/>
  <c r="AU172" i="3"/>
  <c r="AK172" i="3" s="1"/>
  <c r="AA156" i="3"/>
  <c r="AE156" i="3" s="1"/>
  <c r="AH156" i="3"/>
  <c r="AG156" i="3"/>
  <c r="X156" i="3"/>
  <c r="AU166" i="3" s="1"/>
  <c r="AA163" i="3"/>
  <c r="AH163" i="3"/>
  <c r="AG163" i="3"/>
  <c r="X163" i="3"/>
  <c r="AU109" i="3" s="1"/>
  <c r="AU115" i="3"/>
  <c r="AE163" i="3"/>
  <c r="Z15" i="3"/>
  <c r="W19" i="3"/>
  <c r="AB19" i="3" s="1"/>
  <c r="Z25" i="3"/>
  <c r="W28" i="3"/>
  <c r="AB28" i="3" s="1"/>
  <c r="Z35" i="3"/>
  <c r="J7" i="5"/>
  <c r="Z47" i="3"/>
  <c r="AH48" i="3"/>
  <c r="AL51" i="3"/>
  <c r="AL62" i="3" s="1"/>
  <c r="D28" i="2" s="1"/>
  <c r="Z53" i="3"/>
  <c r="AH55" i="3"/>
  <c r="AH56" i="3"/>
  <c r="AP62" i="3"/>
  <c r="Z69" i="3"/>
  <c r="W71" i="3"/>
  <c r="Z84" i="3"/>
  <c r="AH85" i="3"/>
  <c r="W88" i="3"/>
  <c r="AT100" i="3"/>
  <c r="BB100" i="3"/>
  <c r="AF90" i="3"/>
  <c r="AL95" i="3"/>
  <c r="AL101" i="3" s="1"/>
  <c r="J30" i="2" s="1"/>
  <c r="AB126" i="3"/>
  <c r="AA134" i="3"/>
  <c r="AE134" i="3" s="1"/>
  <c r="AG134" i="3"/>
  <c r="X134" i="3"/>
  <c r="X150" i="3"/>
  <c r="AB150" i="3"/>
  <c r="AA150" i="3"/>
  <c r="AE150" i="3" s="1"/>
  <c r="AG150" i="3"/>
  <c r="Y150" i="3"/>
  <c r="AA157" i="3"/>
  <c r="AU134" i="3"/>
  <c r="AK134" i="3" s="1"/>
  <c r="AH157" i="3"/>
  <c r="AG157" i="3"/>
  <c r="X157" i="3"/>
  <c r="AU128" i="3" s="1"/>
  <c r="AE157" i="3"/>
  <c r="AA164" i="3"/>
  <c r="AE164" i="3" s="1"/>
  <c r="AH164" i="3"/>
  <c r="AG164" i="3"/>
  <c r="X164" i="3"/>
  <c r="Z7" i="3"/>
  <c r="W9" i="3"/>
  <c r="AH9" i="3" s="1"/>
  <c r="Z16" i="3"/>
  <c r="W20" i="3"/>
  <c r="AE21" i="3"/>
  <c r="Z26" i="3"/>
  <c r="W29" i="3"/>
  <c r="AB29" i="3" s="1"/>
  <c r="X32" i="3"/>
  <c r="AG32" i="3"/>
  <c r="X38" i="3"/>
  <c r="AG38" i="3"/>
  <c r="J9" i="5"/>
  <c r="M9" i="5"/>
  <c r="G10" i="5"/>
  <c r="Z44" i="3"/>
  <c r="AA48" i="3"/>
  <c r="AE48" i="3" s="1"/>
  <c r="Z49" i="3"/>
  <c r="X50" i="3"/>
  <c r="AG50" i="3"/>
  <c r="W52" i="3"/>
  <c r="AB52" i="3" s="1"/>
  <c r="AA53" i="3"/>
  <c r="AE53" i="3" s="1"/>
  <c r="AA55" i="3"/>
  <c r="AE55" i="3" s="1"/>
  <c r="AA56" i="3"/>
  <c r="AE56" i="3" s="1"/>
  <c r="AV304" i="3"/>
  <c r="AV303" i="3"/>
  <c r="BD304" i="3"/>
  <c r="BD303" i="3"/>
  <c r="X58" i="3"/>
  <c r="AG58" i="3"/>
  <c r="AL59" i="3"/>
  <c r="AE60" i="3"/>
  <c r="Z61" i="3"/>
  <c r="X62" i="3"/>
  <c r="AG62" i="3"/>
  <c r="AT63" i="3"/>
  <c r="BB63" i="3"/>
  <c r="X73" i="3"/>
  <c r="AG73" i="3"/>
  <c r="W76" i="3"/>
  <c r="AF76" i="3"/>
  <c r="AE78" i="3"/>
  <c r="Z79" i="3"/>
  <c r="W82" i="3"/>
  <c r="AP82" i="3"/>
  <c r="AA84" i="3"/>
  <c r="AE84" i="3" s="1"/>
  <c r="AA85" i="3"/>
  <c r="AE85" i="3" s="1"/>
  <c r="Z86" i="3"/>
  <c r="AE94" i="3"/>
  <c r="BC101" i="3"/>
  <c r="W96" i="3"/>
  <c r="AH96" i="3"/>
  <c r="AF98" i="3"/>
  <c r="AB99" i="3"/>
  <c r="AH149" i="3"/>
  <c r="Z19" i="3"/>
  <c r="Z28" i="3"/>
  <c r="Z32" i="3"/>
  <c r="X34" i="3"/>
  <c r="AG34" i="3"/>
  <c r="Z38" i="3"/>
  <c r="D8" i="5"/>
  <c r="X40" i="3"/>
  <c r="AG40" i="3"/>
  <c r="X42" i="3"/>
  <c r="AG42" i="3"/>
  <c r="AP43" i="3"/>
  <c r="Z50" i="3"/>
  <c r="W54" i="3"/>
  <c r="AF54" i="3"/>
  <c r="Z58" i="3"/>
  <c r="Z62" i="3"/>
  <c r="W64" i="3"/>
  <c r="AB64" i="3" s="1"/>
  <c r="Z71" i="3"/>
  <c r="AH73" i="3"/>
  <c r="Z88" i="3"/>
  <c r="AV101" i="3"/>
  <c r="BD101" i="3"/>
  <c r="AB119" i="3"/>
  <c r="AA128" i="3"/>
  <c r="AE128" i="3" s="1"/>
  <c r="AG128" i="3"/>
  <c r="X128" i="3"/>
  <c r="Z9" i="3"/>
  <c r="W11" i="3"/>
  <c r="Z20" i="3"/>
  <c r="W22" i="3"/>
  <c r="AB22" i="3" s="1"/>
  <c r="Z29" i="3"/>
  <c r="W31" i="3"/>
  <c r="AM151" i="3" s="1"/>
  <c r="Z34" i="3"/>
  <c r="W36" i="3"/>
  <c r="AH36" i="3" s="1"/>
  <c r="W37" i="3"/>
  <c r="AF37" i="3"/>
  <c r="Z40" i="3"/>
  <c r="D10" i="5"/>
  <c r="AH42" i="3"/>
  <c r="X43" i="3"/>
  <c r="AG43" i="3"/>
  <c r="AT44" i="3"/>
  <c r="BB44" i="3"/>
  <c r="Z52" i="3"/>
  <c r="W57" i="3"/>
  <c r="AB57" i="3" s="1"/>
  <c r="AP303" i="3"/>
  <c r="AP304" i="3"/>
  <c r="AX303" i="3"/>
  <c r="AX304" i="3"/>
  <c r="X60" i="3"/>
  <c r="AG60" i="3"/>
  <c r="AN63" i="3"/>
  <c r="AV63" i="3"/>
  <c r="BD63" i="3"/>
  <c r="W65" i="3"/>
  <c r="W66" i="3"/>
  <c r="AF66" i="3"/>
  <c r="W70" i="3"/>
  <c r="Z82" i="3"/>
  <c r="AH90" i="3"/>
  <c r="W91" i="3"/>
  <c r="AF91" i="3"/>
  <c r="W93" i="3"/>
  <c r="AB93" i="3" s="1"/>
  <c r="AG94" i="3"/>
  <c r="AO101" i="3"/>
  <c r="AW101" i="3"/>
  <c r="AA97" i="3"/>
  <c r="AE97" i="3" s="1"/>
  <c r="AH97" i="3"/>
  <c r="W98" i="3"/>
  <c r="AB110" i="3"/>
  <c r="X138" i="3"/>
  <c r="AE138" i="3"/>
  <c r="AB138" i="3"/>
  <c r="AA138" i="3"/>
  <c r="AG138" i="3"/>
  <c r="Y138" i="3"/>
  <c r="X152" i="3"/>
  <c r="AB152" i="3"/>
  <c r="AE152" i="3" s="1"/>
  <c r="AA152" i="3"/>
  <c r="AG152" i="3"/>
  <c r="Y152" i="3"/>
  <c r="AU191" i="3"/>
  <c r="AA159" i="3"/>
  <c r="AE159" i="3" s="1"/>
  <c r="AH159" i="3"/>
  <c r="AG159" i="3"/>
  <c r="X159" i="3"/>
  <c r="AU185" i="3" s="1"/>
  <c r="AL196" i="3"/>
  <c r="J35" i="2" s="1"/>
  <c r="Z2" i="3"/>
  <c r="Z10" i="3"/>
  <c r="Z21" i="3"/>
  <c r="Z30" i="3"/>
  <c r="W33" i="3"/>
  <c r="AL38" i="3"/>
  <c r="J7" i="2" s="1"/>
  <c r="G7" i="5"/>
  <c r="W39" i="3"/>
  <c r="AL299" i="3"/>
  <c r="AL303" i="3" s="1"/>
  <c r="M8" i="5"/>
  <c r="J8" i="5"/>
  <c r="Z43" i="3"/>
  <c r="W51" i="3"/>
  <c r="AN304" i="3"/>
  <c r="AN303" i="3"/>
  <c r="AL58" i="3"/>
  <c r="AL63" i="3" s="1"/>
  <c r="J28" i="2" s="1"/>
  <c r="Z60" i="3"/>
  <c r="Z64" i="3"/>
  <c r="Z78" i="3"/>
  <c r="AL88" i="3"/>
  <c r="AL100" i="3" s="1"/>
  <c r="D30" i="2" s="1"/>
  <c r="AH93" i="3"/>
  <c r="X94" i="3"/>
  <c r="AH94" i="3"/>
  <c r="AE95" i="3"/>
  <c r="X97" i="3"/>
  <c r="Z101" i="3"/>
  <c r="AB128" i="3"/>
  <c r="AA160" i="3"/>
  <c r="AE160" i="3" s="1"/>
  <c r="AH160" i="3"/>
  <c r="AG160" i="3"/>
  <c r="X160" i="3"/>
  <c r="AU90" i="3" s="1"/>
  <c r="Z3" i="3"/>
  <c r="Z11" i="3"/>
  <c r="W14" i="3"/>
  <c r="Z22" i="3"/>
  <c r="Z31" i="3"/>
  <c r="Z36" i="3"/>
  <c r="AL40" i="3"/>
  <c r="J9" i="2" s="1"/>
  <c r="G9" i="5"/>
  <c r="W41" i="3"/>
  <c r="AL301" i="3"/>
  <c r="AL304" i="3" s="1"/>
  <c r="M10" i="5"/>
  <c r="J10" i="5"/>
  <c r="AN44" i="3"/>
  <c r="Z57" i="3"/>
  <c r="AR303" i="3"/>
  <c r="AR304" i="3"/>
  <c r="AZ303" i="3"/>
  <c r="AZ304" i="3"/>
  <c r="AP63" i="3"/>
  <c r="AX63" i="3"/>
  <c r="Z65" i="3"/>
  <c r="Z70" i="3"/>
  <c r="X72" i="3"/>
  <c r="W75" i="3"/>
  <c r="W77" i="3"/>
  <c r="X81" i="3"/>
  <c r="W83" i="3"/>
  <c r="AA99" i="3"/>
  <c r="AE99" i="3" s="1"/>
  <c r="AG99" i="3"/>
  <c r="X99" i="3"/>
  <c r="AH106" i="3"/>
  <c r="AH130" i="3"/>
  <c r="AA161" i="3"/>
  <c r="AH161" i="3"/>
  <c r="AG161" i="3"/>
  <c r="X161" i="3"/>
  <c r="AU71" i="3" s="1"/>
  <c r="AE161" i="3"/>
  <c r="X109" i="3"/>
  <c r="AG109" i="3"/>
  <c r="X111" i="3"/>
  <c r="AG111" i="3"/>
  <c r="AA117" i="3"/>
  <c r="Z126" i="3"/>
  <c r="AH126" i="3"/>
  <c r="AA132" i="3"/>
  <c r="W136" i="3"/>
  <c r="Z137" i="3"/>
  <c r="W140" i="3"/>
  <c r="Z145" i="3"/>
  <c r="X147" i="3"/>
  <c r="AU108" i="3" s="1"/>
  <c r="W154" i="3"/>
  <c r="AA155" i="3"/>
  <c r="AE155" i="3" s="1"/>
  <c r="AO157" i="3"/>
  <c r="AA158" i="3"/>
  <c r="AA165" i="3"/>
  <c r="AE166" i="3"/>
  <c r="AA167" i="3"/>
  <c r="AE168" i="3"/>
  <c r="AA169" i="3"/>
  <c r="AU171" i="3"/>
  <c r="AU177" i="3" s="1"/>
  <c r="AE189" i="3"/>
  <c r="AA190" i="3"/>
  <c r="AE190" i="3" s="1"/>
  <c r="AE191" i="3"/>
  <c r="AA192" i="3"/>
  <c r="AG200" i="3"/>
  <c r="Y200" i="3"/>
  <c r="AH200" i="3"/>
  <c r="AA201" i="3"/>
  <c r="AE201" i="3" s="1"/>
  <c r="AE247" i="3"/>
  <c r="AA252" i="3"/>
  <c r="AH252" i="3"/>
  <c r="AG252" i="3"/>
  <c r="Y252" i="3"/>
  <c r="X252" i="3"/>
  <c r="AB252" i="3"/>
  <c r="AK299" i="3"/>
  <c r="Z99" i="3"/>
  <c r="X102" i="3"/>
  <c r="AG102" i="3"/>
  <c r="W103" i="3"/>
  <c r="Z109" i="3"/>
  <c r="AH111" i="3"/>
  <c r="X114" i="3"/>
  <c r="AG114" i="3"/>
  <c r="W116" i="3"/>
  <c r="AH116" i="3" s="1"/>
  <c r="Z128" i="3"/>
  <c r="AH128" i="3"/>
  <c r="W130" i="3"/>
  <c r="Z134" i="3"/>
  <c r="AH134" i="3"/>
  <c r="AA137" i="3"/>
  <c r="Z138" i="3"/>
  <c r="AH138" i="3"/>
  <c r="W141" i="3"/>
  <c r="AB141" i="3" s="1"/>
  <c r="AA145" i="3"/>
  <c r="Y147" i="3"/>
  <c r="AG147" i="3"/>
  <c r="W149" i="3"/>
  <c r="Z150" i="3"/>
  <c r="AH150" i="3"/>
  <c r="W151" i="3"/>
  <c r="AU231" i="3" s="1"/>
  <c r="AU41" i="3" s="1"/>
  <c r="Z152" i="3"/>
  <c r="AH152" i="3"/>
  <c r="AL155" i="3"/>
  <c r="AP157" i="3"/>
  <c r="AL165" i="3"/>
  <c r="AL176" i="3" s="1"/>
  <c r="D34" i="2" s="1"/>
  <c r="X166" i="3"/>
  <c r="AM298" i="3"/>
  <c r="X168" i="3"/>
  <c r="AH188" i="3"/>
  <c r="AL190" i="3"/>
  <c r="Y193" i="3"/>
  <c r="AG193" i="3"/>
  <c r="AE196" i="3"/>
  <c r="AG197" i="3"/>
  <c r="Y197" i="3"/>
  <c r="AH197" i="3"/>
  <c r="X200" i="3"/>
  <c r="AB201" i="3"/>
  <c r="AE203" i="3"/>
  <c r="AZ214" i="3"/>
  <c r="AP233" i="3"/>
  <c r="AL225" i="3"/>
  <c r="AL231" i="3"/>
  <c r="AA262" i="3"/>
  <c r="AE262" i="3" s="1"/>
  <c r="AH262" i="3"/>
  <c r="AG262" i="3"/>
  <c r="Y262" i="3"/>
  <c r="X262" i="3"/>
  <c r="AM230" i="3"/>
  <c r="AB262" i="3"/>
  <c r="AE265" i="3"/>
  <c r="AE306" i="3"/>
  <c r="AE310" i="3"/>
  <c r="AE314" i="3"/>
  <c r="AE318" i="3"/>
  <c r="AE322" i="3"/>
  <c r="AM247" i="3" s="1"/>
  <c r="AE326" i="3"/>
  <c r="AE330" i="3"/>
  <c r="AE334" i="3"/>
  <c r="AE338" i="3"/>
  <c r="AE342" i="3"/>
  <c r="AE346" i="3"/>
  <c r="AE350" i="3"/>
  <c r="AE354" i="3"/>
  <c r="AE358" i="3"/>
  <c r="AE362" i="3"/>
  <c r="AE370" i="3"/>
  <c r="AE374" i="3"/>
  <c r="AE378" i="3"/>
  <c r="AE382" i="3"/>
  <c r="AE386" i="3"/>
  <c r="AE390" i="3"/>
  <c r="AE394" i="3"/>
  <c r="AE398" i="3"/>
  <c r="AE402" i="3"/>
  <c r="AE406" i="3"/>
  <c r="AE410" i="3"/>
  <c r="AE414" i="3"/>
  <c r="AE418" i="3"/>
  <c r="AE422" i="3"/>
  <c r="AO269" i="3" s="1"/>
  <c r="AE426" i="3"/>
  <c r="AO259" i="3" s="1"/>
  <c r="AE430" i="3"/>
  <c r="AE434" i="3"/>
  <c r="AE438" i="3"/>
  <c r="AE442" i="3"/>
  <c r="AE446" i="3"/>
  <c r="AO249" i="3" s="1"/>
  <c r="AE450" i="3"/>
  <c r="AE454" i="3"/>
  <c r="AO251" i="3" s="1"/>
  <c r="AE458" i="3"/>
  <c r="AE462" i="3"/>
  <c r="AE473" i="3"/>
  <c r="Z102" i="3"/>
  <c r="W104" i="3"/>
  <c r="AH104" i="3" s="1"/>
  <c r="W108" i="3"/>
  <c r="AH108" i="3" s="1"/>
  <c r="AA109" i="3"/>
  <c r="AE109" i="3" s="1"/>
  <c r="AA111" i="3"/>
  <c r="AE111" i="3" s="1"/>
  <c r="Z114" i="3"/>
  <c r="W118" i="3"/>
  <c r="AB118" i="3" s="1"/>
  <c r="W119" i="3"/>
  <c r="AF119" i="3"/>
  <c r="AL126" i="3"/>
  <c r="W127" i="3"/>
  <c r="AB127" i="3" s="1"/>
  <c r="AF127" i="3"/>
  <c r="W133" i="3"/>
  <c r="AH133" i="3" s="1"/>
  <c r="AB137" i="3"/>
  <c r="W142" i="3"/>
  <c r="AB145" i="3"/>
  <c r="AL145" i="3"/>
  <c r="AL157" i="3" s="1"/>
  <c r="D33" i="2" s="1"/>
  <c r="W146" i="3"/>
  <c r="Z147" i="3"/>
  <c r="Y166" i="3"/>
  <c r="Y168" i="3"/>
  <c r="AE171" i="3"/>
  <c r="AE173" i="3"/>
  <c r="AE175" i="3"/>
  <c r="AE176" i="3"/>
  <c r="AE178" i="3"/>
  <c r="AM274" i="3" s="1"/>
  <c r="AE179" i="3"/>
  <c r="AE180" i="3"/>
  <c r="AM279" i="3" s="1"/>
  <c r="AE181" i="3"/>
  <c r="AE182" i="3"/>
  <c r="AE183" i="3"/>
  <c r="AE185" i="3"/>
  <c r="AE187" i="3"/>
  <c r="AM190" i="3"/>
  <c r="BC196" i="3"/>
  <c r="AG202" i="3"/>
  <c r="Y202" i="3"/>
  <c r="AH202" i="3"/>
  <c r="AA204" i="3"/>
  <c r="AG204" i="3"/>
  <c r="Y204" i="3"/>
  <c r="AP214" i="3"/>
  <c r="AN234" i="3"/>
  <c r="AL229" i="3"/>
  <c r="AE257" i="3"/>
  <c r="AE481" i="3"/>
  <c r="AO267" i="3" s="1"/>
  <c r="Z90" i="3"/>
  <c r="Z103" i="3"/>
  <c r="W105" i="3"/>
  <c r="AB105" i="3" s="1"/>
  <c r="W110" i="3"/>
  <c r="AF110" i="3"/>
  <c r="W112" i="3"/>
  <c r="AB112" i="3" s="1"/>
  <c r="W113" i="3"/>
  <c r="Z116" i="3"/>
  <c r="W121" i="3"/>
  <c r="AB121" i="3" s="1"/>
  <c r="AE129" i="3"/>
  <c r="Z130" i="3"/>
  <c r="AE135" i="3"/>
  <c r="Z136" i="3"/>
  <c r="AE139" i="3"/>
  <c r="AO139" i="3"/>
  <c r="Z140" i="3"/>
  <c r="AE143" i="3"/>
  <c r="AL152" i="3"/>
  <c r="AL158" i="3" s="1"/>
  <c r="J33" i="2" s="1"/>
  <c r="AE153" i="3"/>
  <c r="Z154" i="3"/>
  <c r="AL170" i="3"/>
  <c r="AG199" i="3"/>
  <c r="Y199" i="3"/>
  <c r="AH199" i="3"/>
  <c r="AR214" i="3"/>
  <c r="AL206" i="3"/>
  <c r="AK210" i="3"/>
  <c r="AA272" i="3"/>
  <c r="AH272" i="3"/>
  <c r="AG272" i="3"/>
  <c r="Y272" i="3"/>
  <c r="X272" i="3"/>
  <c r="AB272" i="3"/>
  <c r="AE272" i="3" s="1"/>
  <c r="AK301" i="3"/>
  <c r="Z104" i="3"/>
  <c r="W106" i="3"/>
  <c r="Z108" i="3"/>
  <c r="AL114" i="3"/>
  <c r="AL120" i="3" s="1"/>
  <c r="J31" i="2" s="1"/>
  <c r="W115" i="3"/>
  <c r="AB115" i="3" s="1"/>
  <c r="AF115" i="3"/>
  <c r="AE117" i="3"/>
  <c r="Z118" i="3"/>
  <c r="W122" i="3"/>
  <c r="AB122" i="3" s="1"/>
  <c r="W123" i="3"/>
  <c r="AF123" i="3"/>
  <c r="W124" i="3"/>
  <c r="AB124" i="3" s="1"/>
  <c r="AF124" i="3"/>
  <c r="AE132" i="3"/>
  <c r="Z133" i="3"/>
  <c r="X135" i="3"/>
  <c r="AU127" i="3" s="1"/>
  <c r="AU298" i="3"/>
  <c r="X139" i="3"/>
  <c r="AU51" i="3" s="1"/>
  <c r="AP139" i="3"/>
  <c r="Z141" i="3"/>
  <c r="X143" i="3"/>
  <c r="AU165" i="3" s="1"/>
  <c r="AU176" i="3" s="1"/>
  <c r="W144" i="3"/>
  <c r="AB144" i="3" s="1"/>
  <c r="W148" i="3"/>
  <c r="AB148" i="3" s="1"/>
  <c r="Z149" i="3"/>
  <c r="Z151" i="3"/>
  <c r="X153" i="3"/>
  <c r="AE158" i="3"/>
  <c r="AE165" i="3"/>
  <c r="AE167" i="3"/>
  <c r="AE169" i="3"/>
  <c r="AE192" i="3"/>
  <c r="X194" i="3"/>
  <c r="AG194" i="3"/>
  <c r="X199" i="3"/>
  <c r="AT233" i="3"/>
  <c r="BD234" i="3"/>
  <c r="AE252" i="3"/>
  <c r="AE267" i="3"/>
  <c r="AE477" i="3"/>
  <c r="Z105" i="3"/>
  <c r="W107" i="3"/>
  <c r="AB107" i="3" s="1"/>
  <c r="Z121" i="3"/>
  <c r="W125" i="3"/>
  <c r="X129" i="3"/>
  <c r="AG129" i="3"/>
  <c r="W131" i="3"/>
  <c r="AF131" i="3"/>
  <c r="AE137" i="3"/>
  <c r="Z142" i="3"/>
  <c r="AE145" i="3"/>
  <c r="Z146" i="3"/>
  <c r="AU229" i="3"/>
  <c r="AG201" i="3"/>
  <c r="Y201" i="3"/>
  <c r="AH201" i="3"/>
  <c r="AL202" i="3"/>
  <c r="AL214" i="3" s="1"/>
  <c r="D36" i="2" s="1"/>
  <c r="AN214" i="3"/>
  <c r="AA282" i="3"/>
  <c r="AE282" i="3" s="1"/>
  <c r="AH282" i="3"/>
  <c r="AG282" i="3"/>
  <c r="Y282" i="3"/>
  <c r="X282" i="3"/>
  <c r="AB282" i="3"/>
  <c r="AE485" i="3"/>
  <c r="Z106" i="3"/>
  <c r="X117" i="3"/>
  <c r="AG117" i="3"/>
  <c r="W120" i="3"/>
  <c r="AB120" i="3" s="1"/>
  <c r="Z122" i="3"/>
  <c r="AL127" i="3"/>
  <c r="Z129" i="3"/>
  <c r="X132" i="3"/>
  <c r="AG132" i="3"/>
  <c r="Z135" i="3"/>
  <c r="X137" i="3"/>
  <c r="AU70" i="3" s="1"/>
  <c r="Z139" i="3"/>
  <c r="Z143" i="3"/>
  <c r="X145" i="3"/>
  <c r="Z153" i="3"/>
  <c r="X155" i="3"/>
  <c r="AU223" i="3" s="1"/>
  <c r="AG155" i="3"/>
  <c r="X158" i="3"/>
  <c r="AU204" i="3" s="1"/>
  <c r="AG158" i="3"/>
  <c r="X165" i="3"/>
  <c r="AU52" i="3" s="1"/>
  <c r="AG165" i="3"/>
  <c r="Y167" i="3"/>
  <c r="AG167" i="3"/>
  <c r="Y169" i="3"/>
  <c r="AM228" i="3"/>
  <c r="AE170" i="3"/>
  <c r="Y190" i="3"/>
  <c r="Y192" i="3"/>
  <c r="AG192" i="3"/>
  <c r="AB195" i="3"/>
  <c r="AE195" i="3" s="1"/>
  <c r="AG198" i="3"/>
  <c r="Y198" i="3"/>
  <c r="AH198" i="3"/>
  <c r="AA199" i="3"/>
  <c r="AE199" i="3" s="1"/>
  <c r="AE200" i="3"/>
  <c r="X201" i="3"/>
  <c r="AM203" i="3" s="1"/>
  <c r="AB202" i="3"/>
  <c r="AE202" i="3" s="1"/>
  <c r="AV214" i="3"/>
  <c r="AB204" i="3"/>
  <c r="AP215" i="3"/>
  <c r="AL209" i="3"/>
  <c r="AL215" i="3" s="1"/>
  <c r="J36" i="2" s="1"/>
  <c r="AL222" i="3"/>
  <c r="AL233" i="3" s="1"/>
  <c r="D37" i="2" s="1"/>
  <c r="AX233" i="3"/>
  <c r="AA242" i="3"/>
  <c r="AE242" i="3" s="1"/>
  <c r="AH242" i="3"/>
  <c r="AG242" i="3"/>
  <c r="Y242" i="3"/>
  <c r="X242" i="3"/>
  <c r="AB242" i="3"/>
  <c r="AA292" i="3"/>
  <c r="AE292" i="3" s="1"/>
  <c r="AH292" i="3"/>
  <c r="AG292" i="3"/>
  <c r="Y292" i="3"/>
  <c r="X292" i="3"/>
  <c r="AM186" i="3" s="1"/>
  <c r="AB292" i="3"/>
  <c r="Z107" i="3"/>
  <c r="AK115" i="3"/>
  <c r="Z125" i="3"/>
  <c r="AU133" i="3"/>
  <c r="AU139" i="3" s="1"/>
  <c r="Y137" i="3"/>
  <c r="Z144" i="3"/>
  <c r="Y145" i="3"/>
  <c r="Z148" i="3"/>
  <c r="AH155" i="3"/>
  <c r="AH158" i="3"/>
  <c r="AL171" i="3"/>
  <c r="AL195" i="3"/>
  <c r="D35" i="2" s="1"/>
  <c r="AB194" i="3"/>
  <c r="AE194" i="3" s="1"/>
  <c r="AB199" i="3"/>
  <c r="AL228" i="3"/>
  <c r="AE287" i="3"/>
  <c r="AE311" i="3"/>
  <c r="AE315" i="3"/>
  <c r="AM267" i="3" s="1"/>
  <c r="AE319" i="3"/>
  <c r="AE323" i="3"/>
  <c r="AM252" i="3" s="1"/>
  <c r="AE327" i="3"/>
  <c r="AE331" i="3"/>
  <c r="AE335" i="3"/>
  <c r="AE339" i="3"/>
  <c r="AE343" i="3"/>
  <c r="AM260" i="3" s="1"/>
  <c r="AE347" i="3"/>
  <c r="AE351" i="3"/>
  <c r="AE355" i="3"/>
  <c r="AE359" i="3"/>
  <c r="AM255" i="3" s="1"/>
  <c r="AE363" i="3"/>
  <c r="AE367" i="3"/>
  <c r="AE371" i="3"/>
  <c r="AE375" i="3"/>
  <c r="AE379" i="3"/>
  <c r="AM280" i="3" s="1"/>
  <c r="AE383" i="3"/>
  <c r="AE387" i="3"/>
  <c r="AE391" i="3"/>
  <c r="AE395" i="3"/>
  <c r="AE399" i="3"/>
  <c r="AE403" i="3"/>
  <c r="AE407" i="3"/>
  <c r="AM250" i="3" s="1"/>
  <c r="AE411" i="3"/>
  <c r="AE415" i="3"/>
  <c r="AE419" i="3"/>
  <c r="AO254" i="3" s="1"/>
  <c r="AE423" i="3"/>
  <c r="AE427" i="3"/>
  <c r="AE431" i="3"/>
  <c r="AE435" i="3"/>
  <c r="AE439" i="3"/>
  <c r="AO264" i="3" s="1"/>
  <c r="AE443" i="3"/>
  <c r="AE447" i="3"/>
  <c r="AE451" i="3"/>
  <c r="AE455" i="3"/>
  <c r="AE459" i="3"/>
  <c r="AE484" i="3"/>
  <c r="AE206" i="3"/>
  <c r="Y224" i="3"/>
  <c r="AG224" i="3"/>
  <c r="AE227" i="3"/>
  <c r="AE229" i="3"/>
  <c r="AE231" i="3"/>
  <c r="AE234" i="3"/>
  <c r="Y241" i="3"/>
  <c r="AG241" i="3"/>
  <c r="AE243" i="3"/>
  <c r="AE244" i="3"/>
  <c r="Y251" i="3"/>
  <c r="AG251" i="3"/>
  <c r="AE253" i="3"/>
  <c r="AE254" i="3"/>
  <c r="Y261" i="3"/>
  <c r="AG261" i="3"/>
  <c r="AE263" i="3"/>
  <c r="AE264" i="3"/>
  <c r="Y271" i="3"/>
  <c r="AG271" i="3"/>
  <c r="AE273" i="3"/>
  <c r="AE274" i="3"/>
  <c r="Y281" i="3"/>
  <c r="AG281" i="3"/>
  <c r="AE283" i="3"/>
  <c r="AE284" i="3"/>
  <c r="Y291" i="3"/>
  <c r="AG291" i="3"/>
  <c r="AE293" i="3"/>
  <c r="AE294" i="3"/>
  <c r="AE295" i="3"/>
  <c r="AE296" i="3"/>
  <c r="AE297" i="3"/>
  <c r="AE299" i="3"/>
  <c r="AE301" i="3"/>
  <c r="AM272" i="3" s="1"/>
  <c r="AS303" i="3"/>
  <c r="BA303" i="3"/>
  <c r="AO304" i="3"/>
  <c r="AW304" i="3"/>
  <c r="AE490" i="3"/>
  <c r="AO247" i="3" s="1"/>
  <c r="AH210" i="3"/>
  <c r="AH212" i="3"/>
  <c r="AH215" i="3"/>
  <c r="AH222" i="3"/>
  <c r="AH224" i="3"/>
  <c r="AH226" i="3"/>
  <c r="X227" i="3"/>
  <c r="X229" i="3"/>
  <c r="AM89" i="3" s="1"/>
  <c r="X231" i="3"/>
  <c r="X234" i="3"/>
  <c r="AE240" i="3"/>
  <c r="AH241" i="3"/>
  <c r="X243" i="3"/>
  <c r="X244" i="3"/>
  <c r="Y247" i="3"/>
  <c r="AG247" i="3"/>
  <c r="AE250" i="3"/>
  <c r="AH251" i="3"/>
  <c r="X253" i="3"/>
  <c r="X254" i="3"/>
  <c r="Y257" i="3"/>
  <c r="AG257" i="3"/>
  <c r="AE260" i="3"/>
  <c r="AM271" i="3" s="1"/>
  <c r="AH261" i="3"/>
  <c r="X263" i="3"/>
  <c r="X264" i="3"/>
  <c r="Y267" i="3"/>
  <c r="AG267" i="3"/>
  <c r="AE270" i="3"/>
  <c r="AH271" i="3"/>
  <c r="X273" i="3"/>
  <c r="X274" i="3"/>
  <c r="AM110" i="3" s="1"/>
  <c r="Y277" i="3"/>
  <c r="AG277" i="3"/>
  <c r="AE280" i="3"/>
  <c r="AH281" i="3"/>
  <c r="X283" i="3"/>
  <c r="X284" i="3"/>
  <c r="AA285" i="3"/>
  <c r="AE285" i="3" s="1"/>
  <c r="Y287" i="3"/>
  <c r="AG287" i="3"/>
  <c r="AE290" i="3"/>
  <c r="AH291" i="3"/>
  <c r="X293" i="3"/>
  <c r="X294" i="3"/>
  <c r="X295" i="3"/>
  <c r="X296" i="3"/>
  <c r="X297" i="3"/>
  <c r="AM225" i="3" s="1"/>
  <c r="X299" i="3"/>
  <c r="X301" i="3"/>
  <c r="AM149" i="3" s="1"/>
  <c r="X304" i="3"/>
  <c r="AH471" i="3"/>
  <c r="X471" i="3"/>
  <c r="AH475" i="3"/>
  <c r="X475" i="3"/>
  <c r="AH479" i="3"/>
  <c r="X479" i="3"/>
  <c r="AH483" i="3"/>
  <c r="X483" i="3"/>
  <c r="AS206" i="3" s="1"/>
  <c r="AK206" i="3" s="1"/>
  <c r="AB534" i="3"/>
  <c r="AA534" i="3"/>
  <c r="AE534" i="3" s="1"/>
  <c r="Y534" i="3"/>
  <c r="AG534" i="3"/>
  <c r="X534" i="3"/>
  <c r="Y206" i="3"/>
  <c r="AG206" i="3"/>
  <c r="AA208" i="3"/>
  <c r="AE209" i="3"/>
  <c r="AA210" i="3"/>
  <c r="AE211" i="3"/>
  <c r="AA212" i="3"/>
  <c r="AE213" i="3"/>
  <c r="AE214" i="3"/>
  <c r="AA215" i="3"/>
  <c r="AE216" i="3"/>
  <c r="AE217" i="3"/>
  <c r="AE218" i="3"/>
  <c r="AE219" i="3"/>
  <c r="AE220" i="3"/>
  <c r="AE221" i="3"/>
  <c r="AA222" i="3"/>
  <c r="AE223" i="3"/>
  <c r="AA224" i="3"/>
  <c r="AE225" i="3"/>
  <c r="AA226" i="3"/>
  <c r="AE226" i="3" s="1"/>
  <c r="Y227" i="3"/>
  <c r="AG227" i="3"/>
  <c r="Y229" i="3"/>
  <c r="AG229" i="3"/>
  <c r="Y231" i="3"/>
  <c r="AG231" i="3"/>
  <c r="Y234" i="3"/>
  <c r="AG234" i="3"/>
  <c r="AA241" i="3"/>
  <c r="Y243" i="3"/>
  <c r="AG243" i="3"/>
  <c r="Y244" i="3"/>
  <c r="AG244" i="3"/>
  <c r="AE246" i="3"/>
  <c r="AA251" i="3"/>
  <c r="Y253" i="3"/>
  <c r="AG253" i="3"/>
  <c r="Y254" i="3"/>
  <c r="AG254" i="3"/>
  <c r="AE256" i="3"/>
  <c r="AA261" i="3"/>
  <c r="Y263" i="3"/>
  <c r="AG263" i="3"/>
  <c r="Y264" i="3"/>
  <c r="AG264" i="3"/>
  <c r="AE266" i="3"/>
  <c r="AA271" i="3"/>
  <c r="Y273" i="3"/>
  <c r="AG273" i="3"/>
  <c r="Y274" i="3"/>
  <c r="AG274" i="3"/>
  <c r="AE276" i="3"/>
  <c r="AA281" i="3"/>
  <c r="Y283" i="3"/>
  <c r="AG283" i="3"/>
  <c r="Y284" i="3"/>
  <c r="AG284" i="3"/>
  <c r="AE286" i="3"/>
  <c r="AA291" i="3"/>
  <c r="Y293" i="3"/>
  <c r="AG293" i="3"/>
  <c r="Y294" i="3"/>
  <c r="AG294" i="3"/>
  <c r="Y295" i="3"/>
  <c r="AG295" i="3"/>
  <c r="Y296" i="3"/>
  <c r="AG296" i="3"/>
  <c r="Y297" i="3"/>
  <c r="AG297" i="3"/>
  <c r="Y299" i="3"/>
  <c r="AG299" i="3"/>
  <c r="Y301" i="3"/>
  <c r="AG301" i="3"/>
  <c r="BC303" i="3"/>
  <c r="Y304" i="3"/>
  <c r="AG304" i="3"/>
  <c r="AQ304" i="3"/>
  <c r="AY304" i="3"/>
  <c r="AA472" i="3"/>
  <c r="AE472" i="3" s="1"/>
  <c r="AA476" i="3"/>
  <c r="AE476" i="3" s="1"/>
  <c r="AA480" i="3"/>
  <c r="AE480" i="3" s="1"/>
  <c r="AA484" i="3"/>
  <c r="AE492" i="3"/>
  <c r="AH470" i="3"/>
  <c r="X470" i="3"/>
  <c r="AS186" i="3" s="1"/>
  <c r="AH474" i="3"/>
  <c r="X474" i="3"/>
  <c r="AS205" i="3" s="1"/>
  <c r="AH478" i="3"/>
  <c r="X478" i="3"/>
  <c r="AS111" i="3" s="1"/>
  <c r="AK111" i="3" s="1"/>
  <c r="AH482" i="3"/>
  <c r="X482" i="3"/>
  <c r="AH486" i="3"/>
  <c r="X486" i="3"/>
  <c r="AS149" i="3" s="1"/>
  <c r="AE489" i="3"/>
  <c r="AO252" i="3" s="1"/>
  <c r="AE494" i="3"/>
  <c r="AE496" i="3"/>
  <c r="AE498" i="3"/>
  <c r="AE500" i="3"/>
  <c r="AE502" i="3"/>
  <c r="AE504" i="3"/>
  <c r="AO275" i="3" s="1"/>
  <c r="AE506" i="3"/>
  <c r="AE508" i="3"/>
  <c r="AE510" i="3"/>
  <c r="AE512" i="3"/>
  <c r="AE514" i="3"/>
  <c r="AE516" i="3"/>
  <c r="AE518" i="3"/>
  <c r="AE520" i="3"/>
  <c r="AE522" i="3"/>
  <c r="AE524" i="3"/>
  <c r="AE526" i="3"/>
  <c r="AO250" i="3" s="1"/>
  <c r="AE528" i="3"/>
  <c r="AO270" i="3" s="1"/>
  <c r="AE205" i="3"/>
  <c r="AE207" i="3"/>
  <c r="AE228" i="3"/>
  <c r="AE230" i="3"/>
  <c r="AE232" i="3"/>
  <c r="AE233" i="3"/>
  <c r="AE235" i="3"/>
  <c r="AE236" i="3"/>
  <c r="AE237" i="3"/>
  <c r="AE238" i="3"/>
  <c r="AE239" i="3"/>
  <c r="Y246" i="3"/>
  <c r="AG246" i="3"/>
  <c r="AE248" i="3"/>
  <c r="AE249" i="3"/>
  <c r="Y256" i="3"/>
  <c r="AG256" i="3"/>
  <c r="AE258" i="3"/>
  <c r="AE259" i="3"/>
  <c r="Y266" i="3"/>
  <c r="AG266" i="3"/>
  <c r="AE268" i="3"/>
  <c r="AE269" i="3"/>
  <c r="AM256" i="3" s="1"/>
  <c r="Y276" i="3"/>
  <c r="AG276" i="3"/>
  <c r="AE278" i="3"/>
  <c r="AE279" i="3"/>
  <c r="Y286" i="3"/>
  <c r="AG286" i="3"/>
  <c r="AE288" i="3"/>
  <c r="AE289" i="3"/>
  <c r="AE298" i="3"/>
  <c r="AE300" i="3"/>
  <c r="AA304" i="3"/>
  <c r="AE304" i="3" s="1"/>
  <c r="AE305" i="3"/>
  <c r="AE307" i="3"/>
  <c r="AE317" i="3"/>
  <c r="AM287" i="3" s="1"/>
  <c r="AE366" i="3"/>
  <c r="AM285" i="3" s="1"/>
  <c r="AE463" i="3"/>
  <c r="AO271" i="3" s="1"/>
  <c r="AE464" i="3"/>
  <c r="AE465" i="3"/>
  <c r="AO256" i="3" s="1"/>
  <c r="AE466" i="3"/>
  <c r="AE467" i="3"/>
  <c r="AE468" i="3"/>
  <c r="AE469" i="3"/>
  <c r="AO261" i="3" s="1"/>
  <c r="Y470" i="3"/>
  <c r="AG470" i="3"/>
  <c r="AA471" i="3"/>
  <c r="AE471" i="3" s="1"/>
  <c r="Y474" i="3"/>
  <c r="AG474" i="3"/>
  <c r="AA475" i="3"/>
  <c r="AE475" i="3" s="1"/>
  <c r="Y478" i="3"/>
  <c r="AG478" i="3"/>
  <c r="AA479" i="3"/>
  <c r="AE479" i="3" s="1"/>
  <c r="Y482" i="3"/>
  <c r="AG482" i="3"/>
  <c r="AA483" i="3"/>
  <c r="AE483" i="3" s="1"/>
  <c r="AO287" i="3" s="1"/>
  <c r="Y486" i="3"/>
  <c r="AG486" i="3"/>
  <c r="X544" i="3"/>
  <c r="AB544" i="3"/>
  <c r="AG544" i="3"/>
  <c r="AA544" i="3"/>
  <c r="AE544" i="3" s="1"/>
  <c r="Y544" i="3"/>
  <c r="X560" i="3"/>
  <c r="AB560" i="3"/>
  <c r="AE560" i="3" s="1"/>
  <c r="AG560" i="3"/>
  <c r="AA560" i="3"/>
  <c r="Y560" i="3"/>
  <c r="X205" i="3"/>
  <c r="X207" i="3"/>
  <c r="AM222" i="3" s="1"/>
  <c r="AH214" i="3"/>
  <c r="AL227" i="3"/>
  <c r="AL234" i="3" s="1"/>
  <c r="J37" i="2" s="1"/>
  <c r="X228" i="3"/>
  <c r="AM51" i="3" s="1"/>
  <c r="X230" i="3"/>
  <c r="X232" i="3"/>
  <c r="AM184" i="3" s="1"/>
  <c r="X233" i="3"/>
  <c r="X235" i="3"/>
  <c r="X236" i="3"/>
  <c r="AM165" i="3" s="1"/>
  <c r="X237" i="3"/>
  <c r="AM70" i="3" s="1"/>
  <c r="X238" i="3"/>
  <c r="X239" i="3"/>
  <c r="X248" i="3"/>
  <c r="X249" i="3"/>
  <c r="X258" i="3"/>
  <c r="X259" i="3"/>
  <c r="X268" i="3"/>
  <c r="AM167" i="3" s="1"/>
  <c r="X269" i="3"/>
  <c r="AM91" i="3" s="1"/>
  <c r="X278" i="3"/>
  <c r="X279" i="3"/>
  <c r="X288" i="3"/>
  <c r="X289" i="3"/>
  <c r="AM72" i="3" s="1"/>
  <c r="X298" i="3"/>
  <c r="X300" i="3"/>
  <c r="AH473" i="3"/>
  <c r="X473" i="3"/>
  <c r="AS224" i="3" s="1"/>
  <c r="AH477" i="3"/>
  <c r="X477" i="3"/>
  <c r="AH481" i="3"/>
  <c r="X481" i="3"/>
  <c r="AS130" i="3" s="1"/>
  <c r="AK130" i="3" s="1"/>
  <c r="AH485" i="3"/>
  <c r="X485" i="3"/>
  <c r="AE491" i="3"/>
  <c r="AO277" i="3" s="1"/>
  <c r="AK277" i="3" s="1"/>
  <c r="AE208" i="3"/>
  <c r="AE210" i="3"/>
  <c r="AE212" i="3"/>
  <c r="AE215" i="3"/>
  <c r="AE222" i="3"/>
  <c r="AE224" i="3"/>
  <c r="AE241" i="3"/>
  <c r="AE251" i="3"/>
  <c r="AE261" i="3"/>
  <c r="AM251" i="3" s="1"/>
  <c r="AE271" i="3"/>
  <c r="AE281" i="3"/>
  <c r="AE291" i="3"/>
  <c r="AA470" i="3"/>
  <c r="AE470" i="3" s="1"/>
  <c r="AA474" i="3"/>
  <c r="AE474" i="3" s="1"/>
  <c r="AA478" i="3"/>
  <c r="AE478" i="3" s="1"/>
  <c r="AO262" i="3" s="1"/>
  <c r="AA482" i="3"/>
  <c r="AE482" i="3" s="1"/>
  <c r="AA486" i="3"/>
  <c r="AE486" i="3" s="1"/>
  <c r="AO272" i="3" s="1"/>
  <c r="AE488" i="3"/>
  <c r="AO257" i="3" s="1"/>
  <c r="AH472" i="3"/>
  <c r="X472" i="3"/>
  <c r="AS129" i="3" s="1"/>
  <c r="AH476" i="3"/>
  <c r="X476" i="3"/>
  <c r="AH480" i="3"/>
  <c r="X480" i="3"/>
  <c r="AH484" i="3"/>
  <c r="X484" i="3"/>
  <c r="AE527" i="3"/>
  <c r="X487" i="3"/>
  <c r="X488" i="3"/>
  <c r="AS92" i="3" s="1"/>
  <c r="AK92" i="3" s="1"/>
  <c r="X489" i="3"/>
  <c r="AS73" i="3" s="1"/>
  <c r="X490" i="3"/>
  <c r="AS54" i="3" s="1"/>
  <c r="AK54" i="3" s="1"/>
  <c r="X491" i="3"/>
  <c r="AS168" i="3" s="1"/>
  <c r="AK168" i="3" s="1"/>
  <c r="X492" i="3"/>
  <c r="X493" i="3"/>
  <c r="X494" i="3"/>
  <c r="X495" i="3"/>
  <c r="AS187" i="3" s="1"/>
  <c r="X496" i="3"/>
  <c r="X497" i="3"/>
  <c r="X498" i="3"/>
  <c r="AS128" i="3" s="1"/>
  <c r="X499" i="3"/>
  <c r="AS71" i="3" s="1"/>
  <c r="X500" i="3"/>
  <c r="X501" i="3"/>
  <c r="X502" i="3"/>
  <c r="X503" i="3"/>
  <c r="X504" i="3"/>
  <c r="X505" i="3"/>
  <c r="X506" i="3"/>
  <c r="X507" i="3"/>
  <c r="AS52" i="3" s="1"/>
  <c r="X508" i="3"/>
  <c r="X509" i="3"/>
  <c r="X510" i="3"/>
  <c r="X511" i="3"/>
  <c r="X512" i="3"/>
  <c r="X513" i="3"/>
  <c r="X514" i="3"/>
  <c r="X515" i="3"/>
  <c r="X516" i="3"/>
  <c r="X517" i="3"/>
  <c r="X518" i="3"/>
  <c r="X519" i="3"/>
  <c r="X520" i="3"/>
  <c r="X521" i="3"/>
  <c r="X522" i="3"/>
  <c r="X523" i="3"/>
  <c r="AS204" i="3" s="1"/>
  <c r="AS214" i="3" s="1"/>
  <c r="X524" i="3"/>
  <c r="X525" i="3"/>
  <c r="X526" i="3"/>
  <c r="X527" i="3"/>
  <c r="X528" i="3"/>
  <c r="X529" i="3"/>
  <c r="AB535" i="3"/>
  <c r="W536" i="3"/>
  <c r="AE538" i="3"/>
  <c r="AH544" i="3"/>
  <c r="AG547" i="3"/>
  <c r="Y547" i="3"/>
  <c r="X552" i="3"/>
  <c r="AB552" i="3"/>
  <c r="AG552" i="3"/>
  <c r="AA559" i="3"/>
  <c r="AE559" i="3" s="1"/>
  <c r="AH560" i="3"/>
  <c r="AH561" i="3"/>
  <c r="W600" i="3"/>
  <c r="AH600" i="3" s="1"/>
  <c r="Z600" i="3"/>
  <c r="AA545" i="3"/>
  <c r="AE545" i="3" s="1"/>
  <c r="AG545" i="3"/>
  <c r="X561" i="3"/>
  <c r="AB561" i="3"/>
  <c r="AG561" i="3"/>
  <c r="Y561" i="3"/>
  <c r="AA562" i="3"/>
  <c r="AE562" i="3" s="1"/>
  <c r="AB562" i="3"/>
  <c r="AG562" i="3"/>
  <c r="AB573" i="3"/>
  <c r="AA573" i="3"/>
  <c r="Y573" i="3"/>
  <c r="AG573" i="3"/>
  <c r="X573" i="3"/>
  <c r="AY52" i="3" s="1"/>
  <c r="AE573" i="3"/>
  <c r="W595" i="3"/>
  <c r="AH595" i="3" s="1"/>
  <c r="Z595" i="3"/>
  <c r="AE607" i="3"/>
  <c r="AE627" i="3"/>
  <c r="AH487" i="3"/>
  <c r="AH488" i="3"/>
  <c r="AH489" i="3"/>
  <c r="AH490" i="3"/>
  <c r="AH491" i="3"/>
  <c r="AH492" i="3"/>
  <c r="AH493" i="3"/>
  <c r="AH494" i="3"/>
  <c r="AH495" i="3"/>
  <c r="AH496" i="3"/>
  <c r="AH497" i="3"/>
  <c r="AH498" i="3"/>
  <c r="AH499" i="3"/>
  <c r="AH500" i="3"/>
  <c r="AH501" i="3"/>
  <c r="AH502" i="3"/>
  <c r="AH503" i="3"/>
  <c r="AH504" i="3"/>
  <c r="AH505" i="3"/>
  <c r="AH506" i="3"/>
  <c r="AH507" i="3"/>
  <c r="AH508" i="3"/>
  <c r="AH509" i="3"/>
  <c r="AH510" i="3"/>
  <c r="AH511" i="3"/>
  <c r="AH512" i="3"/>
  <c r="AH513" i="3"/>
  <c r="AH514" i="3"/>
  <c r="AH515" i="3"/>
  <c r="AH516" i="3"/>
  <c r="AH517" i="3"/>
  <c r="AH518" i="3"/>
  <c r="AH519" i="3"/>
  <c r="AH520" i="3"/>
  <c r="AH521" i="3"/>
  <c r="AH522" i="3"/>
  <c r="AH523" i="3"/>
  <c r="AH524" i="3"/>
  <c r="AH525" i="3"/>
  <c r="AH526" i="3"/>
  <c r="AH527" i="3"/>
  <c r="AH528" i="3"/>
  <c r="AH529" i="3"/>
  <c r="Z536" i="3"/>
  <c r="Y538" i="3"/>
  <c r="AG538" i="3"/>
  <c r="Y540" i="3"/>
  <c r="W543" i="3"/>
  <c r="AH543" i="3" s="1"/>
  <c r="X545" i="3"/>
  <c r="AH545" i="3"/>
  <c r="AA553" i="3"/>
  <c r="AE553" i="3" s="1"/>
  <c r="X553" i="3"/>
  <c r="AH553" i="3"/>
  <c r="AA555" i="3"/>
  <c r="AE555" i="3" s="1"/>
  <c r="W556" i="3"/>
  <c r="AH556" i="3" s="1"/>
  <c r="AE557" i="3"/>
  <c r="AB557" i="3"/>
  <c r="AA557" i="3"/>
  <c r="AH557" i="3"/>
  <c r="Z561" i="3"/>
  <c r="X562" i="3"/>
  <c r="AH562" i="3"/>
  <c r="AG572" i="3"/>
  <c r="Y572" i="3"/>
  <c r="AB572" i="3"/>
  <c r="AH572" i="3"/>
  <c r="X572" i="3"/>
  <c r="AE535" i="3"/>
  <c r="AH538" i="3"/>
  <c r="Y545" i="3"/>
  <c r="AA547" i="3"/>
  <c r="AB548" i="3"/>
  <c r="AE548" i="3" s="1"/>
  <c r="AG548" i="3"/>
  <c r="Y548" i="3"/>
  <c r="X548" i="3"/>
  <c r="AB549" i="3"/>
  <c r="AA549" i="3"/>
  <c r="AE549" i="3" s="1"/>
  <c r="AH549" i="3"/>
  <c r="AA552" i="3"/>
  <c r="AE552" i="3" s="1"/>
  <c r="Y553" i="3"/>
  <c r="AA561" i="3"/>
  <c r="AE561" i="3" s="1"/>
  <c r="Y562" i="3"/>
  <c r="AB583" i="3"/>
  <c r="AB598" i="3"/>
  <c r="AE533" i="3"/>
  <c r="AO285" i="3" s="1"/>
  <c r="X535" i="3"/>
  <c r="W537" i="3"/>
  <c r="AA538" i="3"/>
  <c r="AA540" i="3"/>
  <c r="X541" i="3"/>
  <c r="AY70" i="3" s="1"/>
  <c r="AY81" i="3" s="1"/>
  <c r="AG541" i="3"/>
  <c r="Z545" i="3"/>
  <c r="E22" i="6"/>
  <c r="F22" i="6" s="1"/>
  <c r="AH546" i="3"/>
  <c r="AE546" i="3"/>
  <c r="AB547" i="3"/>
  <c r="AE547" i="3" s="1"/>
  <c r="AA554" i="3"/>
  <c r="AE554" i="3" s="1"/>
  <c r="AH554" i="3"/>
  <c r="AE558" i="3"/>
  <c r="Z562" i="3"/>
  <c r="AG566" i="3"/>
  <c r="X566" i="3"/>
  <c r="AY204" i="3" s="1"/>
  <c r="AB566" i="3"/>
  <c r="AH567" i="3"/>
  <c r="Z567" i="3"/>
  <c r="Z569" i="3"/>
  <c r="AB571" i="3"/>
  <c r="AA571" i="3"/>
  <c r="AH571" i="3"/>
  <c r="AG571" i="3"/>
  <c r="Y571" i="3"/>
  <c r="X571" i="3"/>
  <c r="AY90" i="3" s="1"/>
  <c r="AY100" i="3" s="1"/>
  <c r="AA572" i="3"/>
  <c r="AE572" i="3" s="1"/>
  <c r="W589" i="3"/>
  <c r="AH589" i="3"/>
  <c r="Z589" i="3"/>
  <c r="AE631" i="3"/>
  <c r="AE532" i="3"/>
  <c r="AO245" i="3" s="1"/>
  <c r="Y535" i="3"/>
  <c r="AG535" i="3"/>
  <c r="W539" i="3"/>
  <c r="Y541" i="3"/>
  <c r="AH541" i="3"/>
  <c r="Z543" i="3"/>
  <c r="AB545" i="3"/>
  <c r="X546" i="3"/>
  <c r="AY203" i="3" s="1"/>
  <c r="AY214" i="3" s="1"/>
  <c r="AE550" i="3"/>
  <c r="AB553" i="3"/>
  <c r="X554" i="3"/>
  <c r="AG554" i="3"/>
  <c r="AH559" i="3"/>
  <c r="Z559" i="3"/>
  <c r="Y566" i="3"/>
  <c r="W567" i="3"/>
  <c r="W569" i="3"/>
  <c r="AH569" i="3" s="1"/>
  <c r="AH576" i="3"/>
  <c r="AB589" i="3"/>
  <c r="W590" i="3"/>
  <c r="AH590" i="3" s="1"/>
  <c r="Z590" i="3"/>
  <c r="AH542" i="3"/>
  <c r="Z542" i="3"/>
  <c r="AH551" i="3"/>
  <c r="Z551" i="3"/>
  <c r="AG559" i="3"/>
  <c r="Y559" i="3"/>
  <c r="W565" i="3"/>
  <c r="AH565" i="3" s="1"/>
  <c r="W585" i="3"/>
  <c r="AH585" i="3"/>
  <c r="Z585" i="3"/>
  <c r="AE487" i="3"/>
  <c r="AE530" i="3"/>
  <c r="AH534" i="3"/>
  <c r="Z534" i="3"/>
  <c r="AE540" i="3"/>
  <c r="AA541" i="3"/>
  <c r="AE541" i="3" s="1"/>
  <c r="W542" i="3"/>
  <c r="W551" i="3"/>
  <c r="AG555" i="3"/>
  <c r="Y555" i="3"/>
  <c r="X559" i="3"/>
  <c r="AY224" i="3" s="1"/>
  <c r="AY34" i="3" s="1"/>
  <c r="AG564" i="3"/>
  <c r="Y564" i="3"/>
  <c r="AB564" i="3"/>
  <c r="AE564" i="3" s="1"/>
  <c r="AA564" i="3"/>
  <c r="Z565" i="3"/>
  <c r="AA566" i="3"/>
  <c r="AE566" i="3" s="1"/>
  <c r="AA583" i="3"/>
  <c r="AE583" i="3"/>
  <c r="Y583" i="3"/>
  <c r="X583" i="3"/>
  <c r="AA598" i="3"/>
  <c r="AE598" i="3" s="1"/>
  <c r="X598" i="3"/>
  <c r="AQ224" i="3" s="1"/>
  <c r="AQ34" i="3" s="1"/>
  <c r="AH575" i="3"/>
  <c r="Z575" i="3"/>
  <c r="AE575" i="3"/>
  <c r="AG588" i="3"/>
  <c r="Y588" i="3"/>
  <c r="Z591" i="3"/>
  <c r="AG599" i="3"/>
  <c r="Y599" i="3"/>
  <c r="AG603" i="3"/>
  <c r="Y603" i="3"/>
  <c r="AH603" i="3"/>
  <c r="X612" i="3"/>
  <c r="AA612" i="3"/>
  <c r="AG612" i="3"/>
  <c r="AG621" i="3"/>
  <c r="X636" i="3"/>
  <c r="AG636" i="3"/>
  <c r="Y636" i="3"/>
  <c r="AA636" i="3"/>
  <c r="X644" i="3"/>
  <c r="AW89" i="3" s="1"/>
  <c r="AG644" i="3"/>
  <c r="Y644" i="3"/>
  <c r="AA644" i="3"/>
  <c r="AE659" i="3"/>
  <c r="X664" i="3"/>
  <c r="AA664" i="3"/>
  <c r="AE664" i="3" s="1"/>
  <c r="AH664" i="3"/>
  <c r="AG584" i="3"/>
  <c r="AB591" i="3"/>
  <c r="AE591" i="3" s="1"/>
  <c r="AG594" i="3"/>
  <c r="X626" i="3"/>
  <c r="AW51" i="3" s="1"/>
  <c r="AG626" i="3"/>
  <c r="Y626" i="3"/>
  <c r="AH626" i="3"/>
  <c r="Y664" i="3"/>
  <c r="X666" i="3"/>
  <c r="AW148" i="3" s="1"/>
  <c r="AG666" i="3"/>
  <c r="Y666" i="3"/>
  <c r="X688" i="3"/>
  <c r="AA688" i="3"/>
  <c r="AE688" i="3" s="1"/>
  <c r="AH688" i="3"/>
  <c r="X611" i="3"/>
  <c r="AH611" i="3"/>
  <c r="X616" i="3"/>
  <c r="AG616" i="3"/>
  <c r="X620" i="3"/>
  <c r="AA620" i="3"/>
  <c r="AE620" i="3" s="1"/>
  <c r="AG620" i="3"/>
  <c r="X629" i="3"/>
  <c r="AH629" i="3"/>
  <c r="X658" i="3"/>
  <c r="AG658" i="3"/>
  <c r="Y658" i="3"/>
  <c r="X679" i="3"/>
  <c r="AA679" i="3"/>
  <c r="AH679" i="3"/>
  <c r="AG679" i="3"/>
  <c r="Y679" i="3"/>
  <c r="AE563" i="3"/>
  <c r="Y575" i="3"/>
  <c r="Z577" i="3"/>
  <c r="W581" i="3"/>
  <c r="X582" i="3"/>
  <c r="AG582" i="3"/>
  <c r="AH583" i="3"/>
  <c r="Y584" i="3"/>
  <c r="AA588" i="3"/>
  <c r="AE588" i="3" s="1"/>
  <c r="AB590" i="3"/>
  <c r="AA594" i="3"/>
  <c r="AA599" i="3"/>
  <c r="AB600" i="3"/>
  <c r="AG602" i="3"/>
  <c r="X602" i="3"/>
  <c r="X606" i="3"/>
  <c r="AQ223" i="3" s="1"/>
  <c r="AQ33" i="3" s="1"/>
  <c r="AG606" i="3"/>
  <c r="Z607" i="3"/>
  <c r="AH607" i="3"/>
  <c r="Y611" i="3"/>
  <c r="AG611" i="3"/>
  <c r="AE614" i="3"/>
  <c r="Y616" i="3"/>
  <c r="AH616" i="3"/>
  <c r="Y620" i="3"/>
  <c r="AH620" i="3"/>
  <c r="AA621" i="3"/>
  <c r="AA626" i="3"/>
  <c r="Y629" i="3"/>
  <c r="X632" i="3"/>
  <c r="AW184" i="3" s="1"/>
  <c r="AH632" i="3"/>
  <c r="AE632" i="3"/>
  <c r="AQ279" i="3" s="1"/>
  <c r="AG632" i="3"/>
  <c r="X640" i="3"/>
  <c r="AH640" i="3"/>
  <c r="AE640" i="3"/>
  <c r="AG640" i="3"/>
  <c r="X648" i="3"/>
  <c r="AH648" i="3"/>
  <c r="AE648" i="3"/>
  <c r="AG648" i="3"/>
  <c r="X653" i="3"/>
  <c r="AH653" i="3"/>
  <c r="AG653" i="3"/>
  <c r="Y653" i="3"/>
  <c r="AB656" i="3"/>
  <c r="AE656" i="3" s="1"/>
  <c r="AA666" i="3"/>
  <c r="AE666" i="3" s="1"/>
  <c r="AQ271" i="3" s="1"/>
  <c r="AB674" i="3"/>
  <c r="AE674" i="3" s="1"/>
  <c r="AE683" i="3"/>
  <c r="AB687" i="3"/>
  <c r="AH573" i="3"/>
  <c r="AA575" i="3"/>
  <c r="W576" i="3"/>
  <c r="AA577" i="3"/>
  <c r="AE577" i="3" s="1"/>
  <c r="AE578" i="3"/>
  <c r="AE579" i="3"/>
  <c r="AG580" i="3"/>
  <c r="Y580" i="3"/>
  <c r="AH582" i="3"/>
  <c r="AH584" i="3"/>
  <c r="AA584" i="3"/>
  <c r="AE584" i="3" s="1"/>
  <c r="E16" i="6"/>
  <c r="AG593" i="3"/>
  <c r="Y593" i="3"/>
  <c r="X593" i="3"/>
  <c r="AQ203" i="3" s="1"/>
  <c r="AQ214" i="3" s="1"/>
  <c r="AH594" i="3"/>
  <c r="Z594" i="3"/>
  <c r="AE596" i="3"/>
  <c r="Z606" i="3"/>
  <c r="AH606" i="3"/>
  <c r="E17" i="6"/>
  <c r="F17" i="6" s="1"/>
  <c r="H17" i="6" s="1"/>
  <c r="AE608" i="3"/>
  <c r="AE613" i="3"/>
  <c r="X619" i="3"/>
  <c r="AH619" i="3"/>
  <c r="AB621" i="3"/>
  <c r="AE623" i="3"/>
  <c r="X624" i="3"/>
  <c r="AE624" i="3"/>
  <c r="AG624" i="3"/>
  <c r="X628" i="3"/>
  <c r="AW70" i="3" s="1"/>
  <c r="AA628" i="3"/>
  <c r="AE628" i="3" s="1"/>
  <c r="AG628" i="3"/>
  <c r="Y632" i="3"/>
  <c r="X637" i="3"/>
  <c r="AH637" i="3"/>
  <c r="AE637" i="3"/>
  <c r="Y640" i="3"/>
  <c r="X645" i="3"/>
  <c r="AH645" i="3"/>
  <c r="AE645" i="3"/>
  <c r="Y648" i="3"/>
  <c r="X655" i="3"/>
  <c r="AA655" i="3"/>
  <c r="AE655" i="3" s="1"/>
  <c r="AG655" i="3"/>
  <c r="Y655" i="3"/>
  <c r="AA658" i="3"/>
  <c r="AB664" i="3"/>
  <c r="X671" i="3"/>
  <c r="AW72" i="3" s="1"/>
  <c r="AA671" i="3"/>
  <c r="AE671" i="3" s="1"/>
  <c r="AQ251" i="3" s="1"/>
  <c r="AH671" i="3"/>
  <c r="AG671" i="3"/>
  <c r="Y671" i="3"/>
  <c r="X680" i="3"/>
  <c r="AW91" i="3" s="1"/>
  <c r="AA680" i="3"/>
  <c r="AE680" i="3" s="1"/>
  <c r="AQ256" i="3" s="1"/>
  <c r="AH680" i="3"/>
  <c r="AE568" i="3"/>
  <c r="AE570" i="3"/>
  <c r="AE574" i="3"/>
  <c r="AB577" i="3"/>
  <c r="Z581" i="3"/>
  <c r="Z582" i="3"/>
  <c r="W586" i="3"/>
  <c r="AH586" i="3"/>
  <c r="AH598" i="3"/>
  <c r="Z598" i="3"/>
  <c r="W601" i="3"/>
  <c r="AH601" i="3" s="1"/>
  <c r="AA606" i="3"/>
  <c r="AE606" i="3" s="1"/>
  <c r="X610" i="3"/>
  <c r="AO225" i="3" s="1"/>
  <c r="AG610" i="3"/>
  <c r="Y610" i="3"/>
  <c r="AH610" i="3"/>
  <c r="AA611" i="3"/>
  <c r="AE611" i="3" s="1"/>
  <c r="AA616" i="3"/>
  <c r="AE616" i="3" s="1"/>
  <c r="AQ289" i="3" s="1"/>
  <c r="AA629" i="3"/>
  <c r="AE629" i="3" s="1"/>
  <c r="AE636" i="3"/>
  <c r="AE644" i="3"/>
  <c r="AQ254" i="3" s="1"/>
  <c r="AE651" i="3"/>
  <c r="AB666" i="3"/>
  <c r="AE675" i="3"/>
  <c r="AQ281" i="3" s="1"/>
  <c r="X682" i="3"/>
  <c r="AW110" i="3" s="1"/>
  <c r="AW119" i="3" s="1"/>
  <c r="AE682" i="3"/>
  <c r="AG682" i="3"/>
  <c r="Y682" i="3"/>
  <c r="AB688" i="3"/>
  <c r="AA582" i="3"/>
  <c r="AE582" i="3" s="1"/>
  <c r="W587" i="3"/>
  <c r="AH587" i="3"/>
  <c r="X591" i="3"/>
  <c r="AG591" i="3"/>
  <c r="AE603" i="3"/>
  <c r="X604" i="3"/>
  <c r="AA604" i="3"/>
  <c r="AE604" i="3" s="1"/>
  <c r="AG604" i="3"/>
  <c r="AE612" i="3"/>
  <c r="AG613" i="3"/>
  <c r="AE621" i="3"/>
  <c r="Y623" i="3"/>
  <c r="AG623" i="3"/>
  <c r="X627" i="3"/>
  <c r="AH627" i="3"/>
  <c r="AB629" i="3"/>
  <c r="X631" i="3"/>
  <c r="AW146" i="3" s="1"/>
  <c r="AG631" i="3"/>
  <c r="Y631" i="3"/>
  <c r="AH631" i="3"/>
  <c r="AB658" i="3"/>
  <c r="AE658" i="3" s="1"/>
  <c r="X663" i="3"/>
  <c r="AW129" i="3" s="1"/>
  <c r="AA663" i="3"/>
  <c r="AE663" i="3" s="1"/>
  <c r="AH663" i="3"/>
  <c r="AG663" i="3"/>
  <c r="Y663" i="3"/>
  <c r="AG664" i="3"/>
  <c r="X672" i="3"/>
  <c r="AW53" i="3" s="1"/>
  <c r="AA672" i="3"/>
  <c r="AE672" i="3" s="1"/>
  <c r="AH672" i="3"/>
  <c r="AB679" i="3"/>
  <c r="AE679" i="3"/>
  <c r="AE716" i="3"/>
  <c r="Z550" i="3"/>
  <c r="Z558" i="3"/>
  <c r="Y568" i="3"/>
  <c r="X570" i="3"/>
  <c r="AG570" i="3"/>
  <c r="Y574" i="3"/>
  <c r="AH574" i="3"/>
  <c r="Z576" i="3"/>
  <c r="Y578" i="3"/>
  <c r="AA580" i="3"/>
  <c r="AE580" i="3" s="1"/>
  <c r="Y591" i="3"/>
  <c r="AH591" i="3"/>
  <c r="AH593" i="3"/>
  <c r="AE594" i="3"/>
  <c r="AH597" i="3"/>
  <c r="Z597" i="3"/>
  <c r="AE599" i="3"/>
  <c r="Y604" i="3"/>
  <c r="AH604" i="3"/>
  <c r="AA610" i="3"/>
  <c r="AE610" i="3" s="1"/>
  <c r="Y613" i="3"/>
  <c r="AH613" i="3"/>
  <c r="X618" i="3"/>
  <c r="AG618" i="3"/>
  <c r="Y618" i="3"/>
  <c r="AH618" i="3"/>
  <c r="Y622" i="3"/>
  <c r="AG622" i="3"/>
  <c r="AH623" i="3"/>
  <c r="AE626" i="3"/>
  <c r="Y627" i="3"/>
  <c r="AG627" i="3"/>
  <c r="E20" i="6"/>
  <c r="X634" i="3"/>
  <c r="AW203" i="3" s="1"/>
  <c r="AE634" i="3"/>
  <c r="AG634" i="3"/>
  <c r="Y634" i="3"/>
  <c r="AH636" i="3"/>
  <c r="X639" i="3"/>
  <c r="AG639" i="3"/>
  <c r="Y639" i="3"/>
  <c r="X642" i="3"/>
  <c r="AW165" i="3" s="1"/>
  <c r="AE642" i="3"/>
  <c r="AG642" i="3"/>
  <c r="Y642" i="3"/>
  <c r="AH644" i="3"/>
  <c r="X647" i="3"/>
  <c r="AG647" i="3"/>
  <c r="Y647" i="3"/>
  <c r="X650" i="3"/>
  <c r="AE650" i="3"/>
  <c r="AG650" i="3"/>
  <c r="Y650" i="3"/>
  <c r="AB653" i="3"/>
  <c r="AE653" i="3" s="1"/>
  <c r="X656" i="3"/>
  <c r="AH656" i="3"/>
  <c r="AH666" i="3"/>
  <c r="AE667" i="3"/>
  <c r="AQ276" i="3" s="1"/>
  <c r="Y672" i="3"/>
  <c r="X674" i="3"/>
  <c r="AG674" i="3"/>
  <c r="Y674" i="3"/>
  <c r="AA682" i="3"/>
  <c r="X687" i="3"/>
  <c r="AA687" i="3"/>
  <c r="AE687" i="3" s="1"/>
  <c r="AH687" i="3"/>
  <c r="AG687" i="3"/>
  <c r="Y687" i="3"/>
  <c r="AG688" i="3"/>
  <c r="AE691" i="3"/>
  <c r="AH724" i="3"/>
  <c r="AB724" i="3"/>
  <c r="AA724" i="3"/>
  <c r="AG724" i="3"/>
  <c r="AE773" i="3"/>
  <c r="Y785" i="3"/>
  <c r="AA801" i="3"/>
  <c r="AB801" i="3"/>
  <c r="AG801" i="3"/>
  <c r="AA805" i="3"/>
  <c r="AE805" i="3" s="1"/>
  <c r="AH805" i="3"/>
  <c r="Y805" i="3"/>
  <c r="AG805" i="3"/>
  <c r="AA821" i="3"/>
  <c r="AH821" i="3"/>
  <c r="Y821" i="3"/>
  <c r="X821" i="3"/>
  <c r="BA186" i="3" s="1"/>
  <c r="AA831" i="3"/>
  <c r="AE831" i="3"/>
  <c r="AS282" i="3" s="1"/>
  <c r="AH831" i="3"/>
  <c r="Y831" i="3"/>
  <c r="AG831" i="3"/>
  <c r="X831" i="3"/>
  <c r="BA187" i="3" s="1"/>
  <c r="AA833" i="3"/>
  <c r="AH833" i="3"/>
  <c r="Y833" i="3"/>
  <c r="AB833" i="3"/>
  <c r="AE833" i="3" s="1"/>
  <c r="AG833" i="3"/>
  <c r="AA852" i="3"/>
  <c r="AB852" i="3"/>
  <c r="AG852" i="3"/>
  <c r="X852" i="3"/>
  <c r="BA204" i="3" s="1"/>
  <c r="Y852" i="3"/>
  <c r="AE852" i="3"/>
  <c r="AA878" i="3"/>
  <c r="AE878" i="3" s="1"/>
  <c r="AG878" i="3"/>
  <c r="X878" i="3"/>
  <c r="AB878" i="3"/>
  <c r="I173" i="10"/>
  <c r="H173" i="10"/>
  <c r="G173" i="10"/>
  <c r="K173" i="10"/>
  <c r="J173" i="10"/>
  <c r="F173" i="10"/>
  <c r="D173" i="10"/>
  <c r="E173" i="10"/>
  <c r="Z579" i="3"/>
  <c r="Z596" i="3"/>
  <c r="AH635" i="3"/>
  <c r="AH643" i="3"/>
  <c r="AH651" i="3"/>
  <c r="AA652" i="3"/>
  <c r="AE652" i="3" s="1"/>
  <c r="AH659" i="3"/>
  <c r="AA660" i="3"/>
  <c r="AE660" i="3" s="1"/>
  <c r="AH667" i="3"/>
  <c r="AA668" i="3"/>
  <c r="AE668" i="3" s="1"/>
  <c r="AH675" i="3"/>
  <c r="AA676" i="3"/>
  <c r="AE676" i="3" s="1"/>
  <c r="AH683" i="3"/>
  <c r="AA684" i="3"/>
  <c r="AE684" i="3" s="1"/>
  <c r="Y690" i="3"/>
  <c r="AG690" i="3"/>
  <c r="AH691" i="3"/>
  <c r="AA692" i="3"/>
  <c r="AE692" i="3" s="1"/>
  <c r="AE695" i="3"/>
  <c r="AE702" i="3"/>
  <c r="AQ262" i="3" s="1"/>
  <c r="AH714" i="3"/>
  <c r="AG714" i="3"/>
  <c r="Y714" i="3"/>
  <c r="X717" i="3"/>
  <c r="AW90" i="3" s="1"/>
  <c r="AG717" i="3"/>
  <c r="AH721" i="3"/>
  <c r="AG721" i="3"/>
  <c r="Y721" i="3"/>
  <c r="X721" i="3"/>
  <c r="X724" i="3"/>
  <c r="AB733" i="3"/>
  <c r="AA733" i="3"/>
  <c r="AA751" i="3"/>
  <c r="AH751" i="3"/>
  <c r="Y751" i="3"/>
  <c r="AG751" i="3"/>
  <c r="X751" i="3"/>
  <c r="BA165" i="3" s="1"/>
  <c r="AB751" i="3"/>
  <c r="AA753" i="3"/>
  <c r="AE753" i="3" s="1"/>
  <c r="AB753" i="3"/>
  <c r="AH753" i="3"/>
  <c r="X753" i="3"/>
  <c r="AB757" i="3"/>
  <c r="AB789" i="3"/>
  <c r="AE789" i="3" s="1"/>
  <c r="AA791" i="3"/>
  <c r="AE791" i="3" s="1"/>
  <c r="AH791" i="3"/>
  <c r="Y791" i="3"/>
  <c r="AG791" i="3"/>
  <c r="X801" i="3"/>
  <c r="BA167" i="3" s="1"/>
  <c r="AH801" i="3"/>
  <c r="X805" i="3"/>
  <c r="AE823" i="3"/>
  <c r="X833" i="3"/>
  <c r="X839" i="3"/>
  <c r="AG839" i="3"/>
  <c r="Y878" i="3"/>
  <c r="E3" i="6"/>
  <c r="F3" i="6" s="1"/>
  <c r="G3" i="6"/>
  <c r="AH708" i="3"/>
  <c r="AB708" i="3"/>
  <c r="AA708" i="3"/>
  <c r="AE708" i="3" s="1"/>
  <c r="AQ287" i="3" s="1"/>
  <c r="AG708" i="3"/>
  <c r="AH723" i="3"/>
  <c r="AA723" i="3"/>
  <c r="AE723" i="3" s="1"/>
  <c r="AA747" i="3"/>
  <c r="AB747" i="3"/>
  <c r="Y747" i="3"/>
  <c r="AH747" i="3"/>
  <c r="AA767" i="3"/>
  <c r="AH767" i="3"/>
  <c r="Y767" i="3"/>
  <c r="AG767" i="3"/>
  <c r="X767" i="3"/>
  <c r="BA203" i="3" s="1"/>
  <c r="AA781" i="3"/>
  <c r="AE781" i="3"/>
  <c r="Y781" i="3"/>
  <c r="AH781" i="3"/>
  <c r="AA815" i="3"/>
  <c r="AE815" i="3" s="1"/>
  <c r="AH815" i="3"/>
  <c r="Y815" i="3"/>
  <c r="AG815" i="3"/>
  <c r="X815" i="3"/>
  <c r="AB815" i="3"/>
  <c r="AA817" i="3"/>
  <c r="AE817" i="3" s="1"/>
  <c r="AS251" i="3" s="1"/>
  <c r="AB817" i="3"/>
  <c r="AH817" i="3"/>
  <c r="X817" i="3"/>
  <c r="BA72" i="3" s="1"/>
  <c r="BA81" i="3" s="1"/>
  <c r="AA843" i="3"/>
  <c r="AG843" i="3"/>
  <c r="X843" i="3"/>
  <c r="AB843" i="3"/>
  <c r="AE843" i="3" s="1"/>
  <c r="E21" i="6"/>
  <c r="AH726" i="3"/>
  <c r="AG726" i="3"/>
  <c r="Y726" i="3"/>
  <c r="AH729" i="3"/>
  <c r="AG729" i="3"/>
  <c r="Y729" i="3"/>
  <c r="X729" i="3"/>
  <c r="AW71" i="3" s="1"/>
  <c r="AH731" i="3"/>
  <c r="AA731" i="3"/>
  <c r="AE731" i="3" s="1"/>
  <c r="AH734" i="3"/>
  <c r="AG734" i="3"/>
  <c r="AA763" i="3"/>
  <c r="AE763" i="3" s="1"/>
  <c r="AB763" i="3"/>
  <c r="AG763" i="3"/>
  <c r="AA769" i="3"/>
  <c r="AE769" i="3" s="1"/>
  <c r="AB769" i="3"/>
  <c r="AG769" i="3"/>
  <c r="AA773" i="3"/>
  <c r="AH773" i="3"/>
  <c r="Y773" i="3"/>
  <c r="AB773" i="3"/>
  <c r="AA807" i="3"/>
  <c r="AE807" i="3" s="1"/>
  <c r="AB807" i="3"/>
  <c r="AG807" i="3"/>
  <c r="AA811" i="3"/>
  <c r="AE811" i="3" s="1"/>
  <c r="AS271" i="3" s="1"/>
  <c r="AB811" i="3"/>
  <c r="Y811" i="3"/>
  <c r="AH811" i="3"/>
  <c r="AA860" i="3"/>
  <c r="AB860" i="3"/>
  <c r="AG860" i="3"/>
  <c r="X860" i="3"/>
  <c r="AH860" i="3"/>
  <c r="Y860" i="3"/>
  <c r="E9" i="6"/>
  <c r="F9" i="6" s="1"/>
  <c r="AE661" i="3"/>
  <c r="AE669" i="3"/>
  <c r="AE677" i="3"/>
  <c r="AE685" i="3"/>
  <c r="AE693" i="3"/>
  <c r="AG694" i="3"/>
  <c r="X694" i="3"/>
  <c r="AW225" i="3" s="1"/>
  <c r="AH694" i="3"/>
  <c r="AE699" i="3"/>
  <c r="AQ252" i="3" s="1"/>
  <c r="AH705" i="3"/>
  <c r="AG705" i="3"/>
  <c r="Y705" i="3"/>
  <c r="X705" i="3"/>
  <c r="AW149" i="3" s="1"/>
  <c r="AE705" i="3"/>
  <c r="AQ272" i="3" s="1"/>
  <c r="AH707" i="3"/>
  <c r="AA707" i="3"/>
  <c r="AE707" i="3" s="1"/>
  <c r="Y708" i="3"/>
  <c r="AH710" i="3"/>
  <c r="AA710" i="3"/>
  <c r="AE710" i="3" s="1"/>
  <c r="AH716" i="3"/>
  <c r="AB716" i="3"/>
  <c r="AA716" i="3"/>
  <c r="Y716" i="3"/>
  <c r="AB717" i="3"/>
  <c r="AA717" i="3"/>
  <c r="AE717" i="3" s="1"/>
  <c r="AQ255" i="3" s="1"/>
  <c r="Y723" i="3"/>
  <c r="X726" i="3"/>
  <c r="X731" i="3"/>
  <c r="AG731" i="3"/>
  <c r="AE733" i="3"/>
  <c r="X734" i="3"/>
  <c r="AW185" i="3" s="1"/>
  <c r="X763" i="3"/>
  <c r="AH763" i="3"/>
  <c r="AB767" i="3"/>
  <c r="X769" i="3"/>
  <c r="AH769" i="3"/>
  <c r="X773" i="3"/>
  <c r="AA797" i="3"/>
  <c r="AE797" i="3"/>
  <c r="AB797" i="3"/>
  <c r="AH797" i="3"/>
  <c r="X807" i="3"/>
  <c r="BA91" i="3" s="1"/>
  <c r="AH807" i="3"/>
  <c r="X811" i="3"/>
  <c r="BA148" i="3" s="1"/>
  <c r="Y823" i="3"/>
  <c r="AH823" i="3"/>
  <c r="AA827" i="3"/>
  <c r="AE827" i="3" s="1"/>
  <c r="AS252" i="3" s="1"/>
  <c r="AG827" i="3"/>
  <c r="X827" i="3"/>
  <c r="BA73" i="3" s="1"/>
  <c r="AB827" i="3"/>
  <c r="AG829" i="3"/>
  <c r="AB839" i="3"/>
  <c r="AE839" i="3" s="1"/>
  <c r="AA845" i="3"/>
  <c r="AB845" i="3"/>
  <c r="AE845" i="3"/>
  <c r="AS275" i="3" s="1"/>
  <c r="Y845" i="3"/>
  <c r="AA862" i="3"/>
  <c r="AG862" i="3"/>
  <c r="X862" i="3"/>
  <c r="AE862" i="3"/>
  <c r="AB862" i="3"/>
  <c r="H6" i="6"/>
  <c r="E19" i="6"/>
  <c r="F19" i="6" s="1"/>
  <c r="G19" i="6"/>
  <c r="AH713" i="3"/>
  <c r="AG713" i="3"/>
  <c r="Y713" i="3"/>
  <c r="X713" i="3"/>
  <c r="AW223" i="3" s="1"/>
  <c r="AA729" i="3"/>
  <c r="AE729" i="3" s="1"/>
  <c r="AQ250" i="3" s="1"/>
  <c r="Y731" i="3"/>
  <c r="Y734" i="3"/>
  <c r="AA749" i="3"/>
  <c r="AE749" i="3"/>
  <c r="AG749" i="3"/>
  <c r="Y763" i="3"/>
  <c r="Y769" i="3"/>
  <c r="AB781" i="3"/>
  <c r="AA783" i="3"/>
  <c r="AE783" i="3" s="1"/>
  <c r="AH783" i="3"/>
  <c r="Y783" i="3"/>
  <c r="AG783" i="3"/>
  <c r="X783" i="3"/>
  <c r="BA127" i="3" s="1"/>
  <c r="Y807" i="3"/>
  <c r="AE821" i="3"/>
  <c r="AH852" i="3"/>
  <c r="AA874" i="3"/>
  <c r="AE874" i="3" s="1"/>
  <c r="AH874" i="3"/>
  <c r="Y874" i="3"/>
  <c r="AG874" i="3"/>
  <c r="X874" i="3"/>
  <c r="AB874" i="3"/>
  <c r="G9" i="6"/>
  <c r="Y661" i="3"/>
  <c r="AG661" i="3"/>
  <c r="Y669" i="3"/>
  <c r="AG669" i="3"/>
  <c r="Y677" i="3"/>
  <c r="AG677" i="3"/>
  <c r="Y685" i="3"/>
  <c r="AG685" i="3"/>
  <c r="Y693" i="3"/>
  <c r="AG693" i="3"/>
  <c r="AE698" i="3"/>
  <c r="AQ282" i="3" s="1"/>
  <c r="AK282" i="3" s="1"/>
  <c r="AE718" i="3"/>
  <c r="AB723" i="3"/>
  <c r="AE724" i="3"/>
  <c r="AA726" i="3"/>
  <c r="AE726" i="3" s="1"/>
  <c r="AB729" i="3"/>
  <c r="X733" i="3"/>
  <c r="AW166" i="3" s="1"/>
  <c r="AG733" i="3"/>
  <c r="AA785" i="3"/>
  <c r="AE785" i="3" s="1"/>
  <c r="AB785" i="3"/>
  <c r="AG785" i="3"/>
  <c r="AA789" i="3"/>
  <c r="AH789" i="3"/>
  <c r="Y789" i="3"/>
  <c r="AG789" i="3"/>
  <c r="AA813" i="3"/>
  <c r="AE813" i="3"/>
  <c r="AG813" i="3"/>
  <c r="AB823" i="3"/>
  <c r="AA829" i="3"/>
  <c r="AE829" i="3" s="1"/>
  <c r="AB829" i="3"/>
  <c r="Y829" i="3"/>
  <c r="AA847" i="3"/>
  <c r="AE847" i="3"/>
  <c r="AH847" i="3"/>
  <c r="Y847" i="3"/>
  <c r="AG847" i="3"/>
  <c r="X847" i="3"/>
  <c r="BA109" i="3" s="1"/>
  <c r="AA849" i="3"/>
  <c r="AH849" i="3"/>
  <c r="Y849" i="3"/>
  <c r="AB849" i="3"/>
  <c r="AG849" i="3"/>
  <c r="Y652" i="3"/>
  <c r="AG652" i="3"/>
  <c r="Y660" i="3"/>
  <c r="AG660" i="3"/>
  <c r="AH661" i="3"/>
  <c r="Y668" i="3"/>
  <c r="AG668" i="3"/>
  <c r="AH669" i="3"/>
  <c r="AA670" i="3"/>
  <c r="AE670" i="3" s="1"/>
  <c r="Y676" i="3"/>
  <c r="AG676" i="3"/>
  <c r="AH677" i="3"/>
  <c r="AA678" i="3"/>
  <c r="AE678" i="3" s="1"/>
  <c r="Y684" i="3"/>
  <c r="AG684" i="3"/>
  <c r="AH685" i="3"/>
  <c r="AA686" i="3"/>
  <c r="AE686" i="3" s="1"/>
  <c r="AE690" i="3"/>
  <c r="Y692" i="3"/>
  <c r="AG692" i="3"/>
  <c r="AH693" i="3"/>
  <c r="AA694" i="3"/>
  <c r="AE694" i="3" s="1"/>
  <c r="AE697" i="3"/>
  <c r="AH706" i="3"/>
  <c r="AG706" i="3"/>
  <c r="Y706" i="3"/>
  <c r="AH709" i="3"/>
  <c r="Y709" i="3"/>
  <c r="AG709" i="3"/>
  <c r="AA713" i="3"/>
  <c r="AE713" i="3" s="1"/>
  <c r="X718" i="3"/>
  <c r="AH730" i="3"/>
  <c r="AG730" i="3"/>
  <c r="Y730" i="3"/>
  <c r="AA730" i="3"/>
  <c r="AE730" i="3" s="1"/>
  <c r="AB731" i="3"/>
  <c r="Y733" i="3"/>
  <c r="AB734" i="3"/>
  <c r="AA734" i="3"/>
  <c r="AE734" i="3" s="1"/>
  <c r="AE747" i="3"/>
  <c r="AA757" i="3"/>
  <c r="AE757" i="3" s="1"/>
  <c r="AH757" i="3"/>
  <c r="Y757" i="3"/>
  <c r="X757" i="3"/>
  <c r="AE767" i="3"/>
  <c r="AA779" i="3"/>
  <c r="AB779" i="3"/>
  <c r="AE779" i="3"/>
  <c r="AH779" i="3"/>
  <c r="X785" i="3"/>
  <c r="AH785" i="3"/>
  <c r="X789" i="3"/>
  <c r="BA89" i="3" s="1"/>
  <c r="X813" i="3"/>
  <c r="AH813" i="3"/>
  <c r="X829" i="3"/>
  <c r="BA225" i="3" s="1"/>
  <c r="X849" i="3"/>
  <c r="AE860" i="3"/>
  <c r="F10" i="6"/>
  <c r="D33" i="6"/>
  <c r="C78" i="10"/>
  <c r="D78" i="10" s="1"/>
  <c r="H174" i="10"/>
  <c r="I174" i="10"/>
  <c r="G174" i="10"/>
  <c r="J174" i="10"/>
  <c r="F174" i="10"/>
  <c r="E174" i="10"/>
  <c r="D174" i="10"/>
  <c r="Z584" i="3"/>
  <c r="Z592" i="3"/>
  <c r="Z602" i="3"/>
  <c r="AE701" i="3"/>
  <c r="AQ267" i="3" s="1"/>
  <c r="AH715" i="3"/>
  <c r="AA715" i="3"/>
  <c r="AE715" i="3" s="1"/>
  <c r="AH722" i="3"/>
  <c r="AG722" i="3"/>
  <c r="Y722" i="3"/>
  <c r="AH732" i="3"/>
  <c r="AB732" i="3"/>
  <c r="AA732" i="3"/>
  <c r="AG732" i="3"/>
  <c r="AA765" i="3"/>
  <c r="AE765" i="3"/>
  <c r="AG765" i="3"/>
  <c r="AA795" i="3"/>
  <c r="AB795" i="3"/>
  <c r="AG795" i="3"/>
  <c r="AA799" i="3"/>
  <c r="AE799" i="3" s="1"/>
  <c r="AH799" i="3"/>
  <c r="Y799" i="3"/>
  <c r="AG799" i="3"/>
  <c r="X799" i="3"/>
  <c r="BA110" i="3" s="1"/>
  <c r="C82" i="10"/>
  <c r="D82" i="10" s="1"/>
  <c r="F188" i="10"/>
  <c r="I188" i="10"/>
  <c r="H188" i="10"/>
  <c r="D188" i="10"/>
  <c r="K188" i="10"/>
  <c r="J188" i="10"/>
  <c r="G188" i="10"/>
  <c r="E188" i="10"/>
  <c r="AE704" i="3"/>
  <c r="AQ257" i="3" s="1"/>
  <c r="AE712" i="3"/>
  <c r="AE720" i="3"/>
  <c r="AE728" i="3"/>
  <c r="AE755" i="3"/>
  <c r="AE771" i="3"/>
  <c r="AE787" i="3"/>
  <c r="AE803" i="3"/>
  <c r="AE819" i="3"/>
  <c r="AE835" i="3"/>
  <c r="AS262" i="3" s="1"/>
  <c r="Y837" i="3"/>
  <c r="AH837" i="3"/>
  <c r="Y854" i="3"/>
  <c r="AH854" i="3"/>
  <c r="AE856" i="3"/>
  <c r="AA866" i="3"/>
  <c r="AH866" i="3"/>
  <c r="Y866" i="3"/>
  <c r="AG866" i="3"/>
  <c r="X866" i="3"/>
  <c r="AE866" i="3"/>
  <c r="AB870" i="3"/>
  <c r="AE870" i="3" s="1"/>
  <c r="AA876" i="3"/>
  <c r="AE876" i="3" s="1"/>
  <c r="AB876" i="3"/>
  <c r="AG876" i="3"/>
  <c r="X876" i="3"/>
  <c r="BA147" i="3" s="1"/>
  <c r="BA157" i="3" s="1"/>
  <c r="G8" i="6"/>
  <c r="E8" i="6"/>
  <c r="F8" i="6" s="1"/>
  <c r="H10" i="6"/>
  <c r="H22" i="6"/>
  <c r="C92" i="10"/>
  <c r="D92" i="10" s="1"/>
  <c r="D139" i="10"/>
  <c r="AE703" i="3"/>
  <c r="AE711" i="3"/>
  <c r="AE719" i="3"/>
  <c r="AE727" i="3"/>
  <c r="AA851" i="3"/>
  <c r="AE851" i="3" s="1"/>
  <c r="AS245" i="3" s="1"/>
  <c r="AG851" i="3"/>
  <c r="AA858" i="3"/>
  <c r="AH858" i="3"/>
  <c r="Y858" i="3"/>
  <c r="AG858" i="3"/>
  <c r="X858" i="3"/>
  <c r="AE858" i="3"/>
  <c r="AA868" i="3"/>
  <c r="AB868" i="3"/>
  <c r="AG868" i="3"/>
  <c r="X868" i="3"/>
  <c r="BA128" i="3" s="1"/>
  <c r="F4" i="6"/>
  <c r="H4" i="6" s="1"/>
  <c r="F13" i="6"/>
  <c r="H13" i="6" s="1"/>
  <c r="C80" i="10"/>
  <c r="D80" i="10" s="1"/>
  <c r="C88" i="10"/>
  <c r="D88" i="10" s="1"/>
  <c r="D136" i="10"/>
  <c r="E177" i="10"/>
  <c r="I177" i="10"/>
  <c r="H177" i="10"/>
  <c r="K177" i="10"/>
  <c r="J177" i="10"/>
  <c r="G177" i="10"/>
  <c r="D138" i="10"/>
  <c r="F177" i="10"/>
  <c r="I181" i="10"/>
  <c r="H181" i="10"/>
  <c r="G181" i="10"/>
  <c r="F181" i="10"/>
  <c r="K181" i="10"/>
  <c r="J181" i="10"/>
  <c r="E181" i="10"/>
  <c r="D178" i="10"/>
  <c r="I178" i="10"/>
  <c r="H178" i="10"/>
  <c r="F178" i="10"/>
  <c r="E178" i="10"/>
  <c r="E189" i="10"/>
  <c r="I189" i="10"/>
  <c r="H189" i="10"/>
  <c r="G189" i="10"/>
  <c r="F189" i="10"/>
  <c r="D189" i="10"/>
  <c r="AE867" i="3"/>
  <c r="Y870" i="3"/>
  <c r="AH870" i="3"/>
  <c r="E5" i="6"/>
  <c r="F5" i="6" s="1"/>
  <c r="H5" i="6" s="1"/>
  <c r="F20" i="6"/>
  <c r="H20" i="6" s="1"/>
  <c r="E139" i="10"/>
  <c r="G178" i="10"/>
  <c r="H182" i="10"/>
  <c r="I182" i="10"/>
  <c r="G182" i="10"/>
  <c r="K182" i="10"/>
  <c r="E182" i="10"/>
  <c r="D182" i="10"/>
  <c r="J189" i="10"/>
  <c r="E197" i="10"/>
  <c r="I197" i="10"/>
  <c r="H197" i="10"/>
  <c r="F197" i="10"/>
  <c r="D197" i="10"/>
  <c r="I205" i="10"/>
  <c r="K205" i="10"/>
  <c r="D205" i="10"/>
  <c r="J205" i="10"/>
  <c r="H205" i="10"/>
  <c r="G205" i="10"/>
  <c r="F205" i="10"/>
  <c r="E205" i="10"/>
  <c r="H194" i="10"/>
  <c r="I194" i="10"/>
  <c r="G194" i="10"/>
  <c r="J194" i="10"/>
  <c r="F194" i="10"/>
  <c r="G197" i="10"/>
  <c r="H206" i="10"/>
  <c r="K206" i="10"/>
  <c r="D206" i="10"/>
  <c r="G206" i="10"/>
  <c r="F206" i="10"/>
  <c r="E206" i="10"/>
  <c r="J206" i="10"/>
  <c r="F208" i="10"/>
  <c r="K208" i="10"/>
  <c r="D208" i="10"/>
  <c r="H208" i="10"/>
  <c r="G208" i="10"/>
  <c r="J208" i="10"/>
  <c r="I208" i="10"/>
  <c r="E208" i="10"/>
  <c r="G187" i="10"/>
  <c r="I187" i="10"/>
  <c r="H187" i="10"/>
  <c r="D190" i="10"/>
  <c r="I190" i="10"/>
  <c r="H190" i="10"/>
  <c r="K190" i="10"/>
  <c r="D194" i="10"/>
  <c r="J197" i="10"/>
  <c r="I206" i="10"/>
  <c r="F176" i="10"/>
  <c r="I176" i="10"/>
  <c r="H176" i="10"/>
  <c r="G176" i="10"/>
  <c r="J180" i="10"/>
  <c r="H180" i="10"/>
  <c r="G180" i="10"/>
  <c r="D180" i="10"/>
  <c r="D187" i="10"/>
  <c r="E190" i="10"/>
  <c r="E194" i="10"/>
  <c r="K197" i="10"/>
  <c r="AE735" i="3"/>
  <c r="AE736" i="3"/>
  <c r="AE737" i="3"/>
  <c r="AE738" i="3"/>
  <c r="AE739" i="3"/>
  <c r="AE740" i="3"/>
  <c r="AE741" i="3"/>
  <c r="AE742" i="3"/>
  <c r="AE743" i="3"/>
  <c r="AE744" i="3"/>
  <c r="AE746" i="3"/>
  <c r="AS259" i="3" s="1"/>
  <c r="AE748" i="3"/>
  <c r="AE750" i="3"/>
  <c r="AS279" i="3" s="1"/>
  <c r="AE752" i="3"/>
  <c r="AE754" i="3"/>
  <c r="AE756" i="3"/>
  <c r="AE758" i="3"/>
  <c r="AS244" i="3" s="1"/>
  <c r="AE760" i="3"/>
  <c r="AE762" i="3"/>
  <c r="AE764" i="3"/>
  <c r="AE766" i="3"/>
  <c r="AE768" i="3"/>
  <c r="AS269" i="3" s="1"/>
  <c r="AE770" i="3"/>
  <c r="AE772" i="3"/>
  <c r="AE774" i="3"/>
  <c r="AE776" i="3"/>
  <c r="AE778" i="3"/>
  <c r="AE780" i="3"/>
  <c r="AE782" i="3"/>
  <c r="AE784" i="3"/>
  <c r="AE786" i="3"/>
  <c r="AE788" i="3"/>
  <c r="AE790" i="3"/>
  <c r="AE792" i="3"/>
  <c r="AE794" i="3"/>
  <c r="AE796" i="3"/>
  <c r="AS261" i="3" s="1"/>
  <c r="AE798" i="3"/>
  <c r="AE800" i="3"/>
  <c r="AE802" i="3"/>
  <c r="AS281" i="3" s="1"/>
  <c r="AE804" i="3"/>
  <c r="AE806" i="3"/>
  <c r="AE808" i="3"/>
  <c r="AE810" i="3"/>
  <c r="AE812" i="3"/>
  <c r="AE814" i="3"/>
  <c r="AE816" i="3"/>
  <c r="AE818" i="3"/>
  <c r="AE820" i="3"/>
  <c r="AE822" i="3"/>
  <c r="AE824" i="3"/>
  <c r="AS247" i="3" s="1"/>
  <c r="AE826" i="3"/>
  <c r="AS277" i="3" s="1"/>
  <c r="AE828" i="3"/>
  <c r="AS267" i="3" s="1"/>
  <c r="AE830" i="3"/>
  <c r="AE832" i="3"/>
  <c r="AS287" i="3" s="1"/>
  <c r="AE834" i="3"/>
  <c r="AS257" i="3" s="1"/>
  <c r="AE836" i="3"/>
  <c r="AE838" i="3"/>
  <c r="AE840" i="3"/>
  <c r="AE842" i="3"/>
  <c r="AE844" i="3"/>
  <c r="AE846" i="3"/>
  <c r="AE848" i="3"/>
  <c r="AS255" i="3" s="1"/>
  <c r="AE850" i="3"/>
  <c r="AE855" i="3"/>
  <c r="AS250" i="3" s="1"/>
  <c r="AE863" i="3"/>
  <c r="AE871" i="3"/>
  <c r="F12" i="6"/>
  <c r="H12" i="6" s="1"/>
  <c r="F21" i="6"/>
  <c r="H21" i="6" s="1"/>
  <c r="E136" i="10"/>
  <c r="D176" i="10"/>
  <c r="E187" i="10"/>
  <c r="F190" i="10"/>
  <c r="K194" i="10"/>
  <c r="I193" i="10"/>
  <c r="H193" i="10"/>
  <c r="G193" i="10"/>
  <c r="E193" i="10"/>
  <c r="D193" i="10"/>
  <c r="G195" i="10"/>
  <c r="I195" i="10"/>
  <c r="H195" i="10"/>
  <c r="K195" i="10"/>
  <c r="AE853" i="3"/>
  <c r="AE861" i="3"/>
  <c r="AE869" i="3"/>
  <c r="AE877" i="3"/>
  <c r="E137" i="10"/>
  <c r="O9" i="2" s="1"/>
  <c r="J172" i="10"/>
  <c r="H172" i="10"/>
  <c r="G172" i="10"/>
  <c r="F172" i="10"/>
  <c r="G175" i="10"/>
  <c r="I175" i="10"/>
  <c r="H175" i="10"/>
  <c r="D175" i="10"/>
  <c r="J176" i="10"/>
  <c r="I180" i="10"/>
  <c r="J187" i="10"/>
  <c r="J190" i="10"/>
  <c r="F193" i="10"/>
  <c r="D195" i="10"/>
  <c r="E11" i="6"/>
  <c r="F11" i="6" s="1"/>
  <c r="H11" i="6" s="1"/>
  <c r="F16" i="6"/>
  <c r="H16" i="6" s="1"/>
  <c r="C74" i="10"/>
  <c r="D74" i="10" s="1"/>
  <c r="J137" i="10"/>
  <c r="D172" i="10"/>
  <c r="E175" i="10"/>
  <c r="K176" i="10"/>
  <c r="K180" i="10"/>
  <c r="K187" i="10"/>
  <c r="J193" i="10"/>
  <c r="E195" i="10"/>
  <c r="D229" i="10"/>
  <c r="K229" i="10"/>
  <c r="E229" i="10"/>
  <c r="J229" i="10"/>
  <c r="I229" i="10"/>
  <c r="H229" i="10"/>
  <c r="G229" i="10"/>
  <c r="F229" i="10"/>
  <c r="D210" i="10"/>
  <c r="K210" i="10"/>
  <c r="E210" i="10"/>
  <c r="H225" i="10"/>
  <c r="K225" i="10"/>
  <c r="D225" i="10"/>
  <c r="J225" i="10"/>
  <c r="I225" i="10"/>
  <c r="G225" i="10"/>
  <c r="F225" i="10"/>
  <c r="E225" i="10"/>
  <c r="F210" i="10"/>
  <c r="D203" i="10"/>
  <c r="I203" i="10"/>
  <c r="H203" i="10"/>
  <c r="G210" i="10"/>
  <c r="H247" i="10"/>
  <c r="K247" i="10"/>
  <c r="F247" i="10"/>
  <c r="D247" i="10"/>
  <c r="J247" i="10"/>
  <c r="I247" i="10"/>
  <c r="G247" i="10"/>
  <c r="E247" i="10"/>
  <c r="H210" i="10"/>
  <c r="E209" i="10"/>
  <c r="K209" i="10"/>
  <c r="D209" i="10"/>
  <c r="J209" i="10"/>
  <c r="I209" i="10"/>
  <c r="I210" i="10"/>
  <c r="I213" i="10"/>
  <c r="K213" i="10"/>
  <c r="D213" i="10"/>
  <c r="J213" i="10"/>
  <c r="H213" i="10"/>
  <c r="G213" i="10"/>
  <c r="F213" i="10"/>
  <c r="E7" i="6"/>
  <c r="F7" i="6" s="1"/>
  <c r="H7" i="6" s="1"/>
  <c r="E15" i="6"/>
  <c r="F15" i="6" s="1"/>
  <c r="H15" i="6" s="1"/>
  <c r="G203" i="10"/>
  <c r="F209" i="10"/>
  <c r="J210" i="10"/>
  <c r="E213" i="10"/>
  <c r="J192" i="10"/>
  <c r="H192" i="10"/>
  <c r="G192" i="10"/>
  <c r="F196" i="10"/>
  <c r="I196" i="10"/>
  <c r="H196" i="10"/>
  <c r="J203" i="10"/>
  <c r="G209" i="10"/>
  <c r="C214" i="10"/>
  <c r="E220" i="10"/>
  <c r="K220" i="10"/>
  <c r="D220" i="10"/>
  <c r="J220" i="10"/>
  <c r="I220" i="10"/>
  <c r="H220" i="10"/>
  <c r="G220" i="10"/>
  <c r="H209" i="10"/>
  <c r="E239" i="10"/>
  <c r="J245" i="10"/>
  <c r="K245" i="10"/>
  <c r="F245" i="10"/>
  <c r="D245" i="10"/>
  <c r="E251" i="10"/>
  <c r="I257" i="10"/>
  <c r="K257" i="10"/>
  <c r="F257" i="10"/>
  <c r="D257" i="10"/>
  <c r="E260" i="10"/>
  <c r="G207" i="10"/>
  <c r="K207" i="10"/>
  <c r="D207" i="10"/>
  <c r="J212" i="10"/>
  <c r="K212" i="10"/>
  <c r="D212" i="10"/>
  <c r="F219" i="10"/>
  <c r="K219" i="10"/>
  <c r="D219" i="10"/>
  <c r="I221" i="10"/>
  <c r="I224" i="10"/>
  <c r="K224" i="10"/>
  <c r="D224" i="10"/>
  <c r="I226" i="10"/>
  <c r="E228" i="10"/>
  <c r="K228" i="10"/>
  <c r="D228" i="10"/>
  <c r="I237" i="10"/>
  <c r="G239" i="10"/>
  <c r="F241" i="10"/>
  <c r="K241" i="10"/>
  <c r="G241" i="10"/>
  <c r="D241" i="10"/>
  <c r="I242" i="10"/>
  <c r="E245" i="10"/>
  <c r="H251" i="10"/>
  <c r="E253" i="10"/>
  <c r="K253" i="10"/>
  <c r="G253" i="10"/>
  <c r="D253" i="10"/>
  <c r="I254" i="10"/>
  <c r="E257" i="10"/>
  <c r="H260" i="10"/>
  <c r="C262" i="10"/>
  <c r="C90" i="10"/>
  <c r="D90" i="10" s="1"/>
  <c r="E138" i="10"/>
  <c r="I238" i="10"/>
  <c r="K238" i="10"/>
  <c r="F238" i="10"/>
  <c r="D238" i="10"/>
  <c r="I239" i="10"/>
  <c r="G245" i="10"/>
  <c r="I251" i="10"/>
  <c r="G257" i="10"/>
  <c r="G259" i="10"/>
  <c r="K259" i="10"/>
  <c r="F259" i="10"/>
  <c r="D259" i="10"/>
  <c r="I260" i="10"/>
  <c r="I270" i="10"/>
  <c r="K270" i="10"/>
  <c r="G270" i="10"/>
  <c r="F270" i="10"/>
  <c r="D270" i="10"/>
  <c r="I278" i="10"/>
  <c r="G278" i="10"/>
  <c r="F278" i="10"/>
  <c r="E278" i="10"/>
  <c r="D278" i="10"/>
  <c r="K278" i="10"/>
  <c r="J278" i="10"/>
  <c r="H278" i="10"/>
  <c r="G218" i="10"/>
  <c r="K218" i="10"/>
  <c r="D218" i="10"/>
  <c r="J223" i="10"/>
  <c r="K223" i="10"/>
  <c r="D223" i="10"/>
  <c r="F227" i="10"/>
  <c r="K227" i="10"/>
  <c r="D227" i="10"/>
  <c r="E238" i="10"/>
  <c r="D243" i="10"/>
  <c r="K243" i="10"/>
  <c r="G243" i="10"/>
  <c r="E243" i="10"/>
  <c r="H245" i="10"/>
  <c r="J256" i="10"/>
  <c r="K256" i="10"/>
  <c r="F256" i="10"/>
  <c r="D256" i="10"/>
  <c r="H257" i="10"/>
  <c r="E259" i="10"/>
  <c r="E270" i="10"/>
  <c r="G240" i="10"/>
  <c r="K240" i="10"/>
  <c r="F240" i="10"/>
  <c r="D240" i="10"/>
  <c r="I245" i="10"/>
  <c r="F252" i="10"/>
  <c r="K252" i="10"/>
  <c r="G252" i="10"/>
  <c r="D252" i="10"/>
  <c r="J257" i="10"/>
  <c r="H259" i="10"/>
  <c r="E261" i="10"/>
  <c r="K261" i="10"/>
  <c r="G261" i="10"/>
  <c r="D261" i="10"/>
  <c r="H270" i="10"/>
  <c r="D221" i="10"/>
  <c r="K221" i="10"/>
  <c r="E221" i="10"/>
  <c r="G226" i="10"/>
  <c r="K226" i="10"/>
  <c r="D226" i="10"/>
  <c r="J237" i="10"/>
  <c r="K237" i="10"/>
  <c r="F237" i="10"/>
  <c r="D237" i="10"/>
  <c r="H238" i="10"/>
  <c r="E240" i="10"/>
  <c r="I246" i="10"/>
  <c r="K246" i="10"/>
  <c r="F246" i="10"/>
  <c r="D246" i="10"/>
  <c r="E252" i="10"/>
  <c r="G256" i="10"/>
  <c r="H258" i="10"/>
  <c r="K258" i="10"/>
  <c r="F258" i="10"/>
  <c r="D258" i="10"/>
  <c r="I259" i="10"/>
  <c r="F261" i="10"/>
  <c r="J270" i="10"/>
  <c r="E242" i="10"/>
  <c r="K242" i="10"/>
  <c r="G242" i="10"/>
  <c r="D242" i="10"/>
  <c r="D254" i="10"/>
  <c r="K254" i="10"/>
  <c r="G254" i="10"/>
  <c r="E254" i="10"/>
  <c r="J259" i="10"/>
  <c r="J269" i="10"/>
  <c r="K269" i="10"/>
  <c r="C279" i="10"/>
  <c r="G269" i="10"/>
  <c r="F269" i="10"/>
  <c r="D269" i="10"/>
  <c r="H271" i="10"/>
  <c r="K271" i="10"/>
  <c r="G271" i="10"/>
  <c r="F271" i="10"/>
  <c r="D271" i="10"/>
  <c r="H239" i="10"/>
  <c r="K239" i="10"/>
  <c r="F239" i="10"/>
  <c r="D239" i="10"/>
  <c r="G251" i="10"/>
  <c r="K251" i="10"/>
  <c r="F251" i="10"/>
  <c r="D251" i="10"/>
  <c r="F260" i="10"/>
  <c r="K260" i="10"/>
  <c r="G260" i="10"/>
  <c r="D260" i="10"/>
  <c r="D272" i="10"/>
  <c r="D273" i="10"/>
  <c r="F277" i="10"/>
  <c r="G277" i="10"/>
  <c r="F284" i="10"/>
  <c r="D284" i="10"/>
  <c r="F272" i="10"/>
  <c r="G273" i="10"/>
  <c r="I277" i="10"/>
  <c r="C294" i="10"/>
  <c r="G283" i="10"/>
  <c r="E283" i="10"/>
  <c r="E284" i="10"/>
  <c r="H272" i="10"/>
  <c r="G284" i="10"/>
  <c r="J277" i="10"/>
  <c r="H277" i="10"/>
  <c r="I284" i="10"/>
  <c r="K272" i="10"/>
  <c r="K273" i="10"/>
  <c r="D275" i="10"/>
  <c r="J275" i="10"/>
  <c r="D277" i="10"/>
  <c r="I283" i="10"/>
  <c r="J284" i="10"/>
  <c r="E277" i="10"/>
  <c r="K284" i="10"/>
  <c r="C311" i="10"/>
  <c r="F323" i="10"/>
  <c r="I323" i="10"/>
  <c r="K371" i="10"/>
  <c r="J371" i="10"/>
  <c r="H371" i="10"/>
  <c r="G371" i="10"/>
  <c r="F371" i="10"/>
  <c r="E371" i="10"/>
  <c r="D371" i="10"/>
  <c r="K382" i="10"/>
  <c r="J382" i="10"/>
  <c r="H382" i="10"/>
  <c r="G382" i="10"/>
  <c r="F382" i="10"/>
  <c r="E382" i="10"/>
  <c r="D382" i="10"/>
  <c r="E315" i="10"/>
  <c r="G316" i="10"/>
  <c r="I317" i="10"/>
  <c r="I319" i="10"/>
  <c r="G322" i="10"/>
  <c r="J322" i="10"/>
  <c r="D323" i="10"/>
  <c r="F324" i="10"/>
  <c r="H325" i="10"/>
  <c r="E337" i="10"/>
  <c r="I337" i="10"/>
  <c r="H337" i="10"/>
  <c r="G337" i="10"/>
  <c r="J338" i="10"/>
  <c r="J340" i="10"/>
  <c r="F340" i="10"/>
  <c r="E340" i="10"/>
  <c r="D340" i="10"/>
  <c r="E348" i="10"/>
  <c r="J348" i="10"/>
  <c r="I348" i="10"/>
  <c r="H348" i="10"/>
  <c r="G348" i="10"/>
  <c r="K364" i="10"/>
  <c r="J364" i="10"/>
  <c r="H364" i="10"/>
  <c r="G364" i="10"/>
  <c r="F364" i="10"/>
  <c r="E364" i="10"/>
  <c r="D364" i="10"/>
  <c r="K372" i="10"/>
  <c r="J372" i="10"/>
  <c r="H372" i="10"/>
  <c r="G372" i="10"/>
  <c r="F372" i="10"/>
  <c r="E372" i="10"/>
  <c r="D372" i="10"/>
  <c r="K383" i="10"/>
  <c r="J383" i="10"/>
  <c r="H383" i="10"/>
  <c r="G383" i="10"/>
  <c r="F383" i="10"/>
  <c r="E383" i="10"/>
  <c r="D383" i="10"/>
  <c r="K274" i="10"/>
  <c r="D300" i="10"/>
  <c r="D301" i="10"/>
  <c r="D302" i="10"/>
  <c r="D303" i="10"/>
  <c r="D304" i="10"/>
  <c r="D305" i="10"/>
  <c r="E306" i="10"/>
  <c r="D308" i="10"/>
  <c r="D309" i="10"/>
  <c r="G315" i="10"/>
  <c r="I316" i="10"/>
  <c r="D322" i="10"/>
  <c r="E323" i="10"/>
  <c r="G324" i="10"/>
  <c r="I325" i="10"/>
  <c r="D337" i="10"/>
  <c r="G340" i="10"/>
  <c r="D348" i="10"/>
  <c r="K365" i="10"/>
  <c r="J365" i="10"/>
  <c r="H365" i="10"/>
  <c r="G365" i="10"/>
  <c r="F365" i="10"/>
  <c r="E365" i="10"/>
  <c r="D365" i="10"/>
  <c r="K373" i="10"/>
  <c r="J373" i="10"/>
  <c r="H373" i="10"/>
  <c r="G373" i="10"/>
  <c r="F373" i="10"/>
  <c r="E373" i="10"/>
  <c r="D373" i="10"/>
  <c r="K384" i="10"/>
  <c r="J384" i="10"/>
  <c r="H384" i="10"/>
  <c r="G384" i="10"/>
  <c r="F384" i="10"/>
  <c r="E384" i="10"/>
  <c r="D384" i="10"/>
  <c r="H315" i="10"/>
  <c r="I320" i="10"/>
  <c r="D320" i="10"/>
  <c r="G323" i="10"/>
  <c r="I324" i="10"/>
  <c r="J332" i="10"/>
  <c r="C343" i="10"/>
  <c r="E332" i="10"/>
  <c r="K366" i="10"/>
  <c r="J366" i="10"/>
  <c r="H366" i="10"/>
  <c r="G366" i="10"/>
  <c r="F366" i="10"/>
  <c r="E366" i="10"/>
  <c r="D366" i="10"/>
  <c r="K374" i="10"/>
  <c r="J374" i="10"/>
  <c r="H374" i="10"/>
  <c r="G374" i="10"/>
  <c r="F374" i="10"/>
  <c r="E374" i="10"/>
  <c r="D374" i="10"/>
  <c r="K385" i="10"/>
  <c r="J385" i="10"/>
  <c r="H385" i="10"/>
  <c r="G385" i="10"/>
  <c r="F385" i="10"/>
  <c r="E385" i="10"/>
  <c r="D385" i="10"/>
  <c r="F285" i="10"/>
  <c r="E287" i="10"/>
  <c r="F300" i="10"/>
  <c r="F301" i="10"/>
  <c r="F302" i="10"/>
  <c r="F303" i="10"/>
  <c r="G304" i="10"/>
  <c r="G305" i="10"/>
  <c r="G306" i="10"/>
  <c r="J315" i="10"/>
  <c r="J319" i="10"/>
  <c r="E319" i="10"/>
  <c r="E320" i="10"/>
  <c r="F322" i="10"/>
  <c r="H323" i="10"/>
  <c r="J324" i="10"/>
  <c r="D332" i="10"/>
  <c r="F336" i="10"/>
  <c r="J336" i="10"/>
  <c r="I336" i="10"/>
  <c r="H336" i="10"/>
  <c r="J337" i="10"/>
  <c r="I340" i="10"/>
  <c r="K348" i="10"/>
  <c r="K367" i="10"/>
  <c r="J367" i="10"/>
  <c r="H367" i="10"/>
  <c r="G367" i="10"/>
  <c r="F367" i="10"/>
  <c r="E367" i="10"/>
  <c r="D367" i="10"/>
  <c r="C375" i="10"/>
  <c r="K386" i="10"/>
  <c r="J386" i="10"/>
  <c r="H386" i="10"/>
  <c r="G386" i="10"/>
  <c r="F386" i="10"/>
  <c r="E386" i="10"/>
  <c r="D386" i="10"/>
  <c r="G300" i="10"/>
  <c r="G301" i="10"/>
  <c r="D317" i="10"/>
  <c r="G317" i="10"/>
  <c r="F320" i="10"/>
  <c r="J323" i="10"/>
  <c r="F332" i="10"/>
  <c r="C358" i="10"/>
  <c r="D349" i="10"/>
  <c r="I349" i="10"/>
  <c r="H349" i="10"/>
  <c r="G349" i="10"/>
  <c r="F349" i="10"/>
  <c r="K368" i="10"/>
  <c r="J368" i="10"/>
  <c r="H368" i="10"/>
  <c r="G368" i="10"/>
  <c r="F368" i="10"/>
  <c r="E368" i="10"/>
  <c r="D368" i="10"/>
  <c r="K379" i="10"/>
  <c r="J379" i="10"/>
  <c r="H379" i="10"/>
  <c r="G379" i="10"/>
  <c r="F379" i="10"/>
  <c r="E379" i="10"/>
  <c r="D379" i="10"/>
  <c r="C390" i="10"/>
  <c r="H300" i="10"/>
  <c r="H301" i="10"/>
  <c r="I302" i="10"/>
  <c r="I303" i="10"/>
  <c r="E316" i="10"/>
  <c r="H316" i="10"/>
  <c r="E317" i="10"/>
  <c r="G320" i="10"/>
  <c r="K323" i="10"/>
  <c r="D325" i="10"/>
  <c r="G325" i="10"/>
  <c r="G332" i="10"/>
  <c r="D338" i="10"/>
  <c r="H338" i="10"/>
  <c r="G338" i="10"/>
  <c r="F338" i="10"/>
  <c r="E349" i="10"/>
  <c r="K369" i="10"/>
  <c r="J369" i="10"/>
  <c r="H369" i="10"/>
  <c r="G369" i="10"/>
  <c r="F369" i="10"/>
  <c r="E369" i="10"/>
  <c r="D369" i="10"/>
  <c r="K380" i="10"/>
  <c r="J380" i="10"/>
  <c r="H380" i="10"/>
  <c r="G380" i="10"/>
  <c r="F380" i="10"/>
  <c r="E380" i="10"/>
  <c r="D380" i="10"/>
  <c r="C326" i="10"/>
  <c r="F315" i="10"/>
  <c r="I315" i="10"/>
  <c r="E324" i="10"/>
  <c r="H324" i="10"/>
  <c r="J351" i="10"/>
  <c r="I351" i="10"/>
  <c r="G351" i="10"/>
  <c r="F351" i="10"/>
  <c r="E351" i="10"/>
  <c r="D351" i="10"/>
  <c r="K370" i="10"/>
  <c r="J370" i="10"/>
  <c r="H370" i="10"/>
  <c r="G370" i="10"/>
  <c r="F370" i="10"/>
  <c r="E370" i="10"/>
  <c r="D370" i="10"/>
  <c r="K381" i="10"/>
  <c r="J381" i="10"/>
  <c r="H381" i="10"/>
  <c r="G381" i="10"/>
  <c r="F381" i="10"/>
  <c r="E381" i="10"/>
  <c r="D381" i="10"/>
  <c r="K333" i="10"/>
  <c r="I335" i="10"/>
  <c r="K341" i="10"/>
  <c r="H347" i="10"/>
  <c r="K352" i="10"/>
  <c r="J353" i="10"/>
  <c r="I354" i="10"/>
  <c r="H355" i="10"/>
  <c r="G356" i="10"/>
  <c r="F357" i="10"/>
  <c r="D387" i="10"/>
  <c r="D388" i="10"/>
  <c r="D389" i="10"/>
  <c r="K310" i="10"/>
  <c r="K321" i="10"/>
  <c r="D333" i="10"/>
  <c r="K334" i="10"/>
  <c r="J335" i="10"/>
  <c r="F339" i="10"/>
  <c r="D341" i="10"/>
  <c r="K342" i="10"/>
  <c r="I347" i="10"/>
  <c r="F350" i="10"/>
  <c r="D352" i="10"/>
  <c r="K353" i="10"/>
  <c r="J354" i="10"/>
  <c r="I355" i="10"/>
  <c r="H356" i="10"/>
  <c r="G357" i="10"/>
  <c r="E387" i="10"/>
  <c r="E388" i="10"/>
  <c r="E389" i="10"/>
  <c r="K335" i="10"/>
  <c r="G339" i="10"/>
  <c r="E341" i="10"/>
  <c r="D342" i="10"/>
  <c r="J347" i="10"/>
  <c r="G350" i="10"/>
  <c r="E352" i="10"/>
  <c r="D353" i="10"/>
  <c r="K354" i="10"/>
  <c r="J355" i="10"/>
  <c r="I356" i="10"/>
  <c r="H357" i="10"/>
  <c r="F387" i="10"/>
  <c r="F388" i="10"/>
  <c r="F389" i="10"/>
  <c r="K347" i="10"/>
  <c r="K355" i="10"/>
  <c r="J356" i="10"/>
  <c r="I357" i="10"/>
  <c r="G387" i="10"/>
  <c r="G388" i="10"/>
  <c r="G389" i="10"/>
  <c r="K356" i="10"/>
  <c r="J357" i="10"/>
  <c r="H387" i="10"/>
  <c r="H388" i="10"/>
  <c r="H389" i="10"/>
  <c r="E355" i="10"/>
  <c r="D356" i="10"/>
  <c r="K357" i="10"/>
  <c r="J387" i="10"/>
  <c r="J388" i="10"/>
  <c r="J389" i="10"/>
  <c r="F347" i="10"/>
  <c r="BA214" i="3" l="1"/>
  <c r="AS138" i="3"/>
  <c r="AK72" i="3"/>
  <c r="AK279" i="3"/>
  <c r="AK187" i="3"/>
  <c r="AK129" i="3"/>
  <c r="AU81" i="3"/>
  <c r="G8" i="5"/>
  <c r="H9" i="6"/>
  <c r="AO44" i="3"/>
  <c r="AA33" i="2"/>
  <c r="K16" i="2"/>
  <c r="BA44" i="3"/>
  <c r="I22" i="2"/>
  <c r="U15" i="2"/>
  <c r="AK272" i="3"/>
  <c r="AS81" i="3"/>
  <c r="AK167" i="3"/>
  <c r="AK148" i="3"/>
  <c r="AK262" i="3"/>
  <c r="AU119" i="3"/>
  <c r="AQ291" i="3"/>
  <c r="AK256" i="3"/>
  <c r="AM63" i="3"/>
  <c r="AK56" i="3"/>
  <c r="AO291" i="3"/>
  <c r="AK151" i="3"/>
  <c r="AM158" i="3"/>
  <c r="AM304" i="3"/>
  <c r="AK297" i="3"/>
  <c r="AM303" i="3"/>
  <c r="AK255" i="3"/>
  <c r="K326" i="10"/>
  <c r="F326" i="10"/>
  <c r="G326" i="10"/>
  <c r="E326" i="10"/>
  <c r="D326" i="10"/>
  <c r="J326" i="10"/>
  <c r="I326" i="10"/>
  <c r="H326" i="10"/>
  <c r="K390" i="10"/>
  <c r="J390" i="10"/>
  <c r="H390" i="10"/>
  <c r="G390" i="10"/>
  <c r="F390" i="10"/>
  <c r="E390" i="10"/>
  <c r="D390" i="10"/>
  <c r="H214" i="10"/>
  <c r="K214" i="10"/>
  <c r="D214" i="10"/>
  <c r="J214" i="10"/>
  <c r="I214" i="10"/>
  <c r="E214" i="10"/>
  <c r="G214" i="10"/>
  <c r="F214" i="10"/>
  <c r="F138" i="10"/>
  <c r="O10" i="2"/>
  <c r="AQ280" i="3"/>
  <c r="H8" i="6"/>
  <c r="AQ265" i="3"/>
  <c r="AE732" i="3"/>
  <c r="AQ292" i="3"/>
  <c r="AQ242" i="3" s="1"/>
  <c r="H20" i="5" s="1"/>
  <c r="H19" i="6"/>
  <c r="BA185" i="3"/>
  <c r="BA195" i="3" s="1"/>
  <c r="H3" i="6"/>
  <c r="H33" i="6" s="1"/>
  <c r="BA222" i="3"/>
  <c r="X586" i="3"/>
  <c r="AQ165" i="3" s="1"/>
  <c r="AQ176" i="3" s="1"/>
  <c r="AG586" i="3"/>
  <c r="Y586" i="3"/>
  <c r="AA586" i="3"/>
  <c r="AE586" i="3" s="1"/>
  <c r="AQ171" i="3"/>
  <c r="AW222" i="3"/>
  <c r="AE571" i="3"/>
  <c r="AY146" i="3"/>
  <c r="AS90" i="3"/>
  <c r="AO246" i="3"/>
  <c r="AO260" i="3"/>
  <c r="AM261" i="3"/>
  <c r="AO276" i="3"/>
  <c r="AO292" i="3"/>
  <c r="AA113" i="3"/>
  <c r="AH113" i="3"/>
  <c r="AG113" i="3"/>
  <c r="X113" i="3"/>
  <c r="AM244" i="3"/>
  <c r="AA149" i="3"/>
  <c r="AE149" i="3" s="1"/>
  <c r="AG149" i="3"/>
  <c r="Y149" i="3"/>
  <c r="X149" i="3"/>
  <c r="AM264" i="3"/>
  <c r="AK264" i="3" s="1"/>
  <c r="AB133" i="3"/>
  <c r="AG70" i="3"/>
  <c r="X70" i="3"/>
  <c r="AA70" i="3"/>
  <c r="AE70" i="3" s="1"/>
  <c r="AG11" i="3"/>
  <c r="X11" i="3"/>
  <c r="AA11" i="3"/>
  <c r="AE11" i="3" s="1"/>
  <c r="AB149" i="3"/>
  <c r="AA54" i="3"/>
  <c r="AH54" i="3"/>
  <c r="AG54" i="3"/>
  <c r="X54" i="3"/>
  <c r="AA82" i="3"/>
  <c r="AE82" i="3" s="1"/>
  <c r="AG82" i="3"/>
  <c r="X82" i="3"/>
  <c r="AM132" i="3"/>
  <c r="AA20" i="3"/>
  <c r="AG20" i="3"/>
  <c r="X20" i="3"/>
  <c r="AE20" i="3"/>
  <c r="AB49" i="3"/>
  <c r="AB70" i="3"/>
  <c r="AH31" i="3"/>
  <c r="AB26" i="3"/>
  <c r="AM170" i="3"/>
  <c r="G343" i="10"/>
  <c r="K343" i="10"/>
  <c r="J343" i="10"/>
  <c r="I343" i="10"/>
  <c r="H343" i="10"/>
  <c r="F343" i="10"/>
  <c r="E343" i="10"/>
  <c r="D343" i="10"/>
  <c r="E140" i="10"/>
  <c r="AS289" i="3"/>
  <c r="AQ285" i="3"/>
  <c r="AQ260" i="3"/>
  <c r="AS249" i="3"/>
  <c r="AS266" i="3"/>
  <c r="AK271" i="3" s="1"/>
  <c r="F33" i="6"/>
  <c r="AE751" i="3"/>
  <c r="AS274" i="3" s="1"/>
  <c r="AO35" i="3"/>
  <c r="AW127" i="3"/>
  <c r="AW138" i="3" s="1"/>
  <c r="X581" i="3"/>
  <c r="AQ70" i="3" s="1"/>
  <c r="AA581" i="3"/>
  <c r="AG581" i="3"/>
  <c r="Y581" i="3"/>
  <c r="AQ76" i="3"/>
  <c r="AG551" i="3"/>
  <c r="Y551" i="3"/>
  <c r="AB551" i="3"/>
  <c r="AA551" i="3"/>
  <c r="AE551" i="3" s="1"/>
  <c r="X551" i="3"/>
  <c r="AY165" i="3" s="1"/>
  <c r="AY176" i="3" s="1"/>
  <c r="AY171" i="3"/>
  <c r="AY177" i="3" s="1"/>
  <c r="AB586" i="3"/>
  <c r="AK250" i="3"/>
  <c r="AO286" i="3"/>
  <c r="AU62" i="3"/>
  <c r="AA123" i="3"/>
  <c r="AE123" i="3" s="1"/>
  <c r="AH123" i="3"/>
  <c r="AG123" i="3"/>
  <c r="X123" i="3"/>
  <c r="AG106" i="3"/>
  <c r="X106" i="3"/>
  <c r="AA106" i="3"/>
  <c r="AE106" i="3" s="1"/>
  <c r="AL177" i="3"/>
  <c r="J34" i="2" s="1"/>
  <c r="AA112" i="3"/>
  <c r="AE112" i="3" s="1"/>
  <c r="AH112" i="3"/>
  <c r="AG112" i="3"/>
  <c r="X112" i="3"/>
  <c r="AE204" i="3"/>
  <c r="AM289" i="3" s="1"/>
  <c r="AA119" i="3"/>
  <c r="AE119" i="3" s="1"/>
  <c r="AH119" i="3"/>
  <c r="AG119" i="3"/>
  <c r="X119" i="3"/>
  <c r="AM275" i="3"/>
  <c r="AM291" i="3"/>
  <c r="AB140" i="3"/>
  <c r="AE140" i="3" s="1"/>
  <c r="AA140" i="3"/>
  <c r="AU190" i="3"/>
  <c r="AU196" i="3" s="1"/>
  <c r="AG140" i="3"/>
  <c r="Y140" i="3"/>
  <c r="X140" i="3"/>
  <c r="AU184" i="3" s="1"/>
  <c r="AU195" i="3" s="1"/>
  <c r="AA83" i="3"/>
  <c r="AE83" i="3" s="1"/>
  <c r="AH83" i="3"/>
  <c r="AG83" i="3"/>
  <c r="X83" i="3"/>
  <c r="AG33" i="3"/>
  <c r="X33" i="3"/>
  <c r="AA33" i="3"/>
  <c r="AE33" i="3" s="1"/>
  <c r="AH33" i="3"/>
  <c r="AH37" i="3"/>
  <c r="AG37" i="3"/>
  <c r="X37" i="3"/>
  <c r="AA37" i="3"/>
  <c r="AE37" i="3" s="1"/>
  <c r="AB123" i="3"/>
  <c r="AG96" i="3"/>
  <c r="X96" i="3"/>
  <c r="AA96" i="3"/>
  <c r="AA71" i="3"/>
  <c r="AE71" i="3" s="1"/>
  <c r="AG71" i="3"/>
  <c r="X71" i="3"/>
  <c r="AA17" i="3"/>
  <c r="AE17" i="3" s="1"/>
  <c r="AH17" i="3"/>
  <c r="AG17" i="3"/>
  <c r="X17" i="3"/>
  <c r="AH71" i="3"/>
  <c r="AH11" i="3"/>
  <c r="AB104" i="3"/>
  <c r="AH70" i="3"/>
  <c r="AB71" i="3"/>
  <c r="AS270" i="3"/>
  <c r="AS246" i="3"/>
  <c r="AK251" i="3" s="1"/>
  <c r="D140" i="10"/>
  <c r="F140" i="10" s="1"/>
  <c r="F136" i="10"/>
  <c r="O8" i="2"/>
  <c r="AW204" i="3"/>
  <c r="AQ275" i="3"/>
  <c r="AE801" i="3"/>
  <c r="AS276" i="3" s="1"/>
  <c r="AW81" i="3"/>
  <c r="AQ249" i="3"/>
  <c r="AW100" i="3"/>
  <c r="AG590" i="3"/>
  <c r="X590" i="3"/>
  <c r="AQ89" i="3" s="1"/>
  <c r="AQ100" i="3" s="1"/>
  <c r="Y590" i="3"/>
  <c r="AA590" i="3"/>
  <c r="AE590" i="3" s="1"/>
  <c r="AQ95" i="3"/>
  <c r="X589" i="3"/>
  <c r="AQ127" i="3" s="1"/>
  <c r="AQ138" i="3" s="1"/>
  <c r="AG589" i="3"/>
  <c r="Y589" i="3"/>
  <c r="AA589" i="3"/>
  <c r="AE589" i="3" s="1"/>
  <c r="AQ133" i="3"/>
  <c r="X595" i="3"/>
  <c r="AQ184" i="3" s="1"/>
  <c r="AQ195" i="3" s="1"/>
  <c r="AG595" i="3"/>
  <c r="AA595" i="3"/>
  <c r="Y595" i="3"/>
  <c r="AB595" i="3"/>
  <c r="AE595" i="3" s="1"/>
  <c r="AQ190" i="3"/>
  <c r="AQ196" i="3" s="1"/>
  <c r="AS147" i="3"/>
  <c r="AM276" i="3"/>
  <c r="AK252" i="3"/>
  <c r="AK149" i="3"/>
  <c r="AM35" i="3"/>
  <c r="AO266" i="3"/>
  <c r="AU304" i="3"/>
  <c r="AU303" i="3"/>
  <c r="AA122" i="3"/>
  <c r="AE122" i="3" s="1"/>
  <c r="AG122" i="3"/>
  <c r="X122" i="3"/>
  <c r="AM259" i="3"/>
  <c r="AB142" i="3"/>
  <c r="AE142" i="3" s="1"/>
  <c r="AA142" i="3"/>
  <c r="AG142" i="3"/>
  <c r="Y142" i="3"/>
  <c r="X142" i="3"/>
  <c r="AA118" i="3"/>
  <c r="AG118" i="3"/>
  <c r="X118" i="3"/>
  <c r="AE118" i="3"/>
  <c r="AM245" i="3"/>
  <c r="AA130" i="3"/>
  <c r="AE130" i="3" s="1"/>
  <c r="AG130" i="3"/>
  <c r="X130" i="3"/>
  <c r="AA103" i="3"/>
  <c r="AG103" i="3"/>
  <c r="X103" i="3"/>
  <c r="AE103" i="3"/>
  <c r="AO233" i="3"/>
  <c r="AG39" i="3"/>
  <c r="X39" i="3"/>
  <c r="AA39" i="3"/>
  <c r="AE39" i="3" s="1"/>
  <c r="AH39" i="3"/>
  <c r="AH66" i="3"/>
  <c r="AG66" i="3"/>
  <c r="X66" i="3"/>
  <c r="AA66" i="3"/>
  <c r="AE66" i="3" s="1"/>
  <c r="AG36" i="3"/>
  <c r="X36" i="3"/>
  <c r="AA36" i="3"/>
  <c r="AA9" i="3"/>
  <c r="AE9" i="3" s="1"/>
  <c r="AM75" i="3"/>
  <c r="X9" i="3"/>
  <c r="AG9" i="3"/>
  <c r="AB130" i="3"/>
  <c r="AA44" i="3"/>
  <c r="AE44" i="3" s="1"/>
  <c r="AG44" i="3"/>
  <c r="X44" i="3"/>
  <c r="AA27" i="3"/>
  <c r="AE27" i="3" s="1"/>
  <c r="AH27" i="3"/>
  <c r="AG27" i="3"/>
  <c r="X27" i="3"/>
  <c r="AG16" i="3"/>
  <c r="X16" i="3"/>
  <c r="AA16" i="3"/>
  <c r="AE16" i="3" s="1"/>
  <c r="AA47" i="3"/>
  <c r="AE47" i="3" s="1"/>
  <c r="AG47" i="3"/>
  <c r="X47" i="3"/>
  <c r="AA35" i="3"/>
  <c r="AG35" i="3"/>
  <c r="X35" i="3"/>
  <c r="AB47" i="3"/>
  <c r="AB103" i="3"/>
  <c r="K375" i="10"/>
  <c r="J375" i="10"/>
  <c r="H375" i="10"/>
  <c r="G375" i="10"/>
  <c r="F375" i="10"/>
  <c r="E375" i="10"/>
  <c r="D375" i="10"/>
  <c r="D262" i="10"/>
  <c r="K262" i="10"/>
  <c r="G262" i="10"/>
  <c r="E262" i="10"/>
  <c r="J262" i="10"/>
  <c r="I262" i="10"/>
  <c r="H262" i="10"/>
  <c r="F262" i="10"/>
  <c r="AS290" i="3"/>
  <c r="AS285" i="3"/>
  <c r="AS284" i="3"/>
  <c r="F137" i="10"/>
  <c r="F139" i="10"/>
  <c r="O11" i="2"/>
  <c r="AS286" i="3"/>
  <c r="AE795" i="3"/>
  <c r="AS256" i="3" s="1"/>
  <c r="AW35" i="3"/>
  <c r="AQ244" i="3"/>
  <c r="AQ274" i="3"/>
  <c r="AK274" i="3" s="1"/>
  <c r="AW62" i="3"/>
  <c r="AW32" i="3"/>
  <c r="AB542" i="3"/>
  <c r="AA542" i="3"/>
  <c r="AE542" i="3" s="1"/>
  <c r="Y542" i="3"/>
  <c r="AG542" i="3"/>
  <c r="X542" i="3"/>
  <c r="AY228" i="3"/>
  <c r="AG539" i="3"/>
  <c r="Y539" i="3"/>
  <c r="AH539" i="3"/>
  <c r="X539" i="3"/>
  <c r="AY184" i="3" s="1"/>
  <c r="AB539" i="3"/>
  <c r="AE539" i="3" s="1"/>
  <c r="AA539" i="3"/>
  <c r="AY190" i="3"/>
  <c r="AH581" i="3"/>
  <c r="AS185" i="3"/>
  <c r="AK257" i="3"/>
  <c r="AM266" i="3"/>
  <c r="AS225" i="3"/>
  <c r="AS35" i="3" s="1"/>
  <c r="AO290" i="3"/>
  <c r="AM205" i="3"/>
  <c r="AK205" i="3" s="1"/>
  <c r="AO244" i="3"/>
  <c r="AK186" i="3"/>
  <c r="AG125" i="3"/>
  <c r="X125" i="3"/>
  <c r="AA125" i="3"/>
  <c r="AE125" i="3" s="1"/>
  <c r="AU138" i="3"/>
  <c r="AA110" i="3"/>
  <c r="AE110" i="3" s="1"/>
  <c r="AH110" i="3"/>
  <c r="AG110" i="3"/>
  <c r="X110" i="3"/>
  <c r="AM254" i="3"/>
  <c r="AK254" i="3" s="1"/>
  <c r="AM290" i="3"/>
  <c r="AB136" i="3"/>
  <c r="AU152" i="3"/>
  <c r="AA136" i="3"/>
  <c r="AG136" i="3"/>
  <c r="Y136" i="3"/>
  <c r="X136" i="3"/>
  <c r="AU146" i="3" s="1"/>
  <c r="AU157" i="3" s="1"/>
  <c r="AE136" i="3"/>
  <c r="BA119" i="3"/>
  <c r="AA77" i="3"/>
  <c r="AE77" i="3" s="1"/>
  <c r="AH77" i="3"/>
  <c r="AG77" i="3"/>
  <c r="X77" i="3"/>
  <c r="AB116" i="3"/>
  <c r="AG51" i="3"/>
  <c r="X51" i="3"/>
  <c r="AA51" i="3"/>
  <c r="AH51" i="3"/>
  <c r="AB108" i="3"/>
  <c r="X93" i="3"/>
  <c r="AG93" i="3"/>
  <c r="AE93" i="3"/>
  <c r="AA93" i="3"/>
  <c r="AG65" i="3"/>
  <c r="X65" i="3"/>
  <c r="AA65" i="3"/>
  <c r="AE65" i="3" s="1"/>
  <c r="AH118" i="3"/>
  <c r="AB125" i="3"/>
  <c r="AA49" i="3"/>
  <c r="AE49" i="3" s="1"/>
  <c r="AG49" i="3"/>
  <c r="X49" i="3"/>
  <c r="AA26" i="3"/>
  <c r="AG26" i="3"/>
  <c r="X26" i="3"/>
  <c r="AE26" i="3"/>
  <c r="AE25" i="3"/>
  <c r="AA25" i="3"/>
  <c r="AG25" i="3"/>
  <c r="X25" i="3"/>
  <c r="AB31" i="3"/>
  <c r="AB83" i="3"/>
  <c r="AB39" i="3"/>
  <c r="AB27" i="3"/>
  <c r="AH22" i="3"/>
  <c r="K358" i="10"/>
  <c r="J358" i="10"/>
  <c r="I358" i="10"/>
  <c r="H358" i="10"/>
  <c r="G358" i="10"/>
  <c r="F358" i="10"/>
  <c r="E358" i="10"/>
  <c r="D358" i="10"/>
  <c r="G311" i="10"/>
  <c r="J311" i="10"/>
  <c r="K311" i="10"/>
  <c r="I311" i="10"/>
  <c r="H311" i="10"/>
  <c r="F311" i="10"/>
  <c r="E311" i="10"/>
  <c r="D311" i="10"/>
  <c r="H279" i="10"/>
  <c r="F279" i="10"/>
  <c r="I279" i="10"/>
  <c r="G279" i="10"/>
  <c r="E279" i="10"/>
  <c r="K279" i="10"/>
  <c r="J279" i="10"/>
  <c r="D279" i="10"/>
  <c r="AS264" i="3"/>
  <c r="AS260" i="3"/>
  <c r="BA223" i="3"/>
  <c r="AQ245" i="3"/>
  <c r="AQ261" i="3"/>
  <c r="AA601" i="3"/>
  <c r="AE601" i="3" s="1"/>
  <c r="AG601" i="3"/>
  <c r="X601" i="3"/>
  <c r="Y601" i="3"/>
  <c r="AB601" i="3"/>
  <c r="X536" i="3"/>
  <c r="AY51" i="3" s="1"/>
  <c r="AB536" i="3"/>
  <c r="AE536" i="3" s="1"/>
  <c r="AA536" i="3"/>
  <c r="AG536" i="3"/>
  <c r="Y536" i="3"/>
  <c r="AY57" i="3"/>
  <c r="AK71" i="3"/>
  <c r="AH536" i="3"/>
  <c r="AK275" i="3"/>
  <c r="AM281" i="3"/>
  <c r="AK110" i="3"/>
  <c r="AO289" i="3"/>
  <c r="AG148" i="3"/>
  <c r="Y148" i="3"/>
  <c r="X148" i="3"/>
  <c r="AA148" i="3"/>
  <c r="AE148" i="3" s="1"/>
  <c r="AA105" i="3"/>
  <c r="AG105" i="3"/>
  <c r="X105" i="3"/>
  <c r="AE105" i="3"/>
  <c r="AA133" i="3"/>
  <c r="AE133" i="3" s="1"/>
  <c r="AG133" i="3"/>
  <c r="X133" i="3"/>
  <c r="AK259" i="3"/>
  <c r="AK230" i="3"/>
  <c r="AM40" i="3"/>
  <c r="AU209" i="3"/>
  <c r="AA141" i="3"/>
  <c r="AE141" i="3" s="1"/>
  <c r="AG141" i="3"/>
  <c r="Y141" i="3"/>
  <c r="X141" i="3"/>
  <c r="AU203" i="3" s="1"/>
  <c r="AU214" i="3" s="1"/>
  <c r="AA75" i="3"/>
  <c r="AE75" i="3" s="1"/>
  <c r="AH75" i="3"/>
  <c r="AG75" i="3"/>
  <c r="X75" i="3"/>
  <c r="AG98" i="3"/>
  <c r="X98" i="3"/>
  <c r="AA98" i="3"/>
  <c r="AE98" i="3" s="1"/>
  <c r="AH98" i="3"/>
  <c r="AB98" i="3"/>
  <c r="AG31" i="3"/>
  <c r="X31" i="3"/>
  <c r="AM145" i="3" s="1"/>
  <c r="AA31" i="3"/>
  <c r="AE31" i="3" s="1"/>
  <c r="AA64" i="3"/>
  <c r="AE64" i="3" s="1"/>
  <c r="AG64" i="3"/>
  <c r="X64" i="3"/>
  <c r="AA76" i="3"/>
  <c r="AE76" i="3" s="1"/>
  <c r="AH76" i="3"/>
  <c r="AG76" i="3"/>
  <c r="X76" i="3"/>
  <c r="AA28" i="3"/>
  <c r="AG28" i="3"/>
  <c r="X28" i="3"/>
  <c r="AE28" i="3"/>
  <c r="AU39" i="3"/>
  <c r="AA87" i="3"/>
  <c r="AH87" i="3"/>
  <c r="AG87" i="3"/>
  <c r="X87" i="3"/>
  <c r="AE87" i="3"/>
  <c r="AH142" i="3"/>
  <c r="AH125" i="3"/>
  <c r="AB54" i="3"/>
  <c r="AE54" i="3" s="1"/>
  <c r="AB33" i="3"/>
  <c r="AB82" i="3"/>
  <c r="AB36" i="3"/>
  <c r="AE36" i="3" s="1"/>
  <c r="AK52" i="3"/>
  <c r="AB9" i="3"/>
  <c r="U24" i="2"/>
  <c r="AA32" i="2"/>
  <c r="U23" i="2" s="1"/>
  <c r="AB32" i="2"/>
  <c r="X23" i="2" s="1"/>
  <c r="X24" i="2"/>
  <c r="AE868" i="3"/>
  <c r="AS265" i="3" s="1"/>
  <c r="BA100" i="3"/>
  <c r="BA32" i="3"/>
  <c r="AQ290" i="3"/>
  <c r="BA176" i="3"/>
  <c r="AW147" i="3"/>
  <c r="AW157" i="3" s="1"/>
  <c r="Y587" i="3"/>
  <c r="AB587" i="3"/>
  <c r="AA587" i="3"/>
  <c r="AE587" i="3" s="1"/>
  <c r="X587" i="3"/>
  <c r="AG587" i="3"/>
  <c r="AW224" i="3"/>
  <c r="AW34" i="3" s="1"/>
  <c r="X569" i="3"/>
  <c r="AY147" i="3" s="1"/>
  <c r="AB569" i="3"/>
  <c r="AA569" i="3"/>
  <c r="AE569" i="3" s="1"/>
  <c r="AG569" i="3"/>
  <c r="Y569" i="3"/>
  <c r="AY153" i="3"/>
  <c r="AB556" i="3"/>
  <c r="AG556" i="3"/>
  <c r="Y556" i="3"/>
  <c r="X556" i="3"/>
  <c r="AY127" i="3" s="1"/>
  <c r="AY138" i="3" s="1"/>
  <c r="AE556" i="3"/>
  <c r="AA556" i="3"/>
  <c r="AY133" i="3"/>
  <c r="AY139" i="3" s="1"/>
  <c r="AB543" i="3"/>
  <c r="AE543" i="3" s="1"/>
  <c r="AA543" i="3"/>
  <c r="AG543" i="3"/>
  <c r="Y543" i="3"/>
  <c r="X543" i="3"/>
  <c r="AY222" i="3" s="1"/>
  <c r="AK91" i="3"/>
  <c r="AK70" i="3"/>
  <c r="AO242" i="3"/>
  <c r="E20" i="5" s="1"/>
  <c r="AM292" i="3"/>
  <c r="AM242" i="3" s="1"/>
  <c r="B20" i="5" s="1"/>
  <c r="AM246" i="3"/>
  <c r="AM286" i="3"/>
  <c r="AG107" i="3"/>
  <c r="X107" i="3"/>
  <c r="AA107" i="3"/>
  <c r="AE107" i="3" s="1"/>
  <c r="AK204" i="3"/>
  <c r="AM284" i="3"/>
  <c r="AG144" i="3"/>
  <c r="Y144" i="3"/>
  <c r="X144" i="3"/>
  <c r="AU222" i="3" s="1"/>
  <c r="AE144" i="3"/>
  <c r="AA144" i="3"/>
  <c r="AA121" i="3"/>
  <c r="AG121" i="3"/>
  <c r="X121" i="3"/>
  <c r="AE121" i="3"/>
  <c r="AM224" i="3"/>
  <c r="AM146" i="3"/>
  <c r="AK146" i="3" s="1"/>
  <c r="AA151" i="3"/>
  <c r="AG151" i="3"/>
  <c r="Y151" i="3"/>
  <c r="X151" i="3"/>
  <c r="AE151" i="3"/>
  <c r="AA116" i="3"/>
  <c r="AE116" i="3" s="1"/>
  <c r="AG116" i="3"/>
  <c r="X116" i="3"/>
  <c r="AA41" i="3"/>
  <c r="AE41" i="3" s="1"/>
  <c r="AH41" i="3"/>
  <c r="AG41" i="3"/>
  <c r="X41" i="3"/>
  <c r="AH105" i="3"/>
  <c r="AB151" i="3"/>
  <c r="AH91" i="3"/>
  <c r="AG91" i="3"/>
  <c r="X91" i="3"/>
  <c r="AA91" i="3"/>
  <c r="AE91" i="3" s="1"/>
  <c r="AG57" i="3"/>
  <c r="X57" i="3"/>
  <c r="AA57" i="3"/>
  <c r="AE57" i="3" s="1"/>
  <c r="AH103" i="3"/>
  <c r="AA29" i="3"/>
  <c r="AE29" i="3" s="1"/>
  <c r="AG29" i="3"/>
  <c r="X29" i="3"/>
  <c r="AH122" i="3"/>
  <c r="AA86" i="3"/>
  <c r="AG86" i="3"/>
  <c r="X86" i="3"/>
  <c r="AE86" i="3"/>
  <c r="AA79" i="3"/>
  <c r="AE79" i="3" s="1"/>
  <c r="AG79" i="3"/>
  <c r="X79" i="3"/>
  <c r="AM183" i="3" s="1"/>
  <c r="AH141" i="3"/>
  <c r="AE69" i="3"/>
  <c r="AA69" i="3"/>
  <c r="AG69" i="3"/>
  <c r="X69" i="3"/>
  <c r="AB51" i="3"/>
  <c r="AE51" i="3" s="1"/>
  <c r="AB96" i="3"/>
  <c r="AE96" i="3" s="1"/>
  <c r="AH16" i="3"/>
  <c r="AH86" i="3"/>
  <c r="AH20" i="3"/>
  <c r="AB77" i="3"/>
  <c r="AB44" i="3"/>
  <c r="AB66" i="3"/>
  <c r="AH65" i="3"/>
  <c r="AH44" i="3"/>
  <c r="AA8" i="3"/>
  <c r="AG8" i="3"/>
  <c r="X8" i="3"/>
  <c r="AE8" i="3"/>
  <c r="AM94" i="3"/>
  <c r="J11" i="2"/>
  <c r="K294" i="10"/>
  <c r="H294" i="10"/>
  <c r="G294" i="10"/>
  <c r="F294" i="10"/>
  <c r="D294" i="10"/>
  <c r="I294" i="10"/>
  <c r="E294" i="10"/>
  <c r="J294" i="10"/>
  <c r="J37" i="5"/>
  <c r="Z9" i="2"/>
  <c r="V16" i="2"/>
  <c r="AC9" i="2"/>
  <c r="O16" i="2"/>
  <c r="V9" i="2"/>
  <c r="AS292" i="3"/>
  <c r="AS242" i="3" s="1"/>
  <c r="AQ270" i="3"/>
  <c r="BA138" i="3"/>
  <c r="AW33" i="3"/>
  <c r="AQ286" i="3"/>
  <c r="AQ284" i="3"/>
  <c r="AG585" i="3"/>
  <c r="Y585" i="3"/>
  <c r="X585" i="3"/>
  <c r="AQ222" i="3" s="1"/>
  <c r="AA585" i="3"/>
  <c r="AE585" i="3" s="1"/>
  <c r="AB585" i="3"/>
  <c r="AQ228" i="3"/>
  <c r="AB567" i="3"/>
  <c r="AE567" i="3" s="1"/>
  <c r="AA567" i="3"/>
  <c r="Y567" i="3"/>
  <c r="AG567" i="3"/>
  <c r="X567" i="3"/>
  <c r="AY185" i="3" s="1"/>
  <c r="AY191" i="3"/>
  <c r="AK191" i="3" s="1"/>
  <c r="AB581" i="3"/>
  <c r="AE581" i="3" s="1"/>
  <c r="AS223" i="3"/>
  <c r="AS233" i="3" s="1"/>
  <c r="AK73" i="3"/>
  <c r="AO281" i="3"/>
  <c r="AO280" i="3"/>
  <c r="AK280" i="3" s="1"/>
  <c r="AM249" i="3"/>
  <c r="AK249" i="3" s="1"/>
  <c r="AU33" i="3"/>
  <c r="AG120" i="3"/>
  <c r="X120" i="3"/>
  <c r="AA120" i="3"/>
  <c r="AE120" i="3" s="1"/>
  <c r="AH120" i="3"/>
  <c r="AA115" i="3"/>
  <c r="AE115" i="3" s="1"/>
  <c r="AH115" i="3"/>
  <c r="AG115" i="3"/>
  <c r="X115" i="3"/>
  <c r="AA127" i="3"/>
  <c r="AH127" i="3"/>
  <c r="AG127" i="3"/>
  <c r="X127" i="3"/>
  <c r="AE127" i="3"/>
  <c r="AA108" i="3"/>
  <c r="AE108" i="3" s="1"/>
  <c r="AG108" i="3"/>
  <c r="X108" i="3"/>
  <c r="AK298" i="3"/>
  <c r="AM269" i="3"/>
  <c r="AB154" i="3"/>
  <c r="AA154" i="3"/>
  <c r="AE154" i="3" s="1"/>
  <c r="AG154" i="3"/>
  <c r="Y154" i="3"/>
  <c r="X154" i="3"/>
  <c r="AK128" i="3"/>
  <c r="AU228" i="3"/>
  <c r="AU234" i="3" s="1"/>
  <c r="AG22" i="3"/>
  <c r="X22" i="3"/>
  <c r="AE22" i="3"/>
  <c r="AA22" i="3"/>
  <c r="AH148" i="3"/>
  <c r="AH121" i="3"/>
  <c r="AA88" i="3"/>
  <c r="AE88" i="3" s="1"/>
  <c r="AG88" i="3"/>
  <c r="X88" i="3"/>
  <c r="AA19" i="3"/>
  <c r="AE19" i="3" s="1"/>
  <c r="AG19" i="3"/>
  <c r="X19" i="3"/>
  <c r="AM107" i="3" s="1"/>
  <c r="AB106" i="3"/>
  <c r="AA7" i="3"/>
  <c r="AE7" i="3" s="1"/>
  <c r="X7" i="3"/>
  <c r="AG7" i="3"/>
  <c r="AB7" i="3"/>
  <c r="AH140" i="3"/>
  <c r="AH107" i="3"/>
  <c r="AM208" i="3"/>
  <c r="AA15" i="3"/>
  <c r="AE15" i="3" s="1"/>
  <c r="AG15" i="3"/>
  <c r="X15" i="3"/>
  <c r="AM202" i="3" s="1"/>
  <c r="AH29" i="3"/>
  <c r="AM113" i="3"/>
  <c r="AB41" i="3"/>
  <c r="AH57" i="3"/>
  <c r="AB79" i="3"/>
  <c r="AH19" i="3"/>
  <c r="AB76" i="3"/>
  <c r="AH47" i="3"/>
  <c r="AH64" i="3"/>
  <c r="AL44" i="3"/>
  <c r="AH8" i="3"/>
  <c r="AB15" i="3"/>
  <c r="AS291" i="3"/>
  <c r="AS254" i="3"/>
  <c r="AS239" i="3" s="1"/>
  <c r="K17" i="5" s="1"/>
  <c r="AE849" i="3"/>
  <c r="AS280" i="3" s="1"/>
  <c r="AK285" i="3" s="1"/>
  <c r="BA35" i="3"/>
  <c r="AQ246" i="3"/>
  <c r="BA224" i="3"/>
  <c r="BA34" i="3" s="1"/>
  <c r="AW176" i="3"/>
  <c r="AW214" i="3"/>
  <c r="AQ266" i="3"/>
  <c r="AG576" i="3"/>
  <c r="Y576" i="3"/>
  <c r="X576" i="3"/>
  <c r="AY223" i="3" s="1"/>
  <c r="AB576" i="3"/>
  <c r="AA576" i="3"/>
  <c r="AE576" i="3" s="1"/>
  <c r="AY229" i="3"/>
  <c r="AK229" i="3" s="1"/>
  <c r="AW195" i="3"/>
  <c r="AQ269" i="3"/>
  <c r="AB565" i="3"/>
  <c r="AA565" i="3"/>
  <c r="AE565" i="3" s="1"/>
  <c r="Y565" i="3"/>
  <c r="AG565" i="3"/>
  <c r="X565" i="3"/>
  <c r="AY225" i="3" s="1"/>
  <c r="AY35" i="3" s="1"/>
  <c r="AY231" i="3"/>
  <c r="AY41" i="3" s="1"/>
  <c r="AA537" i="3"/>
  <c r="AE537" i="3" s="1"/>
  <c r="AH537" i="3"/>
  <c r="Y537" i="3"/>
  <c r="AG537" i="3"/>
  <c r="X537" i="3"/>
  <c r="AY108" i="3" s="1"/>
  <c r="AB537" i="3"/>
  <c r="AY114" i="3"/>
  <c r="AG600" i="3"/>
  <c r="X600" i="3"/>
  <c r="AQ225" i="3" s="1"/>
  <c r="AQ35" i="3" s="1"/>
  <c r="AE600" i="3"/>
  <c r="Y600" i="3"/>
  <c r="AA600" i="3"/>
  <c r="AQ231" i="3"/>
  <c r="AS109" i="3"/>
  <c r="AS166" i="3"/>
  <c r="AK287" i="3"/>
  <c r="AO265" i="3"/>
  <c r="AS53" i="3"/>
  <c r="AS34" i="3" s="1"/>
  <c r="AM53" i="3"/>
  <c r="AM270" i="3"/>
  <c r="AH131" i="3"/>
  <c r="AG131" i="3"/>
  <c r="X131" i="3"/>
  <c r="AE131" i="3"/>
  <c r="AA131" i="3"/>
  <c r="AA124" i="3"/>
  <c r="AE124" i="3" s="1"/>
  <c r="AH124" i="3"/>
  <c r="AG124" i="3"/>
  <c r="X124" i="3"/>
  <c r="AK267" i="3"/>
  <c r="AM38" i="3"/>
  <c r="AB146" i="3"/>
  <c r="AA146" i="3"/>
  <c r="AE146" i="3" s="1"/>
  <c r="AG146" i="3"/>
  <c r="Y146" i="3"/>
  <c r="X146" i="3"/>
  <c r="AU89" i="3" s="1"/>
  <c r="AU100" i="3" s="1"/>
  <c r="AU95" i="3"/>
  <c r="AL138" i="3"/>
  <c r="D32" i="2" s="1"/>
  <c r="AG104" i="3"/>
  <c r="X104" i="3"/>
  <c r="AA104" i="3"/>
  <c r="AE104" i="3" s="1"/>
  <c r="AM265" i="3"/>
  <c r="AM127" i="3"/>
  <c r="AB113" i="3"/>
  <c r="AE113" i="3" s="1"/>
  <c r="AM227" i="3"/>
  <c r="AA14" i="3"/>
  <c r="AE14" i="3" s="1"/>
  <c r="AH14" i="3"/>
  <c r="AG14" i="3"/>
  <c r="X14" i="3"/>
  <c r="AH146" i="3"/>
  <c r="AH151" i="3"/>
  <c r="AH144" i="3"/>
  <c r="AA52" i="3"/>
  <c r="AE52" i="3" s="1"/>
  <c r="AG52" i="3"/>
  <c r="X52" i="3"/>
  <c r="AU225" i="3"/>
  <c r="AU35" i="3" s="1"/>
  <c r="AB131" i="3"/>
  <c r="AU120" i="3"/>
  <c r="AH154" i="3"/>
  <c r="AA18" i="3"/>
  <c r="AE18" i="3" s="1"/>
  <c r="AH18" i="3"/>
  <c r="AG18" i="3"/>
  <c r="X18" i="3"/>
  <c r="AH136" i="3"/>
  <c r="AE101" i="3"/>
  <c r="AA101" i="3"/>
  <c r="X101" i="3"/>
  <c r="AH101" i="3"/>
  <c r="AG101" i="3"/>
  <c r="AB101" i="3"/>
  <c r="AH28" i="3"/>
  <c r="AB91" i="3"/>
  <c r="AH35" i="3"/>
  <c r="AB88" i="3"/>
  <c r="AM164" i="3"/>
  <c r="AB75" i="3"/>
  <c r="AM189" i="3"/>
  <c r="AB37" i="3"/>
  <c r="AH82" i="3"/>
  <c r="AE5" i="3"/>
  <c r="AG5" i="3"/>
  <c r="X5" i="3"/>
  <c r="AM50" i="3" s="1"/>
  <c r="AB5" i="3"/>
  <c r="AA5" i="3"/>
  <c r="AB35" i="3"/>
  <c r="AE35" i="3" s="1"/>
  <c r="AB14" i="3"/>
  <c r="AM32" i="3" l="1"/>
  <c r="AK260" i="3"/>
  <c r="AK281" i="3"/>
  <c r="AK270" i="3"/>
  <c r="K7" i="5"/>
  <c r="AC33" i="2"/>
  <c r="AC31" i="2"/>
  <c r="AK265" i="3"/>
  <c r="AY233" i="3"/>
  <c r="AK261" i="3"/>
  <c r="L22" i="2"/>
  <c r="K22" i="2"/>
  <c r="AQ234" i="3"/>
  <c r="AU233" i="3"/>
  <c r="AK269" i="3"/>
  <c r="AK224" i="3"/>
  <c r="AM241" i="3"/>
  <c r="B19" i="5" s="1"/>
  <c r="D19" i="5" s="1"/>
  <c r="AS33" i="3"/>
  <c r="C18" i="2" s="1"/>
  <c r="C20" i="5"/>
  <c r="D20" i="5"/>
  <c r="AQ233" i="3"/>
  <c r="AK222" i="3"/>
  <c r="K20" i="5"/>
  <c r="AK247" i="3"/>
  <c r="AY33" i="3"/>
  <c r="AM157" i="3"/>
  <c r="AK145" i="3"/>
  <c r="AM195" i="3"/>
  <c r="AK183" i="3"/>
  <c r="L17" i="5"/>
  <c r="M17" i="5"/>
  <c r="AM62" i="3"/>
  <c r="AK50" i="3"/>
  <c r="AM119" i="3"/>
  <c r="AK107" i="3"/>
  <c r="AS240" i="3"/>
  <c r="I20" i="5"/>
  <c r="J20" i="5"/>
  <c r="AK94" i="3"/>
  <c r="AM101" i="3"/>
  <c r="AU215" i="3"/>
  <c r="AK209" i="3"/>
  <c r="AY62" i="3"/>
  <c r="AY32" i="3"/>
  <c r="AQ240" i="3"/>
  <c r="H18" i="5" s="1"/>
  <c r="AK75" i="3"/>
  <c r="AM82" i="3"/>
  <c r="AK90" i="3"/>
  <c r="AS100" i="3"/>
  <c r="BA33" i="3"/>
  <c r="BA43" i="3" s="1"/>
  <c r="AK203" i="3"/>
  <c r="AK291" i="3"/>
  <c r="AM234" i="3"/>
  <c r="AK227" i="3"/>
  <c r="U8" i="2"/>
  <c r="C19" i="5"/>
  <c r="U10" i="2"/>
  <c r="B9" i="5" s="1"/>
  <c r="AK40" i="3"/>
  <c r="I9" i="2" s="1"/>
  <c r="AQ239" i="3"/>
  <c r="H17" i="5" s="1"/>
  <c r="AM240" i="3"/>
  <c r="B18" i="5" s="1"/>
  <c r="AS157" i="3"/>
  <c r="AK147" i="3"/>
  <c r="AQ139" i="3"/>
  <c r="AK133" i="3"/>
  <c r="AK35" i="3"/>
  <c r="C10" i="2" s="1"/>
  <c r="C16" i="2"/>
  <c r="AO43" i="3"/>
  <c r="AK292" i="3"/>
  <c r="AK304" i="3"/>
  <c r="AK303" i="3"/>
  <c r="AK89" i="3"/>
  <c r="AK51" i="3"/>
  <c r="AU101" i="3"/>
  <c r="AU38" i="3"/>
  <c r="AM88" i="3"/>
  <c r="AK284" i="3"/>
  <c r="AK289" i="3"/>
  <c r="AY38" i="3"/>
  <c r="AY63" i="3"/>
  <c r="AK57" i="3"/>
  <c r="AK63" i="3" s="1"/>
  <c r="I28" i="2" s="1"/>
  <c r="AQ82" i="3"/>
  <c r="AQ38" i="3"/>
  <c r="AK76" i="3"/>
  <c r="AK225" i="3"/>
  <c r="AY157" i="3"/>
  <c r="AK184" i="3"/>
  <c r="AY120" i="3"/>
  <c r="AK114" i="3"/>
  <c r="AK127" i="3"/>
  <c r="AQ41" i="3"/>
  <c r="AK41" i="3" s="1"/>
  <c r="I10" i="2" s="1"/>
  <c r="AK231" i="3"/>
  <c r="AY195" i="3"/>
  <c r="AM177" i="3"/>
  <c r="AK170" i="3"/>
  <c r="AM239" i="3"/>
  <c r="B17" i="5" s="1"/>
  <c r="AK276" i="3"/>
  <c r="AK166" i="3"/>
  <c r="AS176" i="3"/>
  <c r="AM215" i="3"/>
  <c r="AK208" i="3"/>
  <c r="AM221" i="3"/>
  <c r="AK113" i="3"/>
  <c r="AK120" i="3" s="1"/>
  <c r="I31" i="2" s="1"/>
  <c r="AM120" i="3"/>
  <c r="F20" i="5"/>
  <c r="G20" i="5"/>
  <c r="AU158" i="3"/>
  <c r="AK152" i="3"/>
  <c r="AK244" i="3"/>
  <c r="AO239" i="3"/>
  <c r="E17" i="5" s="1"/>
  <c r="AK266" i="3"/>
  <c r="J36" i="5"/>
  <c r="V8" i="2"/>
  <c r="AC8" i="2"/>
  <c r="V15" i="2"/>
  <c r="R6" i="2"/>
  <c r="R13" i="2" s="1"/>
  <c r="Z8" i="2"/>
  <c r="O15" i="2"/>
  <c r="AK223" i="3"/>
  <c r="AU32" i="3"/>
  <c r="AM126" i="3"/>
  <c r="AW233" i="3"/>
  <c r="BA233" i="3"/>
  <c r="J38" i="2"/>
  <c r="D38" i="2"/>
  <c r="AK165" i="3"/>
  <c r="AS119" i="3"/>
  <c r="AK109" i="3"/>
  <c r="AM196" i="3"/>
  <c r="AK189" i="3"/>
  <c r="AY119" i="3"/>
  <c r="AK108" i="3"/>
  <c r="AM34" i="3"/>
  <c r="AK34" i="3" s="1"/>
  <c r="C9" i="2" s="1"/>
  <c r="AK53" i="3"/>
  <c r="AQ241" i="3"/>
  <c r="H19" i="5" s="1"/>
  <c r="X26" i="2"/>
  <c r="X25" i="2"/>
  <c r="AS195" i="3"/>
  <c r="AK185" i="3"/>
  <c r="AS62" i="3"/>
  <c r="AK164" i="3"/>
  <c r="AM176" i="3"/>
  <c r="AM214" i="3"/>
  <c r="AK202" i="3"/>
  <c r="AK214" i="3" s="1"/>
  <c r="C36" i="2" s="1"/>
  <c r="AY39" i="3"/>
  <c r="AK39" i="3" s="1"/>
  <c r="I8" i="2" s="1"/>
  <c r="AK153" i="3"/>
  <c r="AY158" i="3"/>
  <c r="U25" i="2"/>
  <c r="U26" i="2"/>
  <c r="AW43" i="3"/>
  <c r="C20" i="2"/>
  <c r="J39" i="5"/>
  <c r="AC11" i="2"/>
  <c r="O18" i="2"/>
  <c r="V11" i="2"/>
  <c r="V18" i="2"/>
  <c r="Z11" i="2"/>
  <c r="AM69" i="3"/>
  <c r="AK228" i="3"/>
  <c r="AQ177" i="3"/>
  <c r="AK171" i="3"/>
  <c r="J38" i="5"/>
  <c r="O17" i="2"/>
  <c r="AC10" i="2"/>
  <c r="Z10" i="2"/>
  <c r="V17" i="2"/>
  <c r="AM37" i="3"/>
  <c r="AO240" i="3"/>
  <c r="E18" i="5" s="1"/>
  <c r="AK290" i="3"/>
  <c r="AY196" i="3"/>
  <c r="AY234" i="3"/>
  <c r="AQ101" i="3"/>
  <c r="AK95" i="3"/>
  <c r="AS241" i="3"/>
  <c r="K19" i="5" s="1"/>
  <c r="AK286" i="3"/>
  <c r="AQ81" i="3"/>
  <c r="AQ32" i="3"/>
  <c r="AM139" i="3"/>
  <c r="AK132" i="3"/>
  <c r="AK139" i="3" s="1"/>
  <c r="I32" i="2" s="1"/>
  <c r="AO241" i="3"/>
  <c r="E19" i="5" s="1"/>
  <c r="AK190" i="3"/>
  <c r="V10" i="2" l="1"/>
  <c r="AM31" i="3"/>
  <c r="AM43" i="3" s="1"/>
  <c r="AS43" i="3"/>
  <c r="AK33" i="3"/>
  <c r="C8" i="2" s="1"/>
  <c r="AK246" i="3"/>
  <c r="AK241" i="3" s="1"/>
  <c r="AK176" i="3"/>
  <c r="C34" i="2" s="1"/>
  <c r="E34" i="2" s="1"/>
  <c r="AK158" i="3"/>
  <c r="I33" i="2" s="1"/>
  <c r="AK239" i="3"/>
  <c r="AC32" i="2"/>
  <c r="Z23" i="2" s="1"/>
  <c r="Z24" i="2"/>
  <c r="W13" i="2"/>
  <c r="L7" i="5"/>
  <c r="L11" i="5" s="1"/>
  <c r="L12" i="5" s="1"/>
  <c r="E37" i="5" s="1"/>
  <c r="M7" i="5"/>
  <c r="M11" i="5" s="1"/>
  <c r="M12" i="5" s="1"/>
  <c r="D37" i="5" s="1"/>
  <c r="L33" i="2"/>
  <c r="K33" i="2"/>
  <c r="AK31" i="3"/>
  <c r="C15" i="2"/>
  <c r="L28" i="2"/>
  <c r="K28" i="2"/>
  <c r="F8" i="2"/>
  <c r="E8" i="2"/>
  <c r="F20" i="2"/>
  <c r="E20" i="2"/>
  <c r="AQ44" i="3"/>
  <c r="I17" i="2"/>
  <c r="C17" i="5"/>
  <c r="D17" i="5"/>
  <c r="L20" i="5"/>
  <c r="M20" i="5"/>
  <c r="AQ43" i="3"/>
  <c r="C17" i="2"/>
  <c r="I19" i="5"/>
  <c r="J19" i="5"/>
  <c r="L31" i="2"/>
  <c r="K31" i="2"/>
  <c r="AK177" i="3"/>
  <c r="I34" i="2" s="1"/>
  <c r="K18" i="5"/>
  <c r="AK245" i="3"/>
  <c r="AK240" i="3" s="1"/>
  <c r="AK32" i="3"/>
  <c r="C7" i="2" s="1"/>
  <c r="AK221" i="3"/>
  <c r="AK233" i="3" s="1"/>
  <c r="C37" i="2" s="1"/>
  <c r="AM233" i="3"/>
  <c r="AY44" i="3"/>
  <c r="I21" i="2"/>
  <c r="AK38" i="3"/>
  <c r="I7" i="2" s="1"/>
  <c r="C22" i="2"/>
  <c r="AK119" i="3"/>
  <c r="C31" i="2" s="1"/>
  <c r="AK195" i="3"/>
  <c r="C35" i="2" s="1"/>
  <c r="L8" i="2"/>
  <c r="K8" i="2"/>
  <c r="U33" i="2" s="1"/>
  <c r="AU43" i="3"/>
  <c r="C19" i="2"/>
  <c r="AM44" i="3"/>
  <c r="AK37" i="3"/>
  <c r="I15" i="2"/>
  <c r="F9" i="2"/>
  <c r="E9" i="2"/>
  <c r="Z6" i="2"/>
  <c r="AK215" i="3"/>
  <c r="I36" i="2" s="1"/>
  <c r="B7" i="5"/>
  <c r="Z31" i="2"/>
  <c r="Z33" i="2"/>
  <c r="F19" i="5"/>
  <c r="G19" i="5"/>
  <c r="L10" i="2"/>
  <c r="K10" i="2"/>
  <c r="U35" i="2" s="1"/>
  <c r="L32" i="2"/>
  <c r="K32" i="2"/>
  <c r="K40" i="5"/>
  <c r="K41" i="5" s="1"/>
  <c r="I11" i="5"/>
  <c r="I12" i="5" s="1"/>
  <c r="E36" i="5" s="1"/>
  <c r="F11" i="5"/>
  <c r="F12" i="5" s="1"/>
  <c r="J11" i="5"/>
  <c r="J12" i="5" s="1"/>
  <c r="D36" i="5" s="1"/>
  <c r="G11" i="5"/>
  <c r="G12" i="5" s="1"/>
  <c r="F18" i="5"/>
  <c r="G18" i="5"/>
  <c r="F17" i="5"/>
  <c r="G17" i="5"/>
  <c r="G21" i="5" s="1"/>
  <c r="G22" i="5" s="1"/>
  <c r="L19" i="5"/>
  <c r="M19" i="5"/>
  <c r="F36" i="2"/>
  <c r="E36" i="2"/>
  <c r="C18" i="5"/>
  <c r="D18" i="5"/>
  <c r="AK234" i="3"/>
  <c r="I37" i="2" s="1"/>
  <c r="AK82" i="3"/>
  <c r="I29" i="2" s="1"/>
  <c r="AK157" i="3"/>
  <c r="C33" i="2" s="1"/>
  <c r="AM100" i="3"/>
  <c r="AK88" i="3"/>
  <c r="AK100" i="3" s="1"/>
  <c r="C30" i="2" s="1"/>
  <c r="I17" i="5"/>
  <c r="J17" i="5"/>
  <c r="I18" i="5"/>
  <c r="J18" i="5"/>
  <c r="AK101" i="3"/>
  <c r="I30" i="2" s="1"/>
  <c r="AK62" i="3"/>
  <c r="C28" i="2" s="1"/>
  <c r="AM81" i="3"/>
  <c r="AK69" i="3"/>
  <c r="AK81" i="3" s="1"/>
  <c r="C29" i="2" s="1"/>
  <c r="AK196" i="3"/>
  <c r="I35" i="2" s="1"/>
  <c r="AC6" i="2"/>
  <c r="AU44" i="3"/>
  <c r="I19" i="2"/>
  <c r="F16" i="2"/>
  <c r="E16" i="2"/>
  <c r="L9" i="2"/>
  <c r="K9" i="2"/>
  <c r="U34" i="2" s="1"/>
  <c r="AY43" i="3"/>
  <c r="C21" i="2"/>
  <c r="AM138" i="3"/>
  <c r="AK126" i="3"/>
  <c r="AK138" i="3" s="1"/>
  <c r="C32" i="2" s="1"/>
  <c r="W6" i="2"/>
  <c r="F10" i="2"/>
  <c r="E10" i="2"/>
  <c r="C9" i="5"/>
  <c r="D9" i="5"/>
  <c r="AK242" i="3"/>
  <c r="F18" i="2"/>
  <c r="E18" i="2"/>
  <c r="F34" i="2" l="1"/>
  <c r="I38" i="2"/>
  <c r="L38" i="2" s="1"/>
  <c r="Z26" i="2"/>
  <c r="Z25" i="2"/>
  <c r="F21" i="5"/>
  <c r="F22" i="5" s="1"/>
  <c r="F32" i="2"/>
  <c r="E32" i="2"/>
  <c r="F37" i="2"/>
  <c r="E37" i="2"/>
  <c r="L19" i="2"/>
  <c r="K19" i="2"/>
  <c r="R27" i="2"/>
  <c r="Z27" i="2" s="1"/>
  <c r="F35" i="2"/>
  <c r="E35" i="2"/>
  <c r="F7" i="2"/>
  <c r="E7" i="2"/>
  <c r="F17" i="2"/>
  <c r="E17" i="2"/>
  <c r="F21" i="2"/>
  <c r="E21" i="2"/>
  <c r="J21" i="5"/>
  <c r="J22" i="5" s="1"/>
  <c r="F36" i="5" s="1"/>
  <c r="L15" i="2"/>
  <c r="I24" i="2"/>
  <c r="L24" i="2" s="1"/>
  <c r="K15" i="2"/>
  <c r="F31" i="2"/>
  <c r="E31" i="2"/>
  <c r="L17" i="2"/>
  <c r="K17" i="2"/>
  <c r="C38" i="2"/>
  <c r="F28" i="2"/>
  <c r="E28" i="2"/>
  <c r="L35" i="2"/>
  <c r="K35" i="2"/>
  <c r="I21" i="5"/>
  <c r="I22" i="5" s="1"/>
  <c r="G36" i="5" s="1"/>
  <c r="Z32" i="2"/>
  <c r="R23" i="2" s="1"/>
  <c r="R24" i="2"/>
  <c r="I6" i="2"/>
  <c r="AK44" i="3"/>
  <c r="F22" i="2"/>
  <c r="E22" i="2"/>
  <c r="L18" i="5"/>
  <c r="L21" i="5" s="1"/>
  <c r="L22" i="5" s="1"/>
  <c r="G37" i="5" s="1"/>
  <c r="M18" i="5"/>
  <c r="M21" i="5" s="1"/>
  <c r="M22" i="5" s="1"/>
  <c r="F37" i="5" s="1"/>
  <c r="C24" i="2"/>
  <c r="F15" i="2"/>
  <c r="E15" i="2"/>
  <c r="F30" i="2"/>
  <c r="E30" i="2"/>
  <c r="C7" i="5"/>
  <c r="C11" i="5" s="1"/>
  <c r="C12" i="5" s="1"/>
  <c r="E34" i="5" s="1"/>
  <c r="D7" i="5"/>
  <c r="D11" i="5" s="1"/>
  <c r="D12" i="5" s="1"/>
  <c r="D34" i="5" s="1"/>
  <c r="L7" i="2"/>
  <c r="K7" i="2"/>
  <c r="U32" i="2" s="1"/>
  <c r="L34" i="2"/>
  <c r="K34" i="2"/>
  <c r="AK43" i="3"/>
  <c r="C6" i="2"/>
  <c r="F33" i="2"/>
  <c r="E33" i="2"/>
  <c r="L37" i="2"/>
  <c r="K37" i="2"/>
  <c r="F29" i="2"/>
  <c r="E29" i="2"/>
  <c r="L36" i="2"/>
  <c r="K36" i="2"/>
  <c r="F19" i="2"/>
  <c r="E19" i="2"/>
  <c r="L21" i="2"/>
  <c r="K21" i="2"/>
  <c r="D21" i="5"/>
  <c r="D22" i="5" s="1"/>
  <c r="F34" i="5" s="1"/>
  <c r="L30" i="2"/>
  <c r="K30" i="2"/>
  <c r="L29" i="2"/>
  <c r="K29" i="2"/>
  <c r="C21" i="5"/>
  <c r="C22" i="5" s="1"/>
  <c r="G34" i="5" s="1"/>
  <c r="K38" i="2" l="1"/>
  <c r="R25" i="2"/>
  <c r="R26" i="2"/>
  <c r="F24" i="2"/>
  <c r="E24" i="2"/>
  <c r="E46" i="5"/>
  <c r="E45" i="5"/>
  <c r="K24" i="2"/>
  <c r="D45" i="5"/>
  <c r="D46" i="5"/>
  <c r="C11" i="2"/>
  <c r="F6" i="2"/>
  <c r="E6" i="2"/>
  <c r="G46" i="5"/>
  <c r="G45" i="5"/>
  <c r="I11" i="2"/>
  <c r="L6" i="2"/>
  <c r="K6" i="2"/>
  <c r="U31" i="2" s="1"/>
  <c r="U36" i="2" s="1"/>
  <c r="I18" i="1" s="1"/>
  <c r="F38" i="2"/>
  <c r="E38" i="2"/>
  <c r="F46" i="5"/>
  <c r="F45" i="5"/>
  <c r="D47" i="5" l="1"/>
  <c r="G26" i="5" s="1"/>
  <c r="D49" i="5"/>
  <c r="G49" i="5"/>
  <c r="G47" i="5"/>
  <c r="K27" i="5" s="1"/>
  <c r="L11" i="2"/>
  <c r="K11" i="2"/>
  <c r="E47" i="5"/>
  <c r="G27" i="5" s="1"/>
  <c r="E49" i="5"/>
  <c r="E50" i="5"/>
  <c r="E48" i="5"/>
  <c r="G50" i="5"/>
  <c r="G48" i="5"/>
  <c r="F47" i="5"/>
  <c r="K26" i="5" s="1"/>
  <c r="F49" i="5"/>
  <c r="F50" i="5"/>
  <c r="F48" i="5"/>
  <c r="F11" i="2"/>
  <c r="E11" i="2"/>
  <c r="D48" i="5"/>
  <c r="D50" i="5"/>
  <c r="E51" i="5" l="1"/>
  <c r="H27" i="5" s="1"/>
  <c r="F51" i="5"/>
  <c r="L26" i="5" s="1"/>
  <c r="G51" i="5"/>
  <c r="L27" i="5" s="1"/>
  <c r="D51" i="5"/>
  <c r="H26" i="5" s="1"/>
</calcChain>
</file>

<file path=xl/comments1.xml><?xml version="1.0" encoding="utf-8"?>
<comments xmlns="http://schemas.openxmlformats.org/spreadsheetml/2006/main">
  <authors>
    <author/>
  </authors>
  <commentList>
    <comment ref="C7" authorId="0">
      <text>
        <r>
          <rPr>
            <sz val="10"/>
            <color rgb="FF000000"/>
            <rFont val="Arial"/>
          </rPr>
          <t>Heroes level from 1-60 with 1-10 being Basic Class cards and 10-60 being Golden Basic Neutral Cards.</t>
        </r>
      </text>
    </comment>
    <comment ref="F7" authorId="0">
      <text>
        <r>
          <rPr>
            <sz val="10"/>
            <color rgb="FF000000"/>
            <rFont val="Arial"/>
          </rPr>
          <t>500 wins gives you a Golden Hero Power and Portrait.</t>
        </r>
      </text>
    </comment>
    <comment ref="I7" authorId="0">
      <text>
        <r>
          <rPr>
            <sz val="10"/>
            <color rgb="FF000000"/>
            <rFont val="Arial"/>
          </rPr>
          <t>Requires some manual entry but lets you know the max possible dust you can currently have.</t>
        </r>
      </text>
    </comment>
    <comment ref="J9" authorId="0">
      <text>
        <r>
          <rPr>
            <sz val="10"/>
            <color rgb="FF000000"/>
            <rFont val="Arial"/>
          </rPr>
          <t>Look at your dust total and write your current dust</t>
        </r>
      </text>
    </comment>
    <comment ref="J10" authorId="0">
      <text>
        <r>
          <rPr>
            <sz val="10"/>
            <color rgb="FF000000"/>
            <rFont val="Arial"/>
          </rPr>
          <t>Click your crafting button and see what your extra card copies will give you in dust.</t>
        </r>
      </text>
    </comment>
    <comment ref="I11" authorId="0">
      <text>
        <r>
          <rPr>
            <sz val="10"/>
            <color rgb="FF000000"/>
            <rFont val="Arial"/>
          </rPr>
          <t>Type in your gold balance.  Average pack value is 102 dust with no new cards so that is the baseline.  Helps if you are saving up gold between Expansions.</t>
        </r>
      </text>
    </comment>
    <comment ref="J12" authorId="0">
      <text>
        <r>
          <rPr>
            <sz val="10"/>
            <color rgb="FF000000"/>
            <rFont val="Arial"/>
          </rPr>
          <t xml:space="preserve">DON'T ENTER DATA HERE. NOT INCLUDED IN TOTAL DUST BY DEFAULT. 
When you have max playable copies, automatically takes dust value of any remaining gold cards (even if 2). I.E. You have 2 normal and 1 gold copy of a card.  Hearthstone wouldn't count to d/e the gold card but this would as you have max playable copies.  Inversely, if you had 2 Gold and 1 Normal, it would only d/e 1 Gold as you need the other copy for the max 2 copies.
Put to 0 if you don't want it factoring into further caluclations like time/money/card packs.
</t>
        </r>
      </text>
    </comment>
    <comment ref="J15" authorId="0">
      <text>
        <r>
          <rPr>
            <sz val="10"/>
            <color rgb="FF000000"/>
            <rFont val="Arial"/>
          </rPr>
          <t>Self-explanatory.  The sum of the previous dust totals except (Auto) Extra Gold Playable Cards.  You can factor that in easily if you want.</t>
        </r>
      </text>
    </comment>
    <comment ref="I17" authorId="0">
      <text>
        <r>
          <rPr>
            <sz val="10"/>
            <color rgb="FF000000"/>
            <rFont val="Arial"/>
          </rPr>
          <t>This is the max dust you will need.  This assumes you never open a new card 
and have to craft everything purely from dusted cards.</t>
        </r>
      </text>
    </comment>
    <comment ref="L18" authorId="0">
      <text>
        <r>
          <rPr>
            <sz val="10"/>
            <color rgb="FF000000"/>
            <rFont val="Arial"/>
          </rPr>
          <t xml:space="preserve">Website to track your pack openings.  Every 1/10 packs you are guaranteed an Epics.  Every 1/40 you are guaranteed a Legendary. Applies separately to each set but nice to know  the count.
</t>
        </r>
      </text>
    </comment>
    <comment ref="B21" authorId="0">
      <text>
        <r>
          <rPr>
            <sz val="10"/>
            <color rgb="FF000000"/>
            <rFont val="Arial"/>
          </rPr>
          <t>Seems you get how to find notes left in cells for you!  Good Job!  You can do this for any cell with a checkmark in the top right.</t>
        </r>
      </text>
    </comment>
  </commentList>
</comments>
</file>

<file path=xl/comments2.xml><?xml version="1.0" encoding="utf-8"?>
<comments xmlns="http://schemas.openxmlformats.org/spreadsheetml/2006/main">
  <authors>
    <author/>
  </authors>
  <commentList>
    <comment ref="B4" authorId="0">
      <text>
        <r>
          <rPr>
            <sz val="10"/>
            <color rgb="FF000000"/>
            <rFont val="Arial"/>
          </rPr>
          <t>Unique Cards mean you have at least one copy of the card.  There is a quest to collect at least 1 of every card.</t>
        </r>
      </text>
    </comment>
    <comment ref="H4" authorId="0">
      <text>
        <r>
          <rPr>
            <sz val="10"/>
            <color rgb="FF000000"/>
            <rFont val="Arial"/>
          </rPr>
          <t xml:space="preserve">Playable Cards means the maximum copies of a card you can play in a deck.  Most cards (Common, Rare, Epic) this is 2 card copies.  For special ones (Legendary) this is 1 card copy.
</t>
        </r>
      </text>
    </comment>
    <comment ref="N6" authorId="0">
      <text>
        <r>
          <rPr>
            <sz val="10"/>
            <color rgb="FF000000"/>
            <rFont val="Arial"/>
          </rPr>
          <t xml:space="preserve">The value in dust of each pack.  They do not factor in Golden cards but rather the value of getting a new card.
</t>
        </r>
      </text>
    </comment>
    <comment ref="R6" authorId="0">
      <text>
        <r>
          <rPr>
            <sz val="10"/>
            <color rgb="FF000000"/>
            <rFont val="Arial"/>
          </rPr>
          <t>This is what a pack is worth in dust if you receive no new cards.  At 100% acquisition, the other packs will be this amount.  Doesn't account for gold cards or would be closer to 102.</t>
        </r>
      </text>
    </comment>
    <comment ref="W6" authorId="0">
      <text>
        <r>
          <rPr>
            <sz val="10"/>
            <color rgb="FF000000"/>
            <rFont val="Arial"/>
          </rPr>
          <t xml:space="preserve">This is the expected dust value of your Classic Pack.  </t>
        </r>
      </text>
    </comment>
    <comment ref="Z6" authorId="0">
      <text>
        <r>
          <rPr>
            <sz val="10"/>
            <color rgb="FF000000"/>
            <rFont val="Arial"/>
          </rPr>
          <t>This is the expected dust value of your Goblins vs Gnomes pack.</t>
        </r>
      </text>
    </comment>
    <comment ref="AC6" authorId="0">
      <text>
        <r>
          <rPr>
            <sz val="10"/>
            <color rgb="FF000000"/>
            <rFont val="Arial"/>
          </rPr>
          <t>This is the expected dust value of your TGT packs.</t>
        </r>
      </text>
    </comment>
    <comment ref="B13" authorId="0">
      <text>
        <r>
          <rPr>
            <sz val="10"/>
            <color rgb="FF000000"/>
            <rFont val="Arial"/>
          </rPr>
          <t>Unique Cards mean you have at least one copy of the card.  There is a quest to collect at least 1 of every card.</t>
        </r>
      </text>
    </comment>
    <comment ref="H13" authorId="0">
      <text>
        <r>
          <rPr>
            <sz val="10"/>
            <color rgb="FF000000"/>
            <rFont val="Arial"/>
          </rPr>
          <t>Playable Cards means the maximum copies of a card you can play in a deck.  Most cards (Common, Rare, Epic) this is 2 card copies.  For special ones (Legendary) this is 1 card copy.</t>
        </r>
      </text>
    </comment>
    <comment ref="N13" authorId="0">
      <text>
        <r>
          <rPr>
            <sz val="10"/>
            <color rgb="FF000000"/>
            <rFont val="Arial"/>
          </rPr>
          <t xml:space="preserve">The value in dust of each pack.  They do not factor in Golden cards but rather the value of getting a new card.
</t>
        </r>
      </text>
    </comment>
    <comment ref="R13" authorId="0">
      <text>
        <r>
          <rPr>
            <sz val="10"/>
            <color rgb="FF000000"/>
            <rFont val="Arial"/>
          </rPr>
          <t xml:space="preserve">This is what a pack is worth in dust if you receive no new cards.  At 100% acquisition, the other packs will be this amount.  Doesn't account for gold cards or would be closer to 109.  (The -1.5 is just added to Standard values to balance out a discrepancy when gold cards aren't factored)
</t>
        </r>
      </text>
    </comment>
    <comment ref="W13" authorId="0">
      <text>
        <r>
          <rPr>
            <sz val="10"/>
            <color rgb="FF000000"/>
            <rFont val="Arial"/>
          </rPr>
          <t xml:space="preserve">This is the expected dust value of your Old Gods Pack.  </t>
        </r>
      </text>
    </comment>
    <comment ref="Z13" authorId="0">
      <text>
        <r>
          <rPr>
            <sz val="10"/>
            <color rgb="FF000000"/>
            <rFont val="Arial"/>
          </rPr>
          <t>This is the expected dust value of your Goblins vs Gnomes pack.</t>
        </r>
      </text>
    </comment>
    <comment ref="AC13" authorId="0">
      <text>
        <r>
          <rPr>
            <sz val="10"/>
            <color rgb="FF000000"/>
            <rFont val="Arial"/>
          </rPr>
          <t>This is the expected dust value of your TGT packs.</t>
        </r>
      </text>
    </comment>
    <comment ref="N20" authorId="0">
      <text>
        <r>
          <rPr>
            <sz val="10"/>
            <color rgb="FF000000"/>
            <rFont val="Arial"/>
          </rPr>
          <t>Just a fun (or depressing) little way to figure out how much time it will take to complete a collection.  Feel free to change the numbers under "Variables" and play around with it.</t>
        </r>
      </text>
    </comment>
    <comment ref="N21" authorId="0">
      <text>
        <r>
          <rPr>
            <sz val="10"/>
            <color rgb="FF000000"/>
            <rFont val="Arial"/>
          </rPr>
          <t xml:space="preserve">Meant to complete one collection and then finish the other.  Your current dust throws off the total as it is factored in both.  Use Total dust if you want a single answer.
</t>
        </r>
      </text>
    </comment>
    <comment ref="N22" authorId="0">
      <text>
        <r>
          <rPr>
            <sz val="10"/>
            <color rgb="FF000000"/>
            <rFont val="Arial"/>
          </rPr>
          <t>You can change the variables to adjust for your weekly gold rate, currency, or regions store prices</t>
        </r>
      </text>
    </comment>
    <comment ref="O24" authorId="0">
      <text>
        <r>
          <rPr>
            <sz val="10"/>
            <color rgb="FF000000"/>
            <rFont val="Arial"/>
          </rPr>
          <t>Purchasing Packs in Bulk:
02 packs - $1.495/pack
07 packs - $1.427/pack
15 packs - $1.333/pack
40 packs - $1.250/pack
60 packs - $1.167/pack</t>
        </r>
      </text>
    </comment>
    <comment ref="O25" authorId="0">
      <text>
        <r>
          <rPr>
            <sz val="10"/>
            <color rgb="FF000000"/>
            <rFont val="Arial"/>
          </rPr>
          <t xml:space="preserve">This is more the person who casually logs in and does most of the quests each week and a couple of games.
</t>
        </r>
      </text>
    </comment>
    <comment ref="B26" authorId="0">
      <text>
        <r>
          <rPr>
            <sz val="10"/>
            <color rgb="FF000000"/>
            <rFont val="Arial"/>
          </rPr>
          <t>Unique Cards mean you have at least one copy of the card.  There is a quest to collect at least 1 of every card.</t>
        </r>
      </text>
    </comment>
    <comment ref="H26" authorId="0">
      <text>
        <r>
          <rPr>
            <sz val="10"/>
            <color rgb="FF000000"/>
            <rFont val="Arial"/>
          </rPr>
          <t xml:space="preserve">Playable Cards means the maximum copies of a card you can play in a deck.  Most cards (Common, Rare, Epic) this is 2 card copies.  For special ones (Legendary) this is 1 card copy.
</t>
        </r>
      </text>
    </comment>
    <comment ref="O26" authorId="0">
      <text>
        <r>
          <rPr>
            <sz val="10"/>
            <color rgb="FF000000"/>
            <rFont val="Arial"/>
          </rPr>
          <t>Basic Assumption is max daily wins and re-rolling quests mean an average of 51.38g per quest, getting 30 wins per day, and completing the Tavern Brawl (worth 100g).  Only way to exceed this is to do well in Arena.</t>
        </r>
      </text>
    </comment>
    <comment ref="R27" authorId="0">
      <text>
        <r>
          <rPr>
            <sz val="10"/>
            <color rgb="FF000000"/>
            <rFont val="Arial"/>
          </rPr>
          <t xml:space="preserve">Finds value of collection via carddust.com and calculates based on a percentage of cards you own.  Doesn't factor in Gold Cards but instead potential dust from extra Golden Cards. Does factor in dust on hand as well as gold balance.
Classic = $575.76
Naxx = $24.99
GvG = $357.27
BRM = $24.99
TGT = $360.42
LoE = $19.99
To factor, or not factor,  in the dust you would get from gold cards, simply change the equation on the setup to ADD them to the final tally.
</t>
        </r>
      </text>
    </comment>
    <comment ref="Z27" authorId="0">
      <text>
        <r>
          <rPr>
            <sz val="10"/>
            <color rgb="FF000000"/>
            <rFont val="Arial"/>
          </rPr>
          <t>The amount it will take to finish all playable cards.  Hard to estimate precisely with pack openings.  The safest way is just to use the dust differences or expect to modify the number after opening packs.</t>
        </r>
      </text>
    </comment>
    <comment ref="N29" authorId="0">
      <text>
        <r>
          <rPr>
            <sz val="10"/>
            <color rgb="FF000000"/>
            <rFont val="Arial"/>
          </rPr>
          <t>This lets us skip card simulations by knowing the card percentages.  Otherwise we would have to simulate opening one card (rare or better) then 4 other cards (common or better).  Much simpler.</t>
        </r>
      </text>
    </comment>
    <comment ref="S29" authorId="0">
      <text>
        <r>
          <rPr>
            <sz val="10"/>
            <color rgb="FF000000"/>
            <rFont val="Arial"/>
          </rPr>
          <t>The raw dust totals needed for all cards in the game.</t>
        </r>
      </text>
    </comment>
    <comment ref="X29" authorId="0">
      <text>
        <r>
          <rPr>
            <sz val="10"/>
            <color rgb="FF000000"/>
            <rFont val="Arial"/>
          </rPr>
          <t xml:space="preserve">Does not factor in current dust or gold.  Just guesses how many packs would be needed to complete the collection using just those packs.
</t>
        </r>
      </text>
    </comment>
    <comment ref="X31" authorId="0">
      <text>
        <r>
          <rPr>
            <sz val="10"/>
            <color rgb="FF000000"/>
            <rFont val="Arial"/>
          </rPr>
          <t xml:space="preserve">Assumes every card is going to be full value (meaning you don't own it).  Just because it is the minimum doesn't mean it is likely.
</t>
        </r>
      </text>
    </comment>
    <comment ref="X32" authorId="0">
      <text>
        <r>
          <rPr>
            <sz val="10"/>
            <color rgb="FF000000"/>
            <rFont val="Arial"/>
          </rPr>
          <t xml:space="preserve">Spot on for me vs carddust.com (1 pack off) but way off if you have no cards entered.  Need better method. (Currently: Find pure dust value of cards missing, subtract current dust, divide by average pack value of respective pack).  The latter is what screws up the equation when you have few cards as it is 4-5x higher then normal.
</t>
        </r>
      </text>
    </comment>
    <comment ref="X33" authorId="0">
      <text>
        <r>
          <rPr>
            <sz val="10"/>
            <color rgb="FF000000"/>
            <rFont val="Arial"/>
          </rPr>
          <t>Instead of using the unique card pack value, uses a flat dust value assuming you never get a new card.  That number was calculated at 109 dust/pack.</t>
        </r>
      </text>
    </comment>
    <comment ref="P34" authorId="0">
      <text>
        <r>
          <rPr>
            <sz val="10"/>
            <color rgb="FF000000"/>
            <rFont val="Arial"/>
          </rPr>
          <t xml:space="preserve">DON'T ENTER DATA HERE. NOT INCLUDED IN TOTAL DUST BY DEFAULT. 
When you have max playable copies, automatically takes dust value of any remaining gold cards (even if 2). I.E. You have 2 normal and 1 gold copy of a card.  Hearthstone wouldn't count to d/e the gold card but this would as you have max playable copies.  Inversely, if you had 2 Gold and 1 Normal, it would only d/e 1 Gold as you need the other copy for the max 2 copies.
Put to 0 if you don't want it factoring into further caluclations like time/money/card packs.
</t>
        </r>
      </text>
    </comment>
    <comment ref="X35" authorId="0">
      <text>
        <r>
          <rPr>
            <sz val="10"/>
            <color rgb="FF000000"/>
            <rFont val="Arial"/>
          </rPr>
          <t xml:space="preserve">Assumes every card is going to be full value (meaning you don't own it).  Just because it is the minimum doesn't mean it is likely.
</t>
        </r>
      </text>
    </comment>
    <comment ref="X36" authorId="0">
      <text>
        <r>
          <rPr>
            <sz val="10"/>
            <color rgb="FF000000"/>
            <rFont val="Arial"/>
          </rPr>
          <t xml:space="preserve">Spot on for me vs carddust.com (1 pack off) but way off if you have no cards entered.  Need better method. (Currently: Find pure dust value of cards missing, subtract current dust, divide by average pack value of respective pack).  The latter is what screws up the equation when you have few cards as it is 4-5x higher then normal.
</t>
        </r>
      </text>
    </comment>
    <comment ref="X37" authorId="0">
      <text>
        <r>
          <rPr>
            <sz val="10"/>
            <color rgb="FF000000"/>
            <rFont val="Arial"/>
          </rPr>
          <t>Instead of using the unique card pack value, uses a flat dust value assuming you never get a new card.  That number was calculated at 109 dust/pack.</t>
        </r>
      </text>
    </comment>
  </commentList>
</comments>
</file>

<file path=xl/comments3.xml><?xml version="1.0" encoding="utf-8"?>
<comments xmlns="http://schemas.openxmlformats.org/spreadsheetml/2006/main">
  <authors>
    <author/>
  </authors>
  <commentList>
    <comment ref="E1" authorId="0">
      <text>
        <r>
          <rPr>
            <sz val="10"/>
            <color rgb="FF000000"/>
            <rFont val="Arial"/>
          </rPr>
          <t>Sorts Alphabetically.  Sort by hidden coloumn #Collection for proper order.</t>
        </r>
      </text>
    </comment>
    <comment ref="I1" authorId="0">
      <text>
        <r>
          <rPr>
            <sz val="10"/>
            <color rgb="FF000000"/>
            <rFont val="Arial"/>
          </rPr>
          <t>On a scale of 0% to 100% (Don't go over 100%), how much do you value your first acquisition of this card? (Assume you have not already acquired the first.)</t>
        </r>
      </text>
    </comment>
    <comment ref="J1" authorId="0">
      <text>
        <r>
          <rPr>
            <sz val="10"/>
            <color rgb="FF000000"/>
            <rFont val="Arial"/>
          </rPr>
          <t>On a scale of 0% to 100% (Don't go over 100%), how much do you value your second acquisition of this card? (Assume you have already acquired the first but not the second.)</t>
        </r>
      </text>
    </comment>
    <comment ref="P1" authorId="0">
      <text>
        <r>
          <rPr>
            <sz val="10"/>
            <color rgb="FF000000"/>
            <rFont val="Arial"/>
          </rPr>
          <t>Card Keywords: Aura, Battlecry, Can't Attack, Charge, Combo, Deathrattle, Divine Shield, Enrage, Spell Damage, Stealth, Taunt, Windfury, Inspire</t>
        </r>
      </text>
    </comment>
    <comment ref="S1" authorId="0">
      <text>
        <r>
          <rPr>
            <sz val="10"/>
            <color rgb="FF000000"/>
            <rFont val="Arial"/>
          </rPr>
          <t>Sorts based on Rarity percentage instead of alphabetical.</t>
        </r>
      </text>
    </comment>
    <comment ref="T1" authorId="0">
      <text>
        <r>
          <rPr>
            <sz val="10"/>
            <color rgb="FF000000"/>
            <rFont val="Arial"/>
          </rPr>
          <t xml:space="preserve">Helps sort Collections Based on release instead of alphabetical.
</t>
        </r>
      </text>
    </comment>
    <comment ref="U1" authorId="0">
      <text>
        <r>
          <rPr>
            <sz val="10"/>
            <color rgb="FF000000"/>
            <rFont val="Arial"/>
          </rPr>
          <t>Sorts class alphabetically BUT places Neutral cards at the bottom.</t>
        </r>
      </text>
    </comment>
    <comment ref="W1" authorId="0">
      <text>
        <r>
          <rPr>
            <sz val="10"/>
            <color rgb="FF000000"/>
            <rFont val="Arial"/>
          </rPr>
          <t xml:space="preserve">Calculates the max playable copies of a card you have (Normal or Golden)
</t>
        </r>
      </text>
    </comment>
    <comment ref="X1" authorId="0">
      <text>
        <r>
          <rPr>
            <sz val="10"/>
            <color rgb="FF000000"/>
            <rFont val="Arial"/>
          </rPr>
          <t xml:space="preserve">Calculates if you own a unique card using Normal and Golden cards.
</t>
        </r>
      </text>
    </comment>
    <comment ref="Y1" authorId="0">
      <text>
        <r>
          <rPr>
            <sz val="10"/>
            <color rgb="FF000000"/>
            <rFont val="Arial"/>
          </rPr>
          <t>Calculates extra dust you get by dusting Golden cards (when you already have max playable copies).</t>
        </r>
      </text>
    </comment>
    <comment ref="Z1" authorId="0">
      <text>
        <r>
          <rPr>
            <sz val="10"/>
            <color rgb="FF000000"/>
            <rFont val="Arial"/>
          </rPr>
          <t>Data for "Missing Cards" tab.  Legendary cards have to have a weird formula so the single formula can capture all cards.</t>
        </r>
      </text>
    </comment>
    <comment ref="AC1" authorId="0">
      <text>
        <r>
          <rPr>
            <sz val="10"/>
            <color rgb="FF000000"/>
            <rFont val="Arial"/>
          </rPr>
          <t>1-Weight1</t>
        </r>
      </text>
    </comment>
    <comment ref="AD1" authorId="0">
      <text>
        <r>
          <rPr>
            <sz val="10"/>
            <color rgb="FF000000"/>
            <rFont val="Arial"/>
          </rPr>
          <t xml:space="preserve">1-Weight2
</t>
        </r>
      </text>
    </comment>
    <comment ref="AE1" authorId="0">
      <text>
        <r>
          <rPr>
            <sz val="10"/>
            <color rgb="FF000000"/>
            <rFont val="Arial"/>
          </rPr>
          <t>Weighted Total</t>
        </r>
      </text>
    </comment>
    <comment ref="AF1" authorId="0">
      <text>
        <r>
          <rPr>
            <sz val="10"/>
            <color rgb="FF000000"/>
            <rFont val="Arial"/>
          </rPr>
          <t xml:space="preserve">Calculates the max playable copies of a card you have using ONLY Golden cards.
</t>
        </r>
      </text>
    </comment>
    <comment ref="AG1" authorId="0">
      <text>
        <r>
          <rPr>
            <sz val="10"/>
            <color rgb="FF000000"/>
            <rFont val="Arial"/>
          </rPr>
          <t xml:space="preserve">Calculates if you own a Unique card using ONLY Golden cards.
</t>
        </r>
      </text>
    </comment>
    <comment ref="AH1" authorId="0">
      <text>
        <r>
          <rPr>
            <sz val="10"/>
            <color rgb="FF000000"/>
            <rFont val="Arial"/>
          </rPr>
          <t>Calculates extra dust you get by dusting Normal cards (when you already have max 
playable copies).</t>
        </r>
      </text>
    </comment>
  </commentList>
</comments>
</file>

<file path=xl/comments4.xml><?xml version="1.0" encoding="utf-8"?>
<comments xmlns="http://schemas.openxmlformats.org/spreadsheetml/2006/main">
  <authors>
    <author/>
  </authors>
  <commentList>
    <comment ref="B2" authorId="0">
      <text>
        <r>
          <rPr>
            <sz val="10"/>
            <color rgb="FF000000"/>
            <rFont val="Arial"/>
          </rPr>
          <t>Any cards that you have less then the maximum playable copies will show up in this list.  They are sorted by however you have the tab, "Card List" is sorted.</t>
        </r>
      </text>
    </comment>
  </commentList>
</comments>
</file>

<file path=xl/comments5.xml><?xml version="1.0" encoding="utf-8"?>
<comments xmlns="http://schemas.openxmlformats.org/spreadsheetml/2006/main">
  <authors>
    <author/>
  </authors>
  <commentList>
    <comment ref="B2" authorId="0">
      <text>
        <r>
          <rPr>
            <sz val="10"/>
            <color rgb="FF000000"/>
            <rFont val="Arial"/>
          </rPr>
          <t>This table shows the expected dust value of your next card or pack of a given set, and the probability of receiving new cards from a given set.
In the weighted analyses, the expected dust value will be lowered the less you care about receiving the new cards that are possible from that set. It will also show the probability of receiving new cards that you actually want from a given set.</t>
        </r>
      </text>
    </comment>
    <comment ref="C6" authorId="0">
      <text>
        <r>
          <rPr>
            <sz val="10"/>
            <color rgb="FF000000"/>
            <rFont val="Arial"/>
          </rPr>
          <t>Probability of receiving new Classic cards.</t>
        </r>
      </text>
    </comment>
    <comment ref="F6" authorId="0">
      <text>
        <r>
          <rPr>
            <sz val="10"/>
            <color rgb="FF000000"/>
            <rFont val="Arial"/>
          </rPr>
          <t>Probability of receiving new Classic cards.</t>
        </r>
      </text>
    </comment>
    <comment ref="I6" authorId="0">
      <text>
        <r>
          <rPr>
            <sz val="10"/>
            <color rgb="FF000000"/>
            <rFont val="Arial"/>
          </rPr>
          <t>Probability of receiving new Classic cards.</t>
        </r>
      </text>
    </comment>
    <comment ref="L6" authorId="0">
      <text>
        <r>
          <rPr>
            <sz val="10"/>
            <color rgb="FF000000"/>
            <rFont val="Arial"/>
          </rPr>
          <t>Probability of receiving new Classic cards.</t>
        </r>
      </text>
    </comment>
    <comment ref="C11" authorId="0">
      <text>
        <r>
          <rPr>
            <sz val="10"/>
            <color rgb="FF000000"/>
            <rFont val="Arial"/>
          </rPr>
          <t>This is probability of your next Classic card being new.</t>
        </r>
      </text>
    </comment>
    <comment ref="D11" authorId="0">
      <text>
        <r>
          <rPr>
            <sz val="10"/>
            <color rgb="FF000000"/>
            <rFont val="Arial"/>
          </rPr>
          <t>This is the expected dust value of your next Classic card.</t>
        </r>
      </text>
    </comment>
    <comment ref="F11" authorId="0">
      <text>
        <r>
          <rPr>
            <sz val="10"/>
            <color rgb="FF000000"/>
            <rFont val="Arial"/>
          </rPr>
          <t>This is the probability of your next Goblins vs Gnomes card being new.</t>
        </r>
      </text>
    </comment>
    <comment ref="G11" authorId="0">
      <text>
        <r>
          <rPr>
            <sz val="10"/>
            <color rgb="FF000000"/>
            <rFont val="Arial"/>
          </rPr>
          <t>This is the expected dust value of your next Goblins vs Gnomes card.</t>
        </r>
      </text>
    </comment>
    <comment ref="I11" authorId="0">
      <text>
        <r>
          <rPr>
            <sz val="10"/>
            <color rgb="FF000000"/>
            <rFont val="Arial"/>
          </rPr>
          <t>This is the probability of your next The Grand Tournament card being new.</t>
        </r>
      </text>
    </comment>
    <comment ref="J11" authorId="0">
      <text>
        <r>
          <rPr>
            <sz val="10"/>
            <color rgb="FF000000"/>
            <rFont val="Arial"/>
          </rPr>
          <t>This is the expected dust value of your next The Grand Tournament card.</t>
        </r>
      </text>
    </comment>
    <comment ref="L11" authorId="0">
      <text>
        <r>
          <rPr>
            <sz val="10"/>
            <color rgb="FF000000"/>
            <rFont val="Arial"/>
          </rPr>
          <t>This is the probability of your next The Grand Tournament card being new.</t>
        </r>
      </text>
    </comment>
    <comment ref="M11" authorId="0">
      <text>
        <r>
          <rPr>
            <sz val="10"/>
            <color rgb="FF000000"/>
            <rFont val="Arial"/>
          </rPr>
          <t>This is the expected dust value of your next The Grand Tournament card.</t>
        </r>
      </text>
    </comment>
    <comment ref="C12" authorId="0">
      <text>
        <r>
          <rPr>
            <sz val="10"/>
            <color rgb="FF000000"/>
            <rFont val="Arial"/>
          </rPr>
          <t>This is the probability of your next Classic pack containing at least 1 new acquisition.</t>
        </r>
      </text>
    </comment>
    <comment ref="D12" authorId="0">
      <text>
        <r>
          <rPr>
            <sz val="10"/>
            <color rgb="FF000000"/>
            <rFont val="Arial"/>
          </rPr>
          <t>This is the expected dust value of your next Classic pack.</t>
        </r>
      </text>
    </comment>
    <comment ref="F12" authorId="0">
      <text>
        <r>
          <rPr>
            <sz val="10"/>
            <color rgb="FF000000"/>
            <rFont val="Arial"/>
          </rPr>
          <t>This is the probability of your next Goblins vs Gnomes pack containing at least 1 new acquisition.</t>
        </r>
      </text>
    </comment>
    <comment ref="G12" authorId="0">
      <text>
        <r>
          <rPr>
            <sz val="10"/>
            <color rgb="FF000000"/>
            <rFont val="Arial"/>
          </rPr>
          <t>This is the expected dust value of your next Goblins vs Gnomes pack.</t>
        </r>
      </text>
    </comment>
    <comment ref="I12" authorId="0">
      <text>
        <r>
          <rPr>
            <sz val="10"/>
            <color rgb="FF000000"/>
            <rFont val="Arial"/>
          </rPr>
          <t>This is the probability of your next The Grand Tournament pack containing at least 1 new acquisition.</t>
        </r>
      </text>
    </comment>
    <comment ref="J12" authorId="0">
      <text>
        <r>
          <rPr>
            <sz val="10"/>
            <color rgb="FF000000"/>
            <rFont val="Arial"/>
          </rPr>
          <t>This is the expected dust value of your next The Grand Tournament pack.</t>
        </r>
      </text>
    </comment>
    <comment ref="L12" authorId="0">
      <text>
        <r>
          <rPr>
            <sz val="10"/>
            <color rgb="FF000000"/>
            <rFont val="Arial"/>
          </rPr>
          <t>This is the probability of your next The Grand Tournament pack containing at least 1 new acquisition.</t>
        </r>
      </text>
    </comment>
    <comment ref="M12" authorId="0">
      <text>
        <r>
          <rPr>
            <sz val="10"/>
            <color rgb="FF000000"/>
            <rFont val="Arial"/>
          </rPr>
          <t>This is the expected dust value of your next The Grand Tournament pack.</t>
        </r>
      </text>
    </comment>
    <comment ref="C16" authorId="0">
      <text>
        <r>
          <rPr>
            <sz val="10"/>
            <color rgb="FF000000"/>
            <rFont val="Arial"/>
          </rPr>
          <t>Probability of receiving new Classic cards.</t>
        </r>
      </text>
    </comment>
    <comment ref="F16" authorId="0">
      <text>
        <r>
          <rPr>
            <sz val="10"/>
            <color rgb="FF000000"/>
            <rFont val="Arial"/>
          </rPr>
          <t>Probability of receiving new Classic cards.</t>
        </r>
      </text>
    </comment>
    <comment ref="I16" authorId="0">
      <text>
        <r>
          <rPr>
            <sz val="10"/>
            <color rgb="FF000000"/>
            <rFont val="Arial"/>
          </rPr>
          <t>Probability of receiving new Classic cards.</t>
        </r>
      </text>
    </comment>
    <comment ref="L16" authorId="0">
      <text>
        <r>
          <rPr>
            <sz val="10"/>
            <color rgb="FF000000"/>
            <rFont val="Arial"/>
          </rPr>
          <t>Probability of receiving new Classic cards.</t>
        </r>
      </text>
    </comment>
    <comment ref="C21" authorId="0">
      <text>
        <r>
          <rPr>
            <sz val="10"/>
            <color rgb="FF000000"/>
            <rFont val="Arial"/>
          </rPr>
          <t>This is the probability of your next Classic card being new and one that you wanted, based on your personal preferences.
Here your personal preferences are treated as fuzzy values between 0% and 100% (i.e. 70% would be "I want the card, but it's not super important to me"; 50% would be indifference).
This is an inherently abstract result because it is not possible in reality to own a fraction of a card. However, in a certain sense it is more accurate because it takes into account the fuzziness of our valuations.</t>
        </r>
      </text>
    </comment>
    <comment ref="D21" authorId="0">
      <text>
        <r>
          <rPr>
            <sz val="10"/>
            <color rgb="FF000000"/>
            <rFont val="Arial"/>
          </rPr>
          <t>This is the expected dust value of your next Classic card, weighted by your personal preferences.
Here your personal preferences are treated as fuzzy values between 0% and 100% (i.e. 70% would be "I want the card, but it's not super important to me"; 50% would be indifference).
This is an inherently abstract result because it is not possible in reality to own a fraction of a card. However, in a certain sense it is more accurate because it takes into account the fuzziness of our valuations.</t>
        </r>
      </text>
    </comment>
    <comment ref="F21" authorId="0">
      <text>
        <r>
          <rPr>
            <sz val="10"/>
            <color rgb="FF000000"/>
            <rFont val="Arial"/>
          </rPr>
          <t>This is the probability of your next Goblins vs Gnomes card being new and one that you wanted, based on your personal preferences.
Here your personal preferences are treated as fuzzy values between 0% and 100% (i.e. 70% would be "I want the card, but it's not super important to me"; 50% would be indifference).
This is an inherently abstract result because it is not possible in reality to own a fraction of a card. However, in a certain sense it is more accurate because it takes into account the fuzziness of our valuations.</t>
        </r>
      </text>
    </comment>
    <comment ref="G21" authorId="0">
      <text>
        <r>
          <rPr>
            <sz val="10"/>
            <color rgb="FF000000"/>
            <rFont val="Arial"/>
          </rPr>
          <t>This is the expected dust value of your next Goblins vs Gnomes card, weighted by your personal preferences.
Here your personal preferences are treated as fuzzy values between 0% and 100% (i.e. 70% would be "I want the card, but it's not super important to me"; 50% would be indifference).
This is an inherently abstract result because it is not possible in reality to own a fraction of a card. However, in a certain sense it is more accurate because it takes into account the fuzziness of our valuations.</t>
        </r>
      </text>
    </comment>
    <comment ref="I21" authorId="0">
      <text>
        <r>
          <rPr>
            <sz val="10"/>
            <color rgb="FF000000"/>
            <rFont val="Arial"/>
          </rPr>
          <t>This is the probability of your next The Grand Tournament card being new and one that you wanted, based on your personal preferences.
Here your personal preferences are treated as fuzzy values between 0% and 100% (i.e. 70% would be "I want the card, but it's not super important to me"; 50% would be indifference).
This is an inherently abstract result because it is not possible in reality to own a fraction of a card. However, in a certain sense it is more accurate because it takes into account the fuzziness of our valuations.</t>
        </r>
      </text>
    </comment>
    <comment ref="J21" authorId="0">
      <text>
        <r>
          <rPr>
            <sz val="10"/>
            <color rgb="FF000000"/>
            <rFont val="Arial"/>
          </rPr>
          <t>This is the expected dust value of your next The Grand Tournament card, weighted by your personal preferences.
Here your personal preferences are treated as fuzzy values between 0% and 100% (i.e. 70% would be "I want the card, but it's not super important to me"; 50% would be indifference).
This is an inherently abstract result because it is not possible in reality to own a fraction of a card. However, in a certain sense it is more accurate because it takes into account the fuzziness of our valuations.</t>
        </r>
      </text>
    </comment>
    <comment ref="L21" authorId="0">
      <text>
        <r>
          <rPr>
            <sz val="10"/>
            <color rgb="FF000000"/>
            <rFont val="Arial"/>
          </rPr>
          <t>This is the probability of your next The Grand Tournament card being new.</t>
        </r>
      </text>
    </comment>
    <comment ref="M21" authorId="0">
      <text>
        <r>
          <rPr>
            <sz val="10"/>
            <color rgb="FF000000"/>
            <rFont val="Arial"/>
          </rPr>
          <t>This is the expected dust value of your next The Grand Tournament card.</t>
        </r>
      </text>
    </comment>
    <comment ref="C22" authorId="0">
      <text>
        <r>
          <rPr>
            <sz val="10"/>
            <color rgb="FF000000"/>
            <rFont val="Arial"/>
          </rPr>
          <t>This is the probability of your next Classic pack containing at least 1 new acquisition that you wanted, based on your personal preferences.
Here your personal preferences are treated as fuzzy values between 0% and 100% (i.e. 70% would be "I want the card, but it's not super important to me"; 50% would be indifference).
This is an inherently abstract result because it is not possible in reality to own a fraction of a card. However, in a certain sense it is more accurate because it takes into account the fuzziness of our valuations.</t>
        </r>
      </text>
    </comment>
    <comment ref="D22" authorId="0">
      <text>
        <r>
          <rPr>
            <sz val="10"/>
            <color rgb="FF000000"/>
            <rFont val="Arial"/>
          </rPr>
          <t>This is the expected dust value of your next Classic pack, weighted by your personal preferences.
Here your personal preferences are treated as fuzzy values between 0% and 100% (i.e. 70% would be "I want the card, but it's not super important to me"; 50% would be indifference).
This is an inherently abstract result because it is not possible in reality to own a fraction of a card. However, in a certain sense it is more accurate because it takes into account the fuzziness of our valuations.</t>
        </r>
      </text>
    </comment>
    <comment ref="F22" authorId="0">
      <text>
        <r>
          <rPr>
            <sz val="10"/>
            <color rgb="FF000000"/>
            <rFont val="Arial"/>
          </rPr>
          <t>This is the probability of your next Goblins vs Gnomes pack containing at least 1 new acquisition that you wanted, based on your personal preferences.
Here your personal preferences are treated as fuzzy values between 0% and 100% (i.e. 70% would be "I want the card, but it's not super important to me"; 50% would be indifference).
This is an inherently abstract result because it is not possible in reality to own a fraction of a card. However, in a certain sense it is more accurate because it takes into account the fuzziness of our valuations.</t>
        </r>
      </text>
    </comment>
    <comment ref="G22" authorId="0">
      <text>
        <r>
          <rPr>
            <sz val="10"/>
            <color rgb="FF000000"/>
            <rFont val="Arial"/>
          </rPr>
          <t>This is the expected dust value of your next Goblins vs Gnomes pack, weighted by your personal preferences.
Here your personal preferences are treated as fuzzy values between 0% and 100% (i.e. 70% would be "I want the card, but it's not super important to me"; 50% would be indifference).
This is an inherently abstract result because it is not possible in reality to own a fraction of a card. However, in a certain sense it is more accurate because it takes into account the fuzziness of our valuations.</t>
        </r>
      </text>
    </comment>
    <comment ref="I22" authorId="0">
      <text>
        <r>
          <rPr>
            <sz val="10"/>
            <color rgb="FF000000"/>
            <rFont val="Arial"/>
          </rPr>
          <t>This is the probability of your next The Grand Tournament pack containing at least 1 new acquisition that you wanted, based on your personal preferences.
Here your personal preferences are treated as fuzzy values between 0% and 100% (i.e. 70% would be "I want the card, but it's not super important to me"; 50% would be indifference).
This is an inherently abstract result because it is not possible in reality to own a fraction of a card. However, in a certain sense it is more accurate because it takes into account the fuzziness of our valuations.</t>
        </r>
      </text>
    </comment>
    <comment ref="J22" authorId="0">
      <text>
        <r>
          <rPr>
            <sz val="10"/>
            <color rgb="FF000000"/>
            <rFont val="Arial"/>
          </rPr>
          <t>This is the expected dust value of your next The Grand Tournament pack, weighted by your personal preferences.
Here your personal preferences are treated as fuzzy values between 0% and 100% (i.e. 70% would be "I want the card, but it's not super important to me"; 50% would be indifference).
This is an inherently abstract result because it is not possible in reality to own a fraction of a card. However, in a certain sense it is more accurate because it takes into account the fuzziness of our valuations.</t>
        </r>
      </text>
    </comment>
    <comment ref="L22" authorId="0">
      <text>
        <r>
          <rPr>
            <sz val="10"/>
            <color rgb="FF000000"/>
            <rFont val="Arial"/>
          </rPr>
          <t>This is the probability of your next The Grand Tournament pack containing at least 1 new acquisition.</t>
        </r>
      </text>
    </comment>
    <comment ref="M22" authorId="0">
      <text>
        <r>
          <rPr>
            <sz val="10"/>
            <color rgb="FF000000"/>
            <rFont val="Arial"/>
          </rPr>
          <t>This is the expected dust value of your next The Grand Tournament pack.</t>
        </r>
      </text>
    </comment>
    <comment ref="B24" authorId="0">
      <text>
        <r>
          <rPr>
            <sz val="10"/>
            <color rgb="FF000000"/>
            <rFont val="Arial"/>
          </rPr>
          <t>Set to 'FALSE' to stop evaluating the given pack type. Must have at least two pack types set to 'TRUE' for the comparison to work at all.</t>
        </r>
      </text>
    </comment>
    <comment ref="E24" authorId="0">
      <text>
        <r>
          <rPr>
            <sz val="10"/>
            <color rgb="FF000000"/>
            <rFont val="Arial"/>
          </rPr>
          <t>This table shows you which pack to buy next based upon the expectation of receiving new cards. In the weighted analyses, it shows you which pack to buy based upon the expectation of receiving new cards that you actually want.</t>
        </r>
      </text>
    </comment>
    <comment ref="D33" authorId="0">
      <text>
        <r>
          <rPr>
            <sz val="10"/>
            <color rgb="FF000000"/>
            <rFont val="Arial"/>
          </rPr>
          <t xml:space="preserve">Unweighted Dust
</t>
        </r>
      </text>
    </comment>
    <comment ref="E33" authorId="0">
      <text>
        <r>
          <rPr>
            <sz val="10"/>
            <color rgb="FF000000"/>
            <rFont val="Arial"/>
          </rPr>
          <t>Unweighted Probability</t>
        </r>
      </text>
    </comment>
    <comment ref="F33" authorId="0">
      <text>
        <r>
          <rPr>
            <sz val="10"/>
            <color rgb="FF000000"/>
            <rFont val="Arial"/>
          </rPr>
          <t xml:space="preserve">Weighted Dust
</t>
        </r>
      </text>
    </comment>
    <comment ref="G33" authorId="0">
      <text>
        <r>
          <rPr>
            <sz val="10"/>
            <color rgb="FF000000"/>
            <rFont val="Arial"/>
          </rPr>
          <t xml:space="preserve">Weighted Probability
</t>
        </r>
      </text>
    </comment>
    <comment ref="K40" authorId="0">
      <text>
        <r>
          <rPr>
            <sz val="10"/>
            <color rgb="FF000000"/>
            <rFont val="Arial"/>
          </rPr>
          <t>This is what an average card is worth in dust assuming that it is not a new acquisition. At 100% ownership, the expected dust value of all cards will be worth this amount. This is the minimum possible expected dust value of a card.</t>
        </r>
      </text>
    </comment>
    <comment ref="I41" authorId="0">
      <text>
        <r>
          <rPr>
            <sz val="10"/>
            <color rgb="FF000000"/>
            <rFont val="Arial"/>
          </rPr>
          <t>The average pack contains 5 average cards.</t>
        </r>
      </text>
    </comment>
    <comment ref="K41" authorId="0">
      <text>
        <r>
          <rPr>
            <sz val="10"/>
            <color rgb="FF000000"/>
            <rFont val="Arial"/>
          </rPr>
          <t>This is what an average pack is worth in dust assuming you receive no new cards. At 100% ownership, the expected dust value of all packs will be worth this amount. This is the minimum possible expected dust value of a pack.</t>
        </r>
      </text>
    </comment>
    <comment ref="I42" authorId="0">
      <text>
        <r>
          <rPr>
            <sz val="10"/>
            <color rgb="FF000000"/>
            <rFont val="Arial"/>
          </rPr>
          <t>A modal pack is the most common type of pack. It contains exactly 1 rare and 4 common cards. This is a guaranteed minimum.</t>
        </r>
      </text>
    </comment>
    <comment ref="K42" authorId="0">
      <text>
        <r>
          <rPr>
            <sz val="10"/>
            <color rgb="FF000000"/>
            <rFont val="Arial"/>
          </rPr>
          <t>This is what a modal pack is worth in dust assuming you receive no new cards. At 100% ownership, the dust value of all modal packs will be worth this amount. This is the minimum possible dust value of a pack.</t>
        </r>
      </text>
    </comment>
  </commentList>
</comments>
</file>

<file path=xl/comments6.xml><?xml version="1.0" encoding="utf-8"?>
<comments xmlns="http://schemas.openxmlformats.org/spreadsheetml/2006/main">
  <authors>
    <author/>
  </authors>
  <commentList>
    <comment ref="B18" authorId="0">
      <text>
        <r>
          <rPr>
            <sz val="10"/>
            <color rgb="FF000000"/>
            <rFont val="Arial"/>
          </rPr>
          <t>Odds are slightly better if you have two 40g quests already queued as that is 2/36 bad possibilities removed entirely.</t>
        </r>
      </text>
    </comment>
  </commentList>
</comments>
</file>

<file path=xl/sharedStrings.xml><?xml version="1.0" encoding="utf-8"?>
<sst xmlns="http://schemas.openxmlformats.org/spreadsheetml/2006/main" count="11288" uniqueCount="2221">
  <si>
    <t>To Download A Copy For Yourself, Go To File --&gt; Make a Copy...</t>
  </si>
  <si>
    <t>To update from a past version, you only need to copy/paste the information from the cells in "Cards" (Columns G and H).  Just make sure  both pages are sorted in the same order.  Check the "Cards" tab for more instructions on how to sort the page.</t>
  </si>
  <si>
    <t>You Only Need To Enter Information In These Blue Boxes and the "Cards" tab.  Adventure and Basic Cards are added/removed when you fill out the hero level or Adventure Level. As is the rest of the sheet.</t>
  </si>
  <si>
    <t>Hero Levels</t>
  </si>
  <si>
    <t>Golden Portraits</t>
  </si>
  <si>
    <t>Max Possible Dust</t>
  </si>
  <si>
    <t>Adventure</t>
  </si>
  <si>
    <t>Wings Complete</t>
  </si>
  <si>
    <t>Druid</t>
  </si>
  <si>
    <t>Current Dust</t>
  </si>
  <si>
    <t>Curse of Naxxramas</t>
  </si>
  <si>
    <t>Hunter</t>
  </si>
  <si>
    <t>Disenchant</t>
  </si>
  <si>
    <t>Mage</t>
  </si>
  <si>
    <t>Gold</t>
  </si>
  <si>
    <t>Blackrock Mountain</t>
  </si>
  <si>
    <t>Paladin</t>
  </si>
  <si>
    <t>Extra Gold Cards Dust (Automatic)</t>
  </si>
  <si>
    <t>Priest</t>
  </si>
  <si>
    <t>League of Explorers</t>
  </si>
  <si>
    <t>Rogue</t>
  </si>
  <si>
    <t>Shaman</t>
  </si>
  <si>
    <t>Total</t>
  </si>
  <si>
    <t>Summer 2016</t>
  </si>
  <si>
    <t>-</t>
  </si>
  <si>
    <t>Warlock</t>
  </si>
  <si>
    <t>Warrior</t>
  </si>
  <si>
    <t>Max Dust Needed</t>
  </si>
  <si>
    <t>Quick Breakdown Of Tabs. (Try Hovering Mouse Here to Read Notes)</t>
  </si>
  <si>
    <t>If you have more questions, lots of notes are left throughout the spreadsheet.  Just hover on any cell with a black mark in the top right corner to view notes I left.  Or check the Feedback tab if you have more questions.</t>
  </si>
  <si>
    <t>Summary</t>
  </si>
  <si>
    <t>Breaks down your collection by class, release, and rarity.  General overview as well as telling you the best pack for Standard or Wild.</t>
  </si>
  <si>
    <t>Cards</t>
  </si>
  <si>
    <t xml:space="preserve">This is where you enter your Collection.   Enter a 0,1, or 2 by cards you own. You can expand the cells above Coloumn J to see all card information.  You can even weight the cards how badly you want them to calculate a different pack formula on "Pack Statistics" tab. </t>
  </si>
  <si>
    <t>Missing Cards</t>
  </si>
  <si>
    <t>This will show you all the cards you are missing max copies of. It is sorted exactly how your "Cards" tab is sorted</t>
  </si>
  <si>
    <t>Pack Statistics</t>
  </si>
  <si>
    <t>Advanced breakdown of which pack to buy.  More data and allows you to weight custom packs based on which cards you do or don't want.</t>
  </si>
  <si>
    <t>Deck Check</t>
  </si>
  <si>
    <t>You can find a deck on Hearthpwn.com, paste the deck code on the page, and it will tell you which cards you don't have and the dust cost for that specific deck.</t>
  </si>
  <si>
    <t>Golden</t>
  </si>
  <si>
    <t>This shows data for collecting Golden Cards.  This isn't kept as up to date and may be deleted in the future.  There's no way to keep up with Gold Cards by just playing, only paying.</t>
  </si>
  <si>
    <t>Feedback</t>
  </si>
  <si>
    <t>I check Feedback from time to time to try and make improvements when I can.</t>
  </si>
  <si>
    <t>Special Promo Cards Excluded From Packs:</t>
  </si>
  <si>
    <t>Gelbin Mekkatorque (Legendary):  Normal: Crafted. / Golden: Spend real money during beta.</t>
  </si>
  <si>
    <t>Old Murk-Eye (Legendary):  Crafted</t>
  </si>
  <si>
    <t>Elite Tauren Chieftan (Legendary):  Normal: Crafted.  / Golden:  Attended Blizzcon 2013.</t>
  </si>
  <si>
    <t>Captain's Parrot (Epic):  Crafted</t>
  </si>
  <si>
    <t/>
  </si>
  <si>
    <t>Number of Unique Cards by Rarity</t>
  </si>
  <si>
    <t>Number of Playable Cards by Rarity</t>
  </si>
  <si>
    <t xml:space="preserve">Best Pack To Buy - - - &gt;   </t>
  </si>
  <si>
    <t>Rarity</t>
  </si>
  <si>
    <t>Owned</t>
  </si>
  <si>
    <t>Available</t>
  </si>
  <si>
    <t>Remaining</t>
  </si>
  <si>
    <t>%</t>
  </si>
  <si>
    <t>Basic</t>
  </si>
  <si>
    <t>Standard Pack Values:</t>
  </si>
  <si>
    <t>Classic:</t>
  </si>
  <si>
    <t>GvG:</t>
  </si>
  <si>
    <t>TGT:</t>
  </si>
  <si>
    <t>Common</t>
  </si>
  <si>
    <t>Chance</t>
  </si>
  <si>
    <t>Total Value</t>
  </si>
  <si>
    <t>D/E Value</t>
  </si>
  <si>
    <t>#</t>
  </si>
  <si>
    <t>Rare</t>
  </si>
  <si>
    <t>Epic</t>
  </si>
  <si>
    <t>Legendary</t>
  </si>
  <si>
    <t>Number of Unique Cards by Set</t>
  </si>
  <si>
    <t>Number of Playable Cards by Set</t>
  </si>
  <si>
    <t>TOG</t>
  </si>
  <si>
    <t>Fall 2016</t>
  </si>
  <si>
    <t>Spring 2017</t>
  </si>
  <si>
    <t>Set</t>
  </si>
  <si>
    <t>Classic</t>
  </si>
  <si>
    <t>Promo</t>
  </si>
  <si>
    <t>Naxx</t>
  </si>
  <si>
    <t>GvG</t>
  </si>
  <si>
    <t>Blackrock</t>
  </si>
  <si>
    <t>TGT</t>
  </si>
  <si>
    <t>Time, Money, and Gold Costs For Complete Collection</t>
  </si>
  <si>
    <t>LoE</t>
  </si>
  <si>
    <t>(Calculated seperately not cumulatively)</t>
  </si>
  <si>
    <t>Old Gods</t>
  </si>
  <si>
    <t>Variables (Adjustable)</t>
  </si>
  <si>
    <t>SUM '16</t>
  </si>
  <si>
    <t>Gold Needed</t>
  </si>
  <si>
    <t>/pack</t>
  </si>
  <si>
    <t>gold</t>
  </si>
  <si>
    <t>Cash</t>
  </si>
  <si>
    <t>dollars</t>
  </si>
  <si>
    <t>Casual</t>
  </si>
  <si>
    <t>gold/week</t>
  </si>
  <si>
    <t>weeks</t>
  </si>
  <si>
    <t>Number of Unique Cards by Class</t>
  </si>
  <si>
    <t>Number of Playable Cards by Class</t>
  </si>
  <si>
    <t>Dedicated</t>
  </si>
  <si>
    <t>Class</t>
  </si>
  <si>
    <t>Collection Value:</t>
  </si>
  <si>
    <t>Estimated Completion Cost:</t>
  </si>
  <si>
    <t>Total Dust on Hand</t>
  </si>
  <si>
    <t>Dust Needed To Complete Playable Collection</t>
  </si>
  <si>
    <t>Packs for Full Collection</t>
  </si>
  <si>
    <t>Packs</t>
  </si>
  <si>
    <t>Min. Card Packs</t>
  </si>
  <si>
    <t>Avg. Card Packs</t>
  </si>
  <si>
    <t>Max Card Packs</t>
  </si>
  <si>
    <t>Fall '16</t>
  </si>
  <si>
    <t>SPR 17</t>
  </si>
  <si>
    <t>Fall '17</t>
  </si>
  <si>
    <t>SPR 18</t>
  </si>
  <si>
    <t>TOTAL:</t>
  </si>
  <si>
    <t>Neutral</t>
  </si>
  <si>
    <t>Mana</t>
  </si>
  <si>
    <t>Name</t>
  </si>
  <si>
    <t>Collection</t>
  </si>
  <si>
    <t>Normal</t>
  </si>
  <si>
    <t>Weight 1</t>
  </si>
  <si>
    <t>Weight 2</t>
  </si>
  <si>
    <t>Type</t>
  </si>
  <si>
    <t>Sub-Type</t>
  </si>
  <si>
    <t>ATK</t>
  </si>
  <si>
    <t>HP</t>
  </si>
  <si>
    <t>Card Text</t>
  </si>
  <si>
    <t>Keywords</t>
  </si>
  <si>
    <t>Format</t>
  </si>
  <si>
    <t>#Rarity</t>
  </si>
  <si>
    <t>#Collection</t>
  </si>
  <si>
    <t>#Class</t>
  </si>
  <si>
    <t>#Type</t>
  </si>
  <si>
    <t>(N) P-Total</t>
  </si>
  <si>
    <t>(N) U-Total</t>
  </si>
  <si>
    <t>(N) Gold</t>
  </si>
  <si>
    <t>Missing</t>
  </si>
  <si>
    <t>Use W1?</t>
  </si>
  <si>
    <t>Use W2?</t>
  </si>
  <si>
    <t>1-W1</t>
  </si>
  <si>
    <t>1-W2</t>
  </si>
  <si>
    <t>W-Total</t>
  </si>
  <si>
    <t>(G) P-Total</t>
  </si>
  <si>
    <t>(G) U-Total</t>
  </si>
  <si>
    <t>(G) Gold</t>
  </si>
  <si>
    <t>Ancestral Healing</t>
  </si>
  <si>
    <t>Spell</t>
  </si>
  <si>
    <t>Restore a minion to full health and give it Taunt.</t>
  </si>
  <si>
    <t>Standard</t>
  </si>
  <si>
    <t>Backstab</t>
  </si>
  <si>
    <t>Deal 2 damage to an undamaged minion.</t>
  </si>
  <si>
    <t>How To Sort This Card Collection</t>
  </si>
  <si>
    <t>Innervate</t>
  </si>
  <si>
    <t>Gain 2 Mana Crystals this turn only.</t>
  </si>
  <si>
    <t>1.  Go To Data --&gt; Named Ranges</t>
  </si>
  <si>
    <t>Moonfire</t>
  </si>
  <si>
    <t>Deal 1 damage.</t>
  </si>
  <si>
    <t xml:space="preserve">2. Click "Sort_Collection" which will highlight all the cards and hidden cells.  </t>
  </si>
  <si>
    <t>Sacrificial Pact</t>
  </si>
  <si>
    <t>Destroy a Demon. Restore 5 Health to your hero.</t>
  </si>
  <si>
    <t>3. Right Click on the highlighted cells and select "Sort Range..."</t>
  </si>
  <si>
    <t>Totemic Might</t>
  </si>
  <si>
    <t>Give your Totems +2 Health.</t>
  </si>
  <si>
    <t>4. IMPORTANT:  Check the box, "Data Has Header Row"</t>
  </si>
  <si>
    <t>Arcane Missiles</t>
  </si>
  <si>
    <t>Deal 3 damage randomly split among enemy characters.</t>
  </si>
  <si>
    <t>5.  Select how you want to sort.  They are all named properly.</t>
  </si>
  <si>
    <t>Arcane Shot</t>
  </si>
  <si>
    <t>Deal 2 damage.</t>
  </si>
  <si>
    <t>6.  To add a secondary sort, click "Add Another Sort Coloumn"</t>
  </si>
  <si>
    <t>Blessing of Might</t>
  </si>
  <si>
    <t>Give a minion +3 Attack.</t>
  </si>
  <si>
    <t>Claw</t>
  </si>
  <si>
    <t>Give your hero +2 attack this turn and 2 Armor.</t>
  </si>
  <si>
    <t>A. To sort Rarity in proper order, not alphabetical, sort by #Rarity</t>
  </si>
  <si>
    <t>Corruption</t>
  </si>
  <si>
    <t>Choose an enemy minion. At the start of your turn, destroy it.</t>
  </si>
  <si>
    <t>B. To sort Collection in proper order, not alphabetical, sort by #Collection</t>
  </si>
  <si>
    <t>Deadly Poison</t>
  </si>
  <si>
    <t>Give your weapon +2 Attack.</t>
  </si>
  <si>
    <t>C. Don't forget you can use "CTL+F" to instantly find a single card.</t>
  </si>
  <si>
    <t>Elven Archer</t>
  </si>
  <si>
    <t>Minion</t>
  </si>
  <si>
    <t>Battlecry: Deal 1 damage.</t>
  </si>
  <si>
    <t xml:space="preserve">Battlecry; </t>
  </si>
  <si>
    <t>D.  Client Default Sort is: #Class, Mana, then Name</t>
  </si>
  <si>
    <t>Execute</t>
  </si>
  <si>
    <t>Destroy a damaged enemy minion.</t>
  </si>
  <si>
    <t>To import from an older sheet, with classes on seperate pages, sort the older sheet (and this sheet) by a common factor like Class and then Collection.  Everything Should line up in order to copy/paste in your data values into F &amp; G.</t>
  </si>
  <si>
    <t>Frost Shock</t>
  </si>
  <si>
    <t>Deal 1 damage to an enemy character and Freeze it.</t>
  </si>
  <si>
    <t>Goldshire Footman</t>
  </si>
  <si>
    <t>Taunt.</t>
  </si>
  <si>
    <t xml:space="preserve">Taunt; </t>
  </si>
  <si>
    <t>Grimscale Oracle</t>
  </si>
  <si>
    <t>Murloc</t>
  </si>
  <si>
    <t>ALL other Murlocs have +1 Attack.</t>
  </si>
  <si>
    <t>Aura</t>
  </si>
  <si>
    <t>Hand of Protection</t>
  </si>
  <si>
    <t>Give a minion Divine Shield.</t>
  </si>
  <si>
    <t>Most of the cells are hidden to simplify viewing.  To see more advanced information like individually weighting cards, card sub-type, Attack, HP, Card Text, etc, click the arrows after the "I" Column to expand that information.   To see the formulas and cells used for data collection, expand the Column after "R".</t>
  </si>
  <si>
    <t>Holy Smite</t>
  </si>
  <si>
    <t>Humility</t>
  </si>
  <si>
    <t>Change a minion's Attack to 1.</t>
  </si>
  <si>
    <t>Hunter's Mark</t>
  </si>
  <si>
    <t>Change a minion's Health to 1.</t>
  </si>
  <si>
    <t>Light's Justice</t>
  </si>
  <si>
    <t>Weapon</t>
  </si>
  <si>
    <t>Mind Vision</t>
  </si>
  <si>
    <t>Put a copy of a random card in your opponent's hand into your hand.</t>
  </si>
  <si>
    <t>Mirror Image</t>
  </si>
  <si>
    <t>Summon two 0/2 minions with Taunt.</t>
  </si>
  <si>
    <t>Mortal Coil</t>
  </si>
  <si>
    <t>Deal 1 damage to a minion. If that kills it, draw a card.</t>
  </si>
  <si>
    <t>Murloc Raider</t>
  </si>
  <si>
    <t>Northshire Cleric</t>
  </si>
  <si>
    <t>Whenever a minion is healed, draw a card.</t>
  </si>
  <si>
    <t>Total Card Count</t>
  </si>
  <si>
    <t>Power Word: Shield</t>
  </si>
  <si>
    <t>Give a minion +2 Health. Draw a card.</t>
  </si>
  <si>
    <t>BRM</t>
  </si>
  <si>
    <t>Adv4</t>
  </si>
  <si>
    <t>Rockbiter Weapon</t>
  </si>
  <si>
    <t>Give a friendly character +3 Attack this turn.</t>
  </si>
  <si>
    <t>Unique</t>
  </si>
  <si>
    <t>Sinister Strike</t>
  </si>
  <si>
    <t>Deal 3 damage to the enemy hero.</t>
  </si>
  <si>
    <t>Soulfire</t>
  </si>
  <si>
    <t>Deal 4 damage. Discard a random card.</t>
  </si>
  <si>
    <t>Stonetusk Boar</t>
  </si>
  <si>
    <t>Beast</t>
  </si>
  <si>
    <t>Charge.</t>
  </si>
  <si>
    <t>Charge;</t>
  </si>
  <si>
    <t>Timber Wolf</t>
  </si>
  <si>
    <t>Your other Beasts have +1 Attack.</t>
  </si>
  <si>
    <t xml:space="preserve">Aura; </t>
  </si>
  <si>
    <t>Tracking</t>
  </si>
  <si>
    <t>Look at the top three cards of your deck. Draw one and discard the others.</t>
  </si>
  <si>
    <t>Voidwalker</t>
  </si>
  <si>
    <t>Demon</t>
  </si>
  <si>
    <t>Playable</t>
  </si>
  <si>
    <t>Voodoo Doctor</t>
  </si>
  <si>
    <t>Battlecry: Restore 2 Health.</t>
  </si>
  <si>
    <t>Whirlwind</t>
  </si>
  <si>
    <t>Deal 1 damage to ALL minions.</t>
  </si>
  <si>
    <t>Acidic Swamp Ooze</t>
  </si>
  <si>
    <t>Battlecry: Destroy your opponent's weapon.</t>
  </si>
  <si>
    <t>Arcane Explosion</t>
  </si>
  <si>
    <t>Deal 1 damage to all enemy minions.</t>
  </si>
  <si>
    <t>Bloodfen Raptor</t>
  </si>
  <si>
    <t>Bluegill Warrior</t>
  </si>
  <si>
    <t>Cleave</t>
  </si>
  <si>
    <t>Deal 2 damage to two random enemy minions.</t>
  </si>
  <si>
    <t>Divine Spirit</t>
  </si>
  <si>
    <t>Double a minion's Health.</t>
  </si>
  <si>
    <t>Fiery War Axe</t>
  </si>
  <si>
    <t>Flametongue Totem</t>
  </si>
  <si>
    <t>Totem</t>
  </si>
  <si>
    <t>Adjacent minions have +2 Attack.</t>
  </si>
  <si>
    <t>Frostbolt</t>
  </si>
  <si>
    <t>Deal 3 damage to a character and Freeze it.</t>
  </si>
  <si>
    <t>Frostwolf Grunt</t>
  </si>
  <si>
    <t>Heroic Strike</t>
  </si>
  <si>
    <t>Give your hero +4 Attack this turn.</t>
  </si>
  <si>
    <t>Holy Light</t>
  </si>
  <si>
    <t>Restore 6 Health.</t>
  </si>
  <si>
    <t>Kobold Geomancer</t>
  </si>
  <si>
    <t>Spell Damage +1.</t>
  </si>
  <si>
    <t xml:space="preserve">Spell Damage; </t>
  </si>
  <si>
    <t>Mark of the Wild</t>
  </si>
  <si>
    <t>Give a minion Taunt and +2/+2. (+2 Attack and +2 Health)</t>
  </si>
  <si>
    <t>Mind Blast</t>
  </si>
  <si>
    <t>Deal 5 damage to the enemy hero.</t>
  </si>
  <si>
    <t>Murloc Tidehunter</t>
  </si>
  <si>
    <t>Battlecry: Summon a 1/1 Murloc Scout.</t>
  </si>
  <si>
    <t>Battlecry;</t>
  </si>
  <si>
    <t>Novice Engineer</t>
  </si>
  <si>
    <t>Battlecry: Draw a card.</t>
  </si>
  <si>
    <t>River Crocolisk</t>
  </si>
  <si>
    <t>Sap</t>
  </si>
  <si>
    <t>Return an enemy minion to its owner's hand.</t>
  </si>
  <si>
    <t>Shadow Word: Pain</t>
  </si>
  <si>
    <t>Destroy a minion with 3 or less Attack.</t>
  </si>
  <si>
    <t>Shiv</t>
  </si>
  <si>
    <t>Deal 1 damage. Draw a card.</t>
  </si>
  <si>
    <t>Succubus</t>
  </si>
  <si>
    <t>Battlecry: Discard a random card.</t>
  </si>
  <si>
    <t>Wild Growth</t>
  </si>
  <si>
    <t>Gain an empty Mana Crystal.</t>
  </si>
  <si>
    <t>Windfury</t>
  </si>
  <si>
    <t>Give a minion Windfury.</t>
  </si>
  <si>
    <t>Animal Companion</t>
  </si>
  <si>
    <t>Summon a random Beast companion.</t>
  </si>
  <si>
    <t>Arcane Intellect</t>
  </si>
  <si>
    <t>Draw 2 cards.</t>
  </si>
  <si>
    <t>Charge</t>
  </si>
  <si>
    <t>Give a friendly minion +2 Attack and Charge.</t>
  </si>
  <si>
    <t>Dalaran Mage</t>
  </si>
  <si>
    <t>Drain Life</t>
  </si>
  <si>
    <t>Deal 2 damage. Restore 2 Health to your hero.</t>
  </si>
  <si>
    <t>Fan of Knives</t>
  </si>
  <si>
    <t>Deal 1 damage to all enemy minions. Draw a card.</t>
  </si>
  <si>
    <t>Frost Nova</t>
  </si>
  <si>
    <t>Freeze all enemy minions.</t>
  </si>
  <si>
    <t>Healing Touch</t>
  </si>
  <si>
    <t>Restore 8 Health.</t>
  </si>
  <si>
    <t>Hex</t>
  </si>
  <si>
    <t>Transform a minion into a 0/1 frog with Taunt.</t>
  </si>
  <si>
    <t>Ironforge Rifleman</t>
  </si>
  <si>
    <t>Ironfur Grizzly</t>
  </si>
  <si>
    <t>Kill Command</t>
  </si>
  <si>
    <t>Deal 3 damage. If you have a Beast, deal 5 damage instead.</t>
  </si>
  <si>
    <t>Magma Rager</t>
  </si>
  <si>
    <t>Raid Leader</t>
  </si>
  <si>
    <t>Your other minions have +1 Attack.</t>
  </si>
  <si>
    <t>Razorfen Hunter</t>
  </si>
  <si>
    <t>Battlecry: Summon a 1/1 Boar.</t>
  </si>
  <si>
    <t>Savage Roar</t>
  </si>
  <si>
    <t>Give your Characters +2 Attack this turn.</t>
  </si>
  <si>
    <t>Shadow Bolt</t>
  </si>
  <si>
    <t>Deal 4 damage to a minion.</t>
  </si>
  <si>
    <t>Shadow Word: Death</t>
  </si>
  <si>
    <t>Destroy a minion with an attack of 5 or more</t>
  </si>
  <si>
    <t>Shattered Sun Cleric</t>
  </si>
  <si>
    <t>Battlecry: Give a friendly minion +1/+1.</t>
  </si>
  <si>
    <t>Shield Block</t>
  </si>
  <si>
    <t>Gain 5 Armor. Draw a card.</t>
  </si>
  <si>
    <t>Silverback Patriarch</t>
  </si>
  <si>
    <t>Warsong Commander</t>
  </si>
  <si>
    <t>Your Charge Minions have +1 Attack</t>
  </si>
  <si>
    <t>Wolfrider</t>
  </si>
  <si>
    <t>Blessing of Kings</t>
  </si>
  <si>
    <t>Give a minion +4/+4 (+4 Attack / +4 Health).</t>
  </si>
  <si>
    <t>Chillwind Yeti</t>
  </si>
  <si>
    <t>Consecration</t>
  </si>
  <si>
    <t>Deal 2 damage to all enemies.</t>
  </si>
  <si>
    <t>Dragonling Mechanic</t>
  </si>
  <si>
    <t>Battlecry: Summon a 2/1 Mechanical Dragonling.</t>
  </si>
  <si>
    <t>Fireball</t>
  </si>
  <si>
    <t>Deal 6 damage.</t>
  </si>
  <si>
    <t>Gnomish Inventor</t>
  </si>
  <si>
    <t>Hammer of Wrath</t>
  </si>
  <si>
    <t>Deal 3 damage. Draw a card.</t>
  </si>
  <si>
    <t>Hellfire</t>
  </si>
  <si>
    <t>Deal 3 damage to ALL characters.</t>
  </si>
  <si>
    <t>Houndmaster</t>
  </si>
  <si>
    <t>Battlecry: Give a friendly Beast +2/+2 and Taunt.</t>
  </si>
  <si>
    <t>Kor'kron Elite</t>
  </si>
  <si>
    <t>Multi-Shot</t>
  </si>
  <si>
    <t>Deal 3 damage to two random enemy minions.</t>
  </si>
  <si>
    <t>Oasis Snapjaw</t>
  </si>
  <si>
    <t>Ogre Magi</t>
  </si>
  <si>
    <t>Polymorph</t>
  </si>
  <si>
    <t>Transform a minion into a 1/1 sheep.</t>
  </si>
  <si>
    <t>Sen'jin Shieldmasta</t>
  </si>
  <si>
    <t>Stormwind Knight</t>
  </si>
  <si>
    <t>Swipe</t>
  </si>
  <si>
    <t>Deal 4 damage to an enemy and 1 damage to all other enemies.</t>
  </si>
  <si>
    <t>Truesilver Champion</t>
  </si>
  <si>
    <t>Whenever your hero attacks, restore 2 health to it.</t>
  </si>
  <si>
    <t>Water Elemental</t>
  </si>
  <si>
    <t>Freeze any character damaged by this minion.</t>
  </si>
  <si>
    <t>Windspeaker</t>
  </si>
  <si>
    <t>Battlecry: Give a friendly minion Windfury.</t>
  </si>
  <si>
    <t>Arcanite Reaper</t>
  </si>
  <si>
    <t>Assassin's Blade</t>
  </si>
  <si>
    <t>Assassinate</t>
  </si>
  <si>
    <t>Destroy an enemy minion.</t>
  </si>
  <si>
    <t>Bloodlust</t>
  </si>
  <si>
    <t>Give your Minions +3 Attack this turn.</t>
  </si>
  <si>
    <t>Booty Bay Bodyguard</t>
  </si>
  <si>
    <t>Darkscale Healer</t>
  </si>
  <si>
    <t>Battlecry: Restore 2 Health to all friendly characters.</t>
  </si>
  <si>
    <t>Frostwolf Warlord</t>
  </si>
  <si>
    <t>Battlecry: Gain +1/+1 for each other friendly minion on the battlefield.</t>
  </si>
  <si>
    <t>Gurubashi Berserker</t>
  </si>
  <si>
    <t>Whenever this minion takes damage, gain +3 Attack.</t>
  </si>
  <si>
    <t>Enrage</t>
  </si>
  <si>
    <t>Holy Nova</t>
  </si>
  <si>
    <t>Deal 2 damage to all enemies. Restore 2 Health to all friendly characters.</t>
  </si>
  <si>
    <t>Nightblade</t>
  </si>
  <si>
    <t>Battlecry: Deal 3 damage to the enemy hero.</t>
  </si>
  <si>
    <t>Starving Buzzard</t>
  </si>
  <si>
    <t>Whenever you summon a Beast, draw a card.</t>
  </si>
  <si>
    <t>Stormpike Commando</t>
  </si>
  <si>
    <t>Battlecry: Deal 2 damage.</t>
  </si>
  <si>
    <t>Tundra Rhino</t>
  </si>
  <si>
    <t>Your Beasts have Charge.</t>
  </si>
  <si>
    <t>Archmage</t>
  </si>
  <si>
    <t>Boulderfist Ogre</t>
  </si>
  <si>
    <t>Dread Infernal</t>
  </si>
  <si>
    <t>Battlecry: Deal 1 damage to ALL other characters.</t>
  </si>
  <si>
    <t>Fire Elemental</t>
  </si>
  <si>
    <t>Battlecry: Deal 3 damage.</t>
  </si>
  <si>
    <t>Lord of the Arena</t>
  </si>
  <si>
    <t>Reckless Rocketeer</t>
  </si>
  <si>
    <t xml:space="preserve">Charge; </t>
  </si>
  <si>
    <t>Starfire</t>
  </si>
  <si>
    <t>Deal 5 damage. Draw a card.</t>
  </si>
  <si>
    <t>Vanish</t>
  </si>
  <si>
    <t>Return all minions to their owner's hand.</t>
  </si>
  <si>
    <t>Core Hound</t>
  </si>
  <si>
    <t>Flamestrike</t>
  </si>
  <si>
    <t>Deal 4 damage to all enemy minions.</t>
  </si>
  <si>
    <t>Guardian of Kings</t>
  </si>
  <si>
    <t>Battlecry: Restore 6 Health to your hero.</t>
  </si>
  <si>
    <t>Sprint</t>
  </si>
  <si>
    <t>Draw 4 cards.</t>
  </si>
  <si>
    <t>Stormwind Champion</t>
  </si>
  <si>
    <t>Your other minions have +1/+1.</t>
  </si>
  <si>
    <t>War Golem</t>
  </si>
  <si>
    <t>Ironbark Protector</t>
  </si>
  <si>
    <t>Mind Control</t>
  </si>
  <si>
    <t>Take control of an enemy minion.</t>
  </si>
  <si>
    <t>Twilight Whelp</t>
  </si>
  <si>
    <t>Dragon</t>
  </si>
  <si>
    <t>Battlecry: If you're holding a Dragon, gain +2 Health.</t>
  </si>
  <si>
    <t>Gang Up</t>
  </si>
  <si>
    <t>Choose a minion. Shuffle 3 copies of it into your deck.</t>
  </si>
  <si>
    <t>Quick Shot</t>
  </si>
  <si>
    <t>Deal 3 damage. If your hand is empty, draw a card.</t>
  </si>
  <si>
    <t>Blackwing Technician</t>
  </si>
  <si>
    <t>Battlecry: If you're holding a Dragon, gain +1/+1.</t>
  </si>
  <si>
    <t>Druid of the Flame</t>
  </si>
  <si>
    <t>Choose One - Transform into a 5/2 minion; or a 2/5 minion.</t>
  </si>
  <si>
    <t>Choose One</t>
  </si>
  <si>
    <t>Imp Gang Boss</t>
  </si>
  <si>
    <t>Whenever this minsion takes damage, summon a 1/1 Imp.</t>
  </si>
  <si>
    <t>Axe Flinger</t>
  </si>
  <si>
    <t>Whenever this minion takes damage, deal 2 damage to the enemy hero.</t>
  </si>
  <si>
    <t>Dragonkin Sorcerer</t>
  </si>
  <si>
    <t>Whenever you target this minion with a spell, gain +1/+1.</t>
  </si>
  <si>
    <t>Fireguard Destroyer</t>
  </si>
  <si>
    <t>Battlecry: Gain 1-4 Attack. Overload: (1)</t>
  </si>
  <si>
    <t>Hungry Dragon</t>
  </si>
  <si>
    <t>Battlecry: Summon a random 1-Cost minion for your opponent.</t>
  </si>
  <si>
    <t>Blackwing Corruptor</t>
  </si>
  <si>
    <t>Battlecry: If you're holding a Dragon, deal 3 damage.</t>
  </si>
  <si>
    <t>Dragon's Breath</t>
  </si>
  <si>
    <t>Deal 4 damage. Costs (1) less for each minion that died this turn.</t>
  </si>
  <si>
    <t>Solemn Vigil</t>
  </si>
  <si>
    <t>Draw 2 cards. Costs (1) less for each minion that died this turn.</t>
  </si>
  <si>
    <t>Drakonid Crusher</t>
  </si>
  <si>
    <t>Battlecry: If your opponent has 15 or less Health, gain +3/+3</t>
  </si>
  <si>
    <t>Volcanic Drake</t>
  </si>
  <si>
    <t>Costs (1) less for each minion that died this turn.</t>
  </si>
  <si>
    <t>Emperor Thaurissan</t>
  </si>
  <si>
    <t>At the end of your turn, reduce the Cost of cards in your hand by (1).</t>
  </si>
  <si>
    <t>Rend Blackhand</t>
  </si>
  <si>
    <t>Battlecry: If you're holding a Dragon, destroy a Legendary minion.</t>
  </si>
  <si>
    <t>Chromaggus</t>
  </si>
  <si>
    <t>Whenever you drag a card, put another copy into your hand.</t>
  </si>
  <si>
    <t>Majordomo Executus</t>
  </si>
  <si>
    <t>Deathrattle: Replace your hero with Ragnaros, the Firelord.</t>
  </si>
  <si>
    <t xml:space="preserve">Deathrattle; </t>
  </si>
  <si>
    <t>Nefarian</t>
  </si>
  <si>
    <t>Battlecry: Add 2 random spells to your hand (from your opponent's class).</t>
  </si>
  <si>
    <t>Dragon Egg</t>
  </si>
  <si>
    <t>Whenever this minion takes damage, summon a 2/1 Whelp.</t>
  </si>
  <si>
    <t>Lava Shock</t>
  </si>
  <si>
    <t>Deal 2 damage. Unlock your Overloaded Mana Crystals.</t>
  </si>
  <si>
    <t>Resurrect</t>
  </si>
  <si>
    <t>Summon a random friendly minion that died this game.</t>
  </si>
  <si>
    <t>Revenge</t>
  </si>
  <si>
    <t>Deal 1 damage to all minions. If you have 12 or less Health, deal 3 damage instead.</t>
  </si>
  <si>
    <t>Demonwrath</t>
  </si>
  <si>
    <t>Deal 2 damage to all non-Demon minions.</t>
  </si>
  <si>
    <t>Flamewaker</t>
  </si>
  <si>
    <t>After you cast a spell, deal 2 damage randomly split among all enemies.</t>
  </si>
  <si>
    <t>Core Rager</t>
  </si>
  <si>
    <t>Battlecry: If your hand is empty, gain +3/+3.</t>
  </si>
  <si>
    <t>Dark Iron Skulker</t>
  </si>
  <si>
    <t>Battlecry: Deal 2 damage to all undamaged enemy minions.</t>
  </si>
  <si>
    <t>Dragon Consort</t>
  </si>
  <si>
    <t>Battlecry: The next Dragon you play costs (2) less.</t>
  </si>
  <si>
    <t>Grim Patron</t>
  </si>
  <si>
    <t>Whenever this minion survives damage, summon another Grim Patron.</t>
  </si>
  <si>
    <t>Volcanic Lumberer</t>
  </si>
  <si>
    <t>Taunt Costs (1) less for each minion that died this turn.</t>
  </si>
  <si>
    <t>Circle of Healing</t>
  </si>
  <si>
    <t>Restore 4 health to ALL minions.</t>
  </si>
  <si>
    <t>Inner Rage</t>
  </si>
  <si>
    <t>Deal 1 damage to a minion and give it +2 Attack.</t>
  </si>
  <si>
    <t>Shadowstep</t>
  </si>
  <si>
    <t>Return a friendly minion to your hand. It costs (2) less.</t>
  </si>
  <si>
    <t>Silence</t>
  </si>
  <si>
    <t>Silence a minion.</t>
  </si>
  <si>
    <t>Wisp</t>
  </si>
  <si>
    <t>Abusive Sergeant</t>
  </si>
  <si>
    <t>Battlecry: Give a minion +2 Attack until the end of turn.</t>
  </si>
  <si>
    <t>Argent Squire</t>
  </si>
  <si>
    <t>Divine Shield.</t>
  </si>
  <si>
    <t xml:space="preserve">Divine Shield; </t>
  </si>
  <si>
    <t>Blessing of Wisdom</t>
  </si>
  <si>
    <t>Choose a minion. Whenever it attacks, draw a card.</t>
  </si>
  <si>
    <t>Blood Imp</t>
  </si>
  <si>
    <t>Stealth. At the end of your turn, give another random friendly minion +1 Health.</t>
  </si>
  <si>
    <t xml:space="preserve">Stealth; </t>
  </si>
  <si>
    <t>Cold Blood</t>
  </si>
  <si>
    <t>Give a minion +2 Attack. Combo: +4 Attack instead.</t>
  </si>
  <si>
    <t>Conceal</t>
  </si>
  <si>
    <t>Give your minions Stealth until your next turn.</t>
  </si>
  <si>
    <t>Dust Devil</t>
  </si>
  <si>
    <t>Windfury, Overload: (2)</t>
  </si>
  <si>
    <t>Windfury;</t>
  </si>
  <si>
    <t>Earth Shock</t>
  </si>
  <si>
    <t>Silence a minion, then deal 1 damage to it.</t>
  </si>
  <si>
    <t>Eye for an Eye</t>
  </si>
  <si>
    <t>Secret</t>
  </si>
  <si>
    <t>Secret: When your hero takes damage, deal that much damage to the enemy hero.</t>
  </si>
  <si>
    <t>Flame Imp</t>
  </si>
  <si>
    <t>Battlecry: Deal 3 damage to your hero.</t>
  </si>
  <si>
    <t>Forked Lightning</t>
  </si>
  <si>
    <t>Deal 2 damage to 2 random enemy minions. Overload: (2)</t>
  </si>
  <si>
    <t>Ice Lance</t>
  </si>
  <si>
    <t>Freeze a character. If it was already Frozen, deal 4 damage instead.</t>
  </si>
  <si>
    <t>Inner Fire</t>
  </si>
  <si>
    <t>Change a minion's Attack to be equal to its Health.</t>
  </si>
  <si>
    <t>Leper Gnome</t>
  </si>
  <si>
    <t>Deathrattle: Deal 2 damage to the enemy hero.</t>
  </si>
  <si>
    <t>Lightning Bolt</t>
  </si>
  <si>
    <t>Deal 3 damage. Overload: (1)</t>
  </si>
  <si>
    <t>Mana Wyrm</t>
  </si>
  <si>
    <t>Whenever you cast a spell, gain +1 Attack.</t>
  </si>
  <si>
    <t>Naturalize</t>
  </si>
  <si>
    <t>Destroy a minion. Your opponent draws 2 cards.</t>
  </si>
  <si>
    <t>Noble Sacrifice</t>
  </si>
  <si>
    <t>Secret: When an enemy attacks, summon a 2/1 Defender as the new target.</t>
  </si>
  <si>
    <t>Power Overwhelming</t>
  </si>
  <si>
    <t>Give a friendly minion +4/+4 until end of turn. Then, it dies. Horribly.</t>
  </si>
  <si>
    <t>Redemption</t>
  </si>
  <si>
    <t>Secret: When one of your minions dies, return it to life with 1 Health.</t>
  </si>
  <si>
    <t>Repentance</t>
  </si>
  <si>
    <t>Secret: When your opponent plays a minion, reduce its Health to 1.</t>
  </si>
  <si>
    <t>Shieldbearer</t>
  </si>
  <si>
    <t>Southsea Deckhand</t>
  </si>
  <si>
    <t>Pirate</t>
  </si>
  <si>
    <t>Has Charge while you have a weapon equipped.</t>
  </si>
  <si>
    <t>Worgen Infiltrator</t>
  </si>
  <si>
    <t>Stealth.</t>
  </si>
  <si>
    <t>Young Dragonhawk</t>
  </si>
  <si>
    <t>Windfury.</t>
  </si>
  <si>
    <t xml:space="preserve">Windfury; </t>
  </si>
  <si>
    <t>Amani Berserker</t>
  </si>
  <si>
    <t>Enrage: +3 Attack.</t>
  </si>
  <si>
    <t xml:space="preserve">Enrage; </t>
  </si>
  <si>
    <t>Argent Protector</t>
  </si>
  <si>
    <t>Battlecry: Give a friendly minion Divine Shield.</t>
  </si>
  <si>
    <t>Battle Rage</t>
  </si>
  <si>
    <t>Draw a card for each damaged friendly character.</t>
  </si>
  <si>
    <t>Betrayal</t>
  </si>
  <si>
    <t>Force an enemy minion to eal its damage to the minions next to it.</t>
  </si>
  <si>
    <t>Bloodsail Raider</t>
  </si>
  <si>
    <t>Battlecry: Gain Attack equal to the Attack of your weapon.</t>
  </si>
  <si>
    <t>Cruel Taskmaster</t>
  </si>
  <si>
    <t>Battlecry: Deal 1 damage to a minion and give it +2 Attack.</t>
  </si>
  <si>
    <t>Defias Ringleader</t>
  </si>
  <si>
    <t>Combo: Summon a 2/1 Defias Bandit.</t>
  </si>
  <si>
    <t xml:space="preserve">Combo; </t>
  </si>
  <si>
    <t>Demonfire</t>
  </si>
  <si>
    <t>Deal 2 damage to a minion. If it's a friendly Demon, give it +2/+2 instead.</t>
  </si>
  <si>
    <t>Dire Wolf Alpha</t>
  </si>
  <si>
    <t>Adjacent minions have +1 Attack.</t>
  </si>
  <si>
    <t>Eviscerate</t>
  </si>
  <si>
    <t>Deal 2 damage. Combo: Deal 4 damage instead.</t>
  </si>
  <si>
    <t>Explosive Trap</t>
  </si>
  <si>
    <t>Secret: When your hero is attacked, deal 2 damage to all enemies.</t>
  </si>
  <si>
    <t>Faerie Dragon</t>
  </si>
  <si>
    <t>Can't be targeted by Spells or Hero Powers.</t>
  </si>
  <si>
    <t>Freezing Trap</t>
  </si>
  <si>
    <t>Secret: When an enemy minion attacks, return it to its owner's hand and it costs (2) more.</t>
  </si>
  <si>
    <t>Loot Hoarder</t>
  </si>
  <si>
    <t>Deathrattle: Draw a card.</t>
  </si>
  <si>
    <t>Mad Bomber</t>
  </si>
  <si>
    <t>Battlecry: Deal 3 damage randomly split between ALL other characters.</t>
  </si>
  <si>
    <t>Power of the Wild</t>
  </si>
  <si>
    <t>Choose One - Give your minions +1/+1; or summon a 3/2 Panther.</t>
  </si>
  <si>
    <t>Rampage</t>
  </si>
  <si>
    <t>Give a damaged minion +3/+3.</t>
  </si>
  <si>
    <t>Scavenging Hyena</t>
  </si>
  <si>
    <t>Whenever a friendly Beast dies, gain +2/+1.</t>
  </si>
  <si>
    <t>Slam</t>
  </si>
  <si>
    <t>Deal 2 damage to a minion. If it survives, draw a card.</t>
  </si>
  <si>
    <t>Snipe</t>
  </si>
  <si>
    <t>Secret: When your opponent plays a minion, deal 4 damage to it.</t>
  </si>
  <si>
    <t>Sorcerer's Apprentice</t>
  </si>
  <si>
    <t>Your spells cost (1) less.</t>
  </si>
  <si>
    <t>Stormforged Axe</t>
  </si>
  <si>
    <t>Overload: (1)</t>
  </si>
  <si>
    <t>Wrath</t>
  </si>
  <si>
    <t>Choose One - Deal 3 damage to a minion; or 1 damage and draw a card.</t>
  </si>
  <si>
    <t>Youthful Brewmaster</t>
  </si>
  <si>
    <t>Battlecry: Return a friendly minion from the battlefield to your hand.</t>
  </si>
  <si>
    <t>Acolyte of Pain</t>
  </si>
  <si>
    <t>Whenever this minion takes damage, draw a card.</t>
  </si>
  <si>
    <t>Deadly Shot</t>
  </si>
  <si>
    <t>Destroy a random enemy minion.</t>
  </si>
  <si>
    <t>Earthen Ring Farseer</t>
  </si>
  <si>
    <t>Battlecry: Restore 3 Health.</t>
  </si>
  <si>
    <t>Flesheating Ghoul</t>
  </si>
  <si>
    <t>Whenever a minion dies, gain +1 Attack.</t>
  </si>
  <si>
    <t>Harvest Golem</t>
  </si>
  <si>
    <t>Mech</t>
  </si>
  <si>
    <t>Deathrattle: Summon a 2/1 Damaged Golem.</t>
  </si>
  <si>
    <t>Ice Barrier</t>
  </si>
  <si>
    <t>Secret: As soon as your hero is attacked, gain 8 armor.</t>
  </si>
  <si>
    <t>Ironbeak Owl</t>
  </si>
  <si>
    <t>Battlecry: Silence a minion.</t>
  </si>
  <si>
    <t>Jungle Panther</t>
  </si>
  <si>
    <t>Mark of Nature</t>
  </si>
  <si>
    <t>Choose One - Give a minion +4 Attack; or +4 Health and Taunt.</t>
  </si>
  <si>
    <t>Mirror Entity</t>
  </si>
  <si>
    <t>Secret: When your opponent plays a minion, summon a copy of it.</t>
  </si>
  <si>
    <t>Raging Worgen</t>
  </si>
  <si>
    <t>Enrage: Windfury and +1 Attack.</t>
  </si>
  <si>
    <t>Scarlet Crusader</t>
  </si>
  <si>
    <t>Sense Demons</t>
  </si>
  <si>
    <t>Put 2 random Demons from your deck into your hand.</t>
  </si>
  <si>
    <t>Tauren Warrior</t>
  </si>
  <si>
    <t>Taunt. Enrage: +3 Attack.</t>
  </si>
  <si>
    <t>Thoughtsteal</t>
  </si>
  <si>
    <t>Copy 2 cards from your opponent's deck and put them into your hand.</t>
  </si>
  <si>
    <t>Thrallmar Farseer</t>
  </si>
  <si>
    <t>Unbound Elemental</t>
  </si>
  <si>
    <t>Whenever you play a card with Overload, gain +1/+1.</t>
  </si>
  <si>
    <t>Unleash the Hounds</t>
  </si>
  <si>
    <t>For each enemy minion, summon a 1/1 Hound with Charge.</t>
  </si>
  <si>
    <t>Card Expansion Weighting</t>
  </si>
  <si>
    <t>Ancient Brewmaster</t>
  </si>
  <si>
    <t>All</t>
  </si>
  <si>
    <t>Arathi Weaponsmith</t>
  </si>
  <si>
    <t>Battlecry: Equip a 2/2 weapon.</t>
  </si>
  <si>
    <t>Cone of Cold</t>
  </si>
  <si>
    <t>Freeze a minion and the minions next to it, and deal 1 damage to them.</t>
  </si>
  <si>
    <t>Cult Master</t>
  </si>
  <si>
    <t>Whenever one of your other minions dies, draw a card.</t>
  </si>
  <si>
    <t>Dark Iron Dwarf</t>
  </si>
  <si>
    <t>Dread Corsair</t>
  </si>
  <si>
    <t>Taunt. Costs (1) less per Attack of your weapon.</t>
  </si>
  <si>
    <t>Lightspawn</t>
  </si>
  <si>
    <t>*</t>
  </si>
  <si>
    <t>This minion's Attack is always equal to its Health.</t>
  </si>
  <si>
    <t>Mogu'shan Warden</t>
  </si>
  <si>
    <t>Silvermoon Guardian</t>
  </si>
  <si>
    <t>Soul of the Forest</t>
  </si>
  <si>
    <t>Give your minions "Deathrattle: Summon a 2/2 Treant."</t>
  </si>
  <si>
    <t>Spellbreaker</t>
  </si>
  <si>
    <t>Summoning Portal</t>
  </si>
  <si>
    <t>Your minions cost (2) less, but not less than (1).</t>
  </si>
  <si>
    <t>Druid of the Claw</t>
  </si>
  <si>
    <t>Choose One - Charge; or +2 Health and Taunt.</t>
  </si>
  <si>
    <t xml:space="preserve">Choose One; </t>
  </si>
  <si>
    <t>Fen Creeper</t>
  </si>
  <si>
    <t>Silver Hand Knight</t>
  </si>
  <si>
    <t>Battlecry: Summon a 2/2 Squire.</t>
  </si>
  <si>
    <t>Spiteful Smith</t>
  </si>
  <si>
    <t>Enrage: Your Weapon has +2 Attack.</t>
  </si>
  <si>
    <t>Stranglethorn Tiger</t>
  </si>
  <si>
    <t>Venture Co. Mercenary</t>
  </si>
  <si>
    <t>Your minions cost (3) more.</t>
  </si>
  <si>
    <t>Frost Elemental</t>
  </si>
  <si>
    <t>Battlecry: Freeze a character.</t>
  </si>
  <si>
    <t>Priestess of Elune</t>
  </si>
  <si>
    <t>Battlecry: Restore 4 Health to your hero.</t>
  </si>
  <si>
    <t>Temple Enforcer</t>
  </si>
  <si>
    <t>Battlecry: Give a friendly minion +3 Health.</t>
  </si>
  <si>
    <t>Windfury Harpy</t>
  </si>
  <si>
    <t xml:space="preserve">Windruy; </t>
  </si>
  <si>
    <t>Preparation</t>
  </si>
  <si>
    <t>The next spell you cast this turn costs (3) less.</t>
  </si>
  <si>
    <t>Bestial Wrath</t>
  </si>
  <si>
    <t>Give a Beast +2 Attack and Immune this turn.</t>
  </si>
  <si>
    <t>Hungry Crab</t>
  </si>
  <si>
    <t>Battlecry: Destroy a Murloc and gain +2/+2.</t>
  </si>
  <si>
    <t>Shield Slam</t>
  </si>
  <si>
    <t>Deal 1 damage to a minion for each armor you have.</t>
  </si>
  <si>
    <t>Doomsayer</t>
  </si>
  <si>
    <t>At the start of your turn, destroy ALL minions.</t>
  </si>
  <si>
    <t>Patient Assassin</t>
  </si>
  <si>
    <t>Stealth. Destroy any minion damaged by this minion.</t>
  </si>
  <si>
    <t>Snake Trap</t>
  </si>
  <si>
    <t>Secret: When one of your minions is attacked, summon three 1/1 Snakes.</t>
  </si>
  <si>
    <t>Blood Knight</t>
  </si>
  <si>
    <t>Battlecry: All minions lose Divine Shield. Gain +3/+3 for each Shield lost.</t>
  </si>
  <si>
    <t>Far Sight</t>
  </si>
  <si>
    <t>Draw a card. That card costs (3) less.</t>
  </si>
  <si>
    <t>Ice Block</t>
  </si>
  <si>
    <t>Secret: when your hero takes fatal damage, prevent it and become Immune this turn.</t>
  </si>
  <si>
    <t>Murloc Warleader</t>
  </si>
  <si>
    <t>ALL other Murlocs have +2/+1.</t>
  </si>
  <si>
    <t>Shadowform</t>
  </si>
  <si>
    <t>Your Hero Power becomes 'Deal 2 damage'. If already in Shadowform: 3 damage.</t>
  </si>
  <si>
    <t>Southsea Captain</t>
  </si>
  <si>
    <t>Your other Pirates have +1/+1.</t>
  </si>
  <si>
    <t>Aura;</t>
  </si>
  <si>
    <t>Spellbender</t>
  </si>
  <si>
    <t>Secret: When an enemy casts a spell on a minion, summon a 1/3 as the new target.</t>
  </si>
  <si>
    <t>Sword of Justice</t>
  </si>
  <si>
    <t>Whenever you summon a minion, give it +1/+1 and this loses 1 durability.</t>
  </si>
  <si>
    <t>Mindgames</t>
  </si>
  <si>
    <t>Put a copy of a random minion from your opponent's deck into the battlefield.</t>
  </si>
  <si>
    <t>Pit Lord</t>
  </si>
  <si>
    <t>Battlecry: Deal 5 damage to your hero.</t>
  </si>
  <si>
    <t>Bane of Doom</t>
  </si>
  <si>
    <t>Deal 2 damage to a character. If that kills it, summon a random Demon.</t>
  </si>
  <si>
    <t>Big Game Hunter</t>
  </si>
  <si>
    <t>Battlecry: Destroy a minion with an Attack of 7 or more.</t>
  </si>
  <si>
    <t>Brawl</t>
  </si>
  <si>
    <t>Destroy all minions except one. (chosen randomly)</t>
  </si>
  <si>
    <t>Doomhammer</t>
  </si>
  <si>
    <t>Windfury. Overload: (2)</t>
  </si>
  <si>
    <t>Earth Elemental</t>
  </si>
  <si>
    <t>Taunt. Overload: (3)</t>
  </si>
  <si>
    <t>Faceless Manipulator</t>
  </si>
  <si>
    <t>Battlecry: Choose a minion and become a copy of it.</t>
  </si>
  <si>
    <t>Force of Nature</t>
  </si>
  <si>
    <t>Summon three 2/2 treants.</t>
  </si>
  <si>
    <t>Avenging Wrath</t>
  </si>
  <si>
    <t>Deal 8 damage randomly split among enemy characters.</t>
  </si>
  <si>
    <t>Cabal Shadow Priest</t>
  </si>
  <si>
    <t>Battlecry: Take control of an enemy minion that has 2 or less Attack.</t>
  </si>
  <si>
    <t>Kidnapper</t>
  </si>
  <si>
    <t>Combo: Return a minion to its owner's hand.</t>
  </si>
  <si>
    <t>Ancient of Lore</t>
  </si>
  <si>
    <t>Choose One - Draw a card; or Restore 5 Health.</t>
  </si>
  <si>
    <t>Ancient of War</t>
  </si>
  <si>
    <t>Choose One - +5 Attack; or +5 Health and Taunt</t>
  </si>
  <si>
    <t>Gladiator's Longbow</t>
  </si>
  <si>
    <t>Your hero is Immune while attacking.</t>
  </si>
  <si>
    <t>Gorehowl</t>
  </si>
  <si>
    <t>Attacking a minion costs 1 Attack instead of 1 Durability.</t>
  </si>
  <si>
    <t>Lay on Hands</t>
  </si>
  <si>
    <t>Restore 8 Health. Draw 3 cards.</t>
  </si>
  <si>
    <t>Twisting Nether</t>
  </si>
  <si>
    <t>Destroy all minions.</t>
  </si>
  <si>
    <t>Pyroblast</t>
  </si>
  <si>
    <t>Deal 10 damage.</t>
  </si>
  <si>
    <t>Sea Giant</t>
  </si>
  <si>
    <t>Costs (1) less for each other minion on the battlefield.</t>
  </si>
  <si>
    <t>Total Card Count (Golden)</t>
  </si>
  <si>
    <t>Mountain Giant</t>
  </si>
  <si>
    <t>Costs (1) less for each other card in your hand.</t>
  </si>
  <si>
    <t>Molten Giant</t>
  </si>
  <si>
    <t>Costs (1) less for each damage your hero has taken.</t>
  </si>
  <si>
    <t>Bloodmage Thalnos</t>
  </si>
  <si>
    <t>Spell Damage +1. Deathrattle: Draw a card.</t>
  </si>
  <si>
    <t xml:space="preserve">Deathrattle; Spell Damage; </t>
  </si>
  <si>
    <t>Lorewalker Cho</t>
  </si>
  <si>
    <t>Whenever a player casts a spell, put a copy into the other player's hand.</t>
  </si>
  <si>
    <t>Millhouse Manastorm</t>
  </si>
  <si>
    <t>Battlecry: Enemy spells cost (0) next turn.</t>
  </si>
  <si>
    <t>Nat Pagle</t>
  </si>
  <si>
    <t>At the start of your turn, you have a 50% chance to draw an extra card.</t>
  </si>
  <si>
    <t>Edwin VanCleef</t>
  </si>
  <si>
    <t>Combo: Gain +2/+2 for each other card played earlier this turn.</t>
  </si>
  <si>
    <t>King Mukla</t>
  </si>
  <si>
    <t>Battlecry: Give your opponent 2 Bananas.</t>
  </si>
  <si>
    <t>Tinkmaster Overspark</t>
  </si>
  <si>
    <t>Battlecry: Transform another random minion into a 5/5 Devilsaur or a 1/1 Squirrel.</t>
  </si>
  <si>
    <t>Captain Greenskin</t>
  </si>
  <si>
    <t>Battlecry: Give your weapon +1/+1.</t>
  </si>
  <si>
    <t>Harrison Jones</t>
  </si>
  <si>
    <t>Battlecry: Destroy your opponent's weapon and draw cards equal to its Durability.</t>
  </si>
  <si>
    <t>Leeroy Jenkins</t>
  </si>
  <si>
    <t>Charge. Battlecry: Summon two 1/1 Whelps for your opponent.</t>
  </si>
  <si>
    <t>Cairne Bloodhoof</t>
  </si>
  <si>
    <t>Deathrattle: Summon a 4/5 Baine Bloodhoof.</t>
  </si>
  <si>
    <t>Hogger</t>
  </si>
  <si>
    <t>At the end of your turn, summon a 2/2 Gnoll with Taunt.</t>
  </si>
  <si>
    <t>Illidan Stormrage</t>
  </si>
  <si>
    <t>Whenever you play a card, summon a 2/1 Flame of Azzinoth.</t>
  </si>
  <si>
    <t>Sylvanas Windrunner</t>
  </si>
  <si>
    <t>Deathrattle: Take control of a random enemy minion.</t>
  </si>
  <si>
    <t>The Beast</t>
  </si>
  <si>
    <t>Deathrattle: Summon a 3/3 Finkle Einhorn for your opponent.</t>
  </si>
  <si>
    <t>The Black Knight</t>
  </si>
  <si>
    <t>Battlecry: Destroy a minion with Taunt.</t>
  </si>
  <si>
    <t>Archmage Antonidas</t>
  </si>
  <si>
    <t>Whenever you cast a spell, put a 'Fireball' spell into your hand.</t>
  </si>
  <si>
    <t>Baron Geddon</t>
  </si>
  <si>
    <t>At the end of your turn, deal 2 damage to ALL other characters.</t>
  </si>
  <si>
    <t>Prophet Velen</t>
  </si>
  <si>
    <t>Double the damage and healing of your spells and hero power.</t>
  </si>
  <si>
    <t>Al'Akir the Windlord</t>
  </si>
  <si>
    <t>Windfury, Charge, Divine Shield, Taunt.</t>
  </si>
  <si>
    <t>Charge; Taunt</t>
  </si>
  <si>
    <t>Grommash Hellscream</t>
  </si>
  <si>
    <t>Charge. Enrage: +6 Attack.</t>
  </si>
  <si>
    <t>Gruul</t>
  </si>
  <si>
    <t>At the end of each turn, gain +1/+1.</t>
  </si>
  <si>
    <t>Ragnaros the Firelord</t>
  </si>
  <si>
    <t>Can't Attack. At the end of your turn, deal 8 damage to a random enemy.</t>
  </si>
  <si>
    <t xml:space="preserve">Can't Attack; </t>
  </si>
  <si>
    <t>Tirion Fordring</t>
  </si>
  <si>
    <t>Divine Shield. Taunt. Deathrattle: Equip a 5/3 Ashbringer.</t>
  </si>
  <si>
    <t>Taunt; Divine Shield</t>
  </si>
  <si>
    <t>Alexstrasza</t>
  </si>
  <si>
    <t>Battlecry: Set a hero's remaining Health to 15.</t>
  </si>
  <si>
    <t>Cenarius</t>
  </si>
  <si>
    <t>Choose One - Give your other minions +2/+2; or Summon two 2/2 Treants with Taunt.</t>
  </si>
  <si>
    <t>King Krush</t>
  </si>
  <si>
    <t>Lord Jaraxxus</t>
  </si>
  <si>
    <t>Battlecry: Destroy your hero and replace him with Lord Jaraxxus.</t>
  </si>
  <si>
    <t>Malygos</t>
  </si>
  <si>
    <t>Spell Damage +5.</t>
  </si>
  <si>
    <t>Nozdormu</t>
  </si>
  <si>
    <t>Players only have 15 seconds to take their turns.</t>
  </si>
  <si>
    <t>Onyxia</t>
  </si>
  <si>
    <t>Battlecry: Summon 1/1 Whelps until your side of the battlefield is full.</t>
  </si>
  <si>
    <t>Ysera</t>
  </si>
  <si>
    <t>At the end of your turn, draw a Dream Card.</t>
  </si>
  <si>
    <t>Deathwing</t>
  </si>
  <si>
    <t>Battlecry: Destroy all other minions and discard your hand.</t>
  </si>
  <si>
    <t>Angry Chicken</t>
  </si>
  <si>
    <t>Enrage: +5 Attack.</t>
  </si>
  <si>
    <t>Bloodsail Corsair</t>
  </si>
  <si>
    <t>Battlecry: Remove 1 Durability from your opponent's weapon.</t>
  </si>
  <si>
    <t>Lightwarden</t>
  </si>
  <si>
    <t>Whenever a character is healed, gain +2 Attack.</t>
  </si>
  <si>
    <t>Murloc Tidecaller</t>
  </si>
  <si>
    <t>Whenever a Murloc is summoned, gain +1 Attack.</t>
  </si>
  <si>
    <t>Savagery</t>
  </si>
  <si>
    <t>Deal damage equal to your hero's attack to a minion.</t>
  </si>
  <si>
    <t>Secretkeeper</t>
  </si>
  <si>
    <t>Whenever a Secret is played, gain +1/+1.</t>
  </si>
  <si>
    <t>Upgrade!</t>
  </si>
  <si>
    <t>If you have a weapon, give it +1/+1. Otherwise equip a 1/3 weapon.</t>
  </si>
  <si>
    <t>Young Priestess</t>
  </si>
  <si>
    <t>At the end of your turn, give another random friendly minion +1 Health.</t>
  </si>
  <si>
    <t>Ancestral Spirit</t>
  </si>
  <si>
    <t>Give a minion "Deathrattle: Resummon this minion."</t>
  </si>
  <si>
    <t>Ancient Watcher</t>
  </si>
  <si>
    <t>Can't Attack.</t>
  </si>
  <si>
    <t>Armorsmith</t>
  </si>
  <si>
    <t>Whenever a friendly minion takes damage, gain 1 Armor.</t>
  </si>
  <si>
    <t>Commanding Shout</t>
  </si>
  <si>
    <t>Your minions can't be reduced below 1 Health this turn. Draw a card.</t>
  </si>
  <si>
    <t>Crazed Alchemist</t>
  </si>
  <si>
    <t>Battlecry: Swap the Attack and Health of a minion.</t>
  </si>
  <si>
    <t>Equality</t>
  </si>
  <si>
    <t>Change the Health of ALL minions to 1.</t>
  </si>
  <si>
    <t>Flare</t>
  </si>
  <si>
    <t>All minions lose Stealth. Destroy all enemy secrets. Draw a card.</t>
  </si>
  <si>
    <t>Knife Juggler</t>
  </si>
  <si>
    <t>After you summon a minion, deal 1 damage to a random enemy.</t>
  </si>
  <si>
    <t>Lightwell</t>
  </si>
  <si>
    <t>At the start of your turn, restore 3 Health to a damaged friendly character.</t>
  </si>
  <si>
    <t>Mana Addict</t>
  </si>
  <si>
    <t>Whenever you cast a spell, gain +2 Attack this turn.</t>
  </si>
  <si>
    <t>Mana Wraith</t>
  </si>
  <si>
    <t>ALL minions cost (1) more.</t>
  </si>
  <si>
    <t>Master Swordsmith</t>
  </si>
  <si>
    <t>At the end of your turn, give another random friendly minion +1 Attack.</t>
  </si>
  <si>
    <t>Misdirection</t>
  </si>
  <si>
    <t>Secret: When a character attacks your hero, instead he attacks another random character.</t>
  </si>
  <si>
    <t>Pint-Sized Summoner</t>
  </si>
  <si>
    <t>The first minion you play each turn costs (1) less.</t>
  </si>
  <si>
    <t>Sunfury Protector</t>
  </si>
  <si>
    <t>Battlecry: Give adjacent minions Taunt.</t>
  </si>
  <si>
    <t>Wild Pyromancer</t>
  </si>
  <si>
    <t>After you cast a spell, deal 1 damage to ALL minions.</t>
  </si>
  <si>
    <t>Alarm-o-Bot</t>
  </si>
  <si>
    <t>At the start of your turn, swap this minion with a random one in your hand.</t>
  </si>
  <si>
    <t>Aldor Peacekeeper</t>
  </si>
  <si>
    <t>Battlecry: Change an enemy minion's attack to 1.</t>
  </si>
  <si>
    <t>Arcane Golem</t>
  </si>
  <si>
    <t>Battlecry: Give your opponent a Mana Crystal.</t>
  </si>
  <si>
    <t>Coldlight Oracle</t>
  </si>
  <si>
    <t>Battlecry: Each player draws 2 cards.</t>
  </si>
  <si>
    <t>Coldlight Seer</t>
  </si>
  <si>
    <t>Battlecry: Give ALL other Murlocs +2 Health.</t>
  </si>
  <si>
    <t>Counterspell</t>
  </si>
  <si>
    <t>Secret: When your opponent casts a spell, Counter it.</t>
  </si>
  <si>
    <t>Demolisher</t>
  </si>
  <si>
    <t>At the start of your turn, deal 2 damage to a random enemy.</t>
  </si>
  <si>
    <t>Divine Favor</t>
  </si>
  <si>
    <t>Draw cards until you have as many in hand as your opponent.</t>
  </si>
  <si>
    <t>Eaglehorn Bow</t>
  </si>
  <si>
    <t>Whenever a friendly Secret is revealed, gain +1 durability.</t>
  </si>
  <si>
    <t>Emperor Cobra</t>
  </si>
  <si>
    <t>Destroy any minion damaged by this minion.</t>
  </si>
  <si>
    <t>Felguard</t>
  </si>
  <si>
    <t>Taunt. Battlecry: Destroy one of your mana crystals.</t>
  </si>
  <si>
    <t>Feral Spirit</t>
  </si>
  <si>
    <t>Summon two 2/3 Spirit Wolves with Taunt. Overload: (2)</t>
  </si>
  <si>
    <t>Frothing Berserker</t>
  </si>
  <si>
    <t>Whenever a minion takes damage, gain +1 Attack.</t>
  </si>
  <si>
    <t>Headcrack</t>
  </si>
  <si>
    <t>Deal 2 damage to the enemy hero. Combo: Return this to your hand next turn.</t>
  </si>
  <si>
    <t>Imp Master</t>
  </si>
  <si>
    <t>At the end of your turn, deal 1 damage to this minion and summon a 1/1 Imp.</t>
  </si>
  <si>
    <t>Injured Blademaster</t>
  </si>
  <si>
    <t>Battlecry: Deal 4 damage to HIMSELF.</t>
  </si>
  <si>
    <t>Kirin Tor Mage</t>
  </si>
  <si>
    <t>Battlecry: The next Secret you play this turn costs (0).</t>
  </si>
  <si>
    <t>Lava Burst</t>
  </si>
  <si>
    <t>Deal 5 damage. Overload: (2)</t>
  </si>
  <si>
    <t>Lightning Storm</t>
  </si>
  <si>
    <t>Deal 2-3 damage to all enemy minions. Overload: (2)</t>
  </si>
  <si>
    <t>Mana Tide Totem</t>
  </si>
  <si>
    <t>At the end of your turn, draw a card.</t>
  </si>
  <si>
    <t>Mind Control Tech</t>
  </si>
  <si>
    <t>Battlecry: If your opponent has 4 or more minions, take control of one at random.</t>
  </si>
  <si>
    <t>Perdition's Blade</t>
  </si>
  <si>
    <t>Battlecry: Deal 1 damage. Combo: Deal 2 instead.</t>
  </si>
  <si>
    <t>Questing Adventurer</t>
  </si>
  <si>
    <t>Whenever you play a card, gain +1/+1.</t>
  </si>
  <si>
    <t>SI:7 Agent</t>
  </si>
  <si>
    <t>Combo: Deal 2 damage.</t>
  </si>
  <si>
    <t>Combo;</t>
  </si>
  <si>
    <t>Vaporize</t>
  </si>
  <si>
    <t>Secret: When a minion attacks your hero, destroy it.</t>
  </si>
  <si>
    <t>Void Terror</t>
  </si>
  <si>
    <t>Battlecry: Destroy the minions on either side of this minion and gain their Attack and Health.</t>
  </si>
  <si>
    <t>Ancient Mage</t>
  </si>
  <si>
    <t>Battlecry: Give adjacent minions Spell Damage +1.</t>
  </si>
  <si>
    <t>Auchenai Soulpriest</t>
  </si>
  <si>
    <t>Your cards and powers that restore Health now deal damage instead.</t>
  </si>
  <si>
    <t>Bite</t>
  </si>
  <si>
    <t>Give your hero +4 Attack this turn and 4 Armor.</t>
  </si>
  <si>
    <t>Blade Flurry</t>
  </si>
  <si>
    <t>Destroy your weapon and deal its damage to all enemies.</t>
  </si>
  <si>
    <t>Defender of Argus</t>
  </si>
  <si>
    <t>Battlecry: Give adjacent minions +1/+1 and Taunt.</t>
  </si>
  <si>
    <t>Ethereal Arcanist</t>
  </si>
  <si>
    <t>If you control a Secret at the end of your turn, gain +2/+2.</t>
  </si>
  <si>
    <t>Keeper of the Grove</t>
  </si>
  <si>
    <t>Choose One - Deal 2 damage; or Silence a minion.</t>
  </si>
  <si>
    <t>Mass Dispel</t>
  </si>
  <si>
    <t>Silence all enemy minions. Draw a card.</t>
  </si>
  <si>
    <t>Master of Disguise</t>
  </si>
  <si>
    <t>Battlecry: Give a friendly minion Stealth until your next turn.</t>
  </si>
  <si>
    <t>Mortal Strike</t>
  </si>
  <si>
    <t>Deal 4 damage. If you have 12 or less Health, deal 6 instead.</t>
  </si>
  <si>
    <t>Shadow Madness</t>
  </si>
  <si>
    <t>Gain control of an enemy minion with 3 or less Attack until end of turn.</t>
  </si>
  <si>
    <t>Shadowflame</t>
  </si>
  <si>
    <t>Destroy a friendly minion and deal its attack damage to all enemy minions.</t>
  </si>
  <si>
    <t>Twilight Drake</t>
  </si>
  <si>
    <t>1+</t>
  </si>
  <si>
    <t>Battlecry: Gain +1 Health for each card in your hand.</t>
  </si>
  <si>
    <t>Violet Teacher</t>
  </si>
  <si>
    <t>Whenever you cast a spell, summon a 1/1 Violet Apprentice.</t>
  </si>
  <si>
    <t>Abomination</t>
  </si>
  <si>
    <t>Taunt. Deathrattle: Deal 2 damage to ALL characters.</t>
  </si>
  <si>
    <t>Taunt; Deathrattle</t>
  </si>
  <si>
    <t>Azure Drake</t>
  </si>
  <si>
    <t>Spell Damage +1. Battlecry: Draw a card.</t>
  </si>
  <si>
    <t>Blessed Champion</t>
  </si>
  <si>
    <t>Double a minion's Attack.</t>
  </si>
  <si>
    <t>Doomguard</t>
  </si>
  <si>
    <t>Charge. Battlecry: Discard two random cards.</t>
  </si>
  <si>
    <t>Explosive Shot</t>
  </si>
  <si>
    <t>Deal 5 damage to a minion and 2 damage to adjacent ones.</t>
  </si>
  <si>
    <t>Holy Wrath</t>
  </si>
  <si>
    <t>Draw a card and deal damage equal to its cost.</t>
  </si>
  <si>
    <t>Nourish</t>
  </si>
  <si>
    <t>Choose One - Gain 2 Mana Crystals; or draw 3 cards.</t>
  </si>
  <si>
    <t>Stampeding Kodo</t>
  </si>
  <si>
    <t>Battlecry: Destroy a random enemy minion with 2 or less Attack.</t>
  </si>
  <si>
    <t>Starfall</t>
  </si>
  <si>
    <t>Choose One - Deal 5 damage to a minion; or 2 damage to all enemy minions.</t>
  </si>
  <si>
    <t>Argent Commander</t>
  </si>
  <si>
    <t>Charge. Divine Shield.</t>
  </si>
  <si>
    <t>Blizzard</t>
  </si>
  <si>
    <t>Deal 2 damage to all enemy minions and Freeze them.</t>
  </si>
  <si>
    <t>Gadgetzan Auctioneer</t>
  </si>
  <si>
    <t>Whenever you cast a spell, draw a card.</t>
  </si>
  <si>
    <t>Holy Fire</t>
  </si>
  <si>
    <t>Deal 5 damage. Restore 5 health to your hero.</t>
  </si>
  <si>
    <t>Savannah Highmane</t>
  </si>
  <si>
    <t>Deathrattle: Summon two 2/2 Hyenas.</t>
  </si>
  <si>
    <t>Siphon Soul</t>
  </si>
  <si>
    <t>Destroy a minion. Restore 3 Health to your hero.</t>
  </si>
  <si>
    <t>Sunwalker</t>
  </si>
  <si>
    <t>Taunt. Divine Shield.</t>
  </si>
  <si>
    <t>Ravenholdt Assassin</t>
  </si>
  <si>
    <t>Clockwork Gnome</t>
  </si>
  <si>
    <t>Deathrattle: Put a Spare Part card in your hand.</t>
  </si>
  <si>
    <t>Wild</t>
  </si>
  <si>
    <t>Cogmaster</t>
  </si>
  <si>
    <t>Has +2 attack while you have a Mech.</t>
  </si>
  <si>
    <t>Warbot</t>
  </si>
  <si>
    <t>Enrage: +1 Attack.</t>
  </si>
  <si>
    <t>Annoy-o-Tron</t>
  </si>
  <si>
    <t>Anodized Robo Cub</t>
  </si>
  <si>
    <t>Taunt. Choose one: +1 Attack; or +1 Health.</t>
  </si>
  <si>
    <t xml:space="preserve">Taunt; Choose One; </t>
  </si>
  <si>
    <t>Crackle</t>
  </si>
  <si>
    <t>Deal 3-6 damage. Overload (1)</t>
  </si>
  <si>
    <t>Darkbomb</t>
  </si>
  <si>
    <t>Deal 3 damage.</t>
  </si>
  <si>
    <t>Explosive Sheep</t>
  </si>
  <si>
    <t>Deathrattle: Deal 2 damage to all minions.</t>
  </si>
  <si>
    <t>Flamecannon</t>
  </si>
  <si>
    <t>Deal 4 damage to a random enemy minion.</t>
  </si>
  <si>
    <t>Gilblin Stalker</t>
  </si>
  <si>
    <t>Stealth</t>
  </si>
  <si>
    <t>Glaivezooka</t>
  </si>
  <si>
    <t>Battlecry: Give a random friendly minion +1 Attack.</t>
  </si>
  <si>
    <t>Goblin Auto-Barber</t>
  </si>
  <si>
    <t>Battlecry: Give your weapon +1 Attack.</t>
  </si>
  <si>
    <t>Mechwarper</t>
  </si>
  <si>
    <t>Your Mechs cost (1) less.</t>
  </si>
  <si>
    <t>Micro Machine</t>
  </si>
  <si>
    <t>At the start of each turn, gain +1 Attack.</t>
  </si>
  <si>
    <t>Puddlestomper</t>
  </si>
  <si>
    <t>Seal of Light</t>
  </si>
  <si>
    <t>Restore 4 Health to your hero and gain +2 Attack this turn.</t>
  </si>
  <si>
    <t>Shielded Minibot</t>
  </si>
  <si>
    <t>Divine Shield</t>
  </si>
  <si>
    <t>Ship's Cannon</t>
  </si>
  <si>
    <t>Whenever you summon a Pirate, deal 2 damage to a random enemy.</t>
  </si>
  <si>
    <t>Shrinkmeister</t>
  </si>
  <si>
    <t>Battlecry: Give a minion -2 attack this turn.</t>
  </si>
  <si>
    <t>Snowchugger</t>
  </si>
  <si>
    <t>Stonesplinter Trogg</t>
  </si>
  <si>
    <t>Whenever your opponent casts a spell, gain +1 Attack.</t>
  </si>
  <si>
    <t>Whirling Zap-o-matic</t>
  </si>
  <si>
    <t>Flying Machine</t>
  </si>
  <si>
    <t>Gnomeregan Infantry</t>
  </si>
  <si>
    <t>Charge. Taunt.</t>
  </si>
  <si>
    <t>Ogre Brute</t>
  </si>
  <si>
    <t>50% chance to attack the wrong enemy.</t>
  </si>
  <si>
    <t>Ogre Warmaul</t>
  </si>
  <si>
    <t>Spider Tank</t>
  </si>
  <si>
    <t>Tinkertown Technician</t>
  </si>
  <si>
    <t>Battlecry: If you control a Mech, gain +1/+1 and put a Spare Part in your hand.</t>
  </si>
  <si>
    <t>Velen's Chosen</t>
  </si>
  <si>
    <t>Give a minion +2/+4 and Spell Damage +1.</t>
  </si>
  <si>
    <t>Burly Rockjaw Trogg</t>
  </si>
  <si>
    <t>Whenever your opponents casts a spell, gain +2 attack.</t>
  </si>
  <si>
    <t>Lost Tallstrider</t>
  </si>
  <si>
    <t>Mechanical Yeti</t>
  </si>
  <si>
    <t>Deathrattle: Give each player a Spare Part.</t>
  </si>
  <si>
    <t>Piloted Shredder</t>
  </si>
  <si>
    <t>Deathrattle: Summon a random 2-cost minion.</t>
  </si>
  <si>
    <t>Tinker's Sharpsword Oil</t>
  </si>
  <si>
    <t>Give your weapon +3 Attack. Combo: Give a random friendly minion +3 Attack.</t>
  </si>
  <si>
    <t>Antique Healbot</t>
  </si>
  <si>
    <t>Battlecry: Restore 8 Health to your hero.</t>
  </si>
  <si>
    <t>Cobra Shot</t>
  </si>
  <si>
    <t>Deal 3 damage to a minion and the enemy hero.</t>
  </si>
  <si>
    <t>Druid of the Fang</t>
  </si>
  <si>
    <t>Battlecry: If you have a Beast, transform this minion into a 7/7.</t>
  </si>
  <si>
    <t>Floating Watcher</t>
  </si>
  <si>
    <t>Whenever your hero takes damage on your turn, gain +2/+2.</t>
  </si>
  <si>
    <t>Salty Dog</t>
  </si>
  <si>
    <t>Force-Tank MAX</t>
  </si>
  <si>
    <t>Shadowbomber</t>
  </si>
  <si>
    <t>Battlecry: Deal 3 damage to each hero.</t>
  </si>
  <si>
    <t>Feign Death</t>
  </si>
  <si>
    <t>Trigger all Deathrattles on your minions.</t>
  </si>
  <si>
    <t>Recombobulator</t>
  </si>
  <si>
    <t>Battlecry: Transform a friendly minion into a random minion with the same Cost.</t>
  </si>
  <si>
    <t>Steamwheedle Sniper</t>
  </si>
  <si>
    <t>Your Hero Power can target minions.</t>
  </si>
  <si>
    <t>Bouncing Blade</t>
  </si>
  <si>
    <t>Deal 1 damage to a random minion. Repeat until a minion dies.</t>
  </si>
  <si>
    <t>Coghammer</t>
  </si>
  <si>
    <t>Battlecry: Give a random friendly minion Divine Shield and Taunt.</t>
  </si>
  <si>
    <t>Cogmaster's Wrench</t>
  </si>
  <si>
    <t>Has +2 Attack while you have a Mech.</t>
  </si>
  <si>
    <t>Hobgoblin</t>
  </si>
  <si>
    <t>Whenever you play a 1-Attack minion, give it +2/+2.</t>
  </si>
  <si>
    <t>Ancestor's Call</t>
  </si>
  <si>
    <t>Put a random minion from each player's hand into the battlefield.</t>
  </si>
  <si>
    <t>Echo of Medivh</t>
  </si>
  <si>
    <t>Put a copy of each friendly minion into your hand.</t>
  </si>
  <si>
    <t>Enhance-o Mechano</t>
  </si>
  <si>
    <t>Battlecry: Give your other minions Windfury, Taunt, or Divine Shield (at random).</t>
  </si>
  <si>
    <t>Mini-Mage</t>
  </si>
  <si>
    <t>Stealth. Spell Damage +1.</t>
  </si>
  <si>
    <t>Sabotage</t>
  </si>
  <si>
    <t>Destroy a random enemy minion. Combo: And your opponent's weapon.</t>
  </si>
  <si>
    <t>Siltfin Spiritwalker</t>
  </si>
  <si>
    <t>Whenever another friendly Murloc dies, draw a card.</t>
  </si>
  <si>
    <t>Wee Spellstopper</t>
  </si>
  <si>
    <t>Adjacent minions can't be targeted by spells or Hero Powers.</t>
  </si>
  <si>
    <t>Demonheart</t>
  </si>
  <si>
    <t>Deal 5 damage to a minion. If it’s a friendly Demon, give it +5/+5 instead.</t>
  </si>
  <si>
    <t>Fel Reaver</t>
  </si>
  <si>
    <t>Whenever your opponent plays a card, discard the top 3 cards of your deck.</t>
  </si>
  <si>
    <t>Junkbot</t>
  </si>
  <si>
    <t>Whenver a friendly Mech dies, gain +2/+2.</t>
  </si>
  <si>
    <t>Quartermaster</t>
  </si>
  <si>
    <t>Battlecry: Give your Silver Hand Recruits +2/+2.</t>
  </si>
  <si>
    <t>Anima Golem</t>
  </si>
  <si>
    <t>At the end of each turn, destroy this minion if it's your only one.</t>
  </si>
  <si>
    <t>Dark Wispers</t>
  </si>
  <si>
    <t>Choose One - Summon 5 Wisps; or Give a minion +5/+5 and Taunt.</t>
  </si>
  <si>
    <t>Lightbomb</t>
  </si>
  <si>
    <t>Deal damage to each minion equal to its Attack.</t>
  </si>
  <si>
    <t>Piloted Sky Golem</t>
  </si>
  <si>
    <t>Deathrattle: Summon a random 4-cost minion.</t>
  </si>
  <si>
    <t>Crush</t>
  </si>
  <si>
    <t>Destroy a minion. If you have a damaged minion, this costs (4) less.</t>
  </si>
  <si>
    <t>Tree of Life</t>
  </si>
  <si>
    <t>Restore all characters to full Health.</t>
  </si>
  <si>
    <t>Clockwork Giant</t>
  </si>
  <si>
    <t>Costs (1) less Mana for each card in your opponent's hand.</t>
  </si>
  <si>
    <t>Blingtron 3000</t>
  </si>
  <si>
    <t>Battlecry: Equip a random weapon for each player.</t>
  </si>
  <si>
    <t>Bolvar Fordragon</t>
  </si>
  <si>
    <t>Whenever a friendly minion dies while this is in your hand, gain +1 Attack.</t>
  </si>
  <si>
    <t>Hemet Nesingwary</t>
  </si>
  <si>
    <t>Battlecry: Destroy a Beast.</t>
  </si>
  <si>
    <t>Mimiron's Head</t>
  </si>
  <si>
    <t>At the start of your turn, if you have at least 3 Mechs, destroy them all and form V-07-TR-0N.</t>
  </si>
  <si>
    <t>Vol'jin</t>
  </si>
  <si>
    <t>Battlecry: Swap Health with another minion.</t>
  </si>
  <si>
    <t>Gazlowe</t>
  </si>
  <si>
    <t>Whenever you cast a 1-mana spell, add a random Mech to your hand.</t>
  </si>
  <si>
    <t>Iron Juggernaut</t>
  </si>
  <si>
    <t>Battlecry: Shuffle a Mine into your opponent's deck. When drawn, it explodes for 10 damage.</t>
  </si>
  <si>
    <t>Mogor the Ogre</t>
  </si>
  <si>
    <t>All minions have a 50% chance to attack the wrong enemy.</t>
  </si>
  <si>
    <t>Toshley</t>
  </si>
  <si>
    <t>Battlecry and Deathrattle: Add a Spare Part card to your hand.</t>
  </si>
  <si>
    <t>Battlecry; Deathrattle</t>
  </si>
  <si>
    <t>Trade Prince Gallywix</t>
  </si>
  <si>
    <t>Whenever your opponent casts a spell, gain a copy of it and give them a Coin.</t>
  </si>
  <si>
    <t>Dr. Boom</t>
  </si>
  <si>
    <t>Battlecry: Summon two 1/1 Boom Bots. WARNING: Bots may explode.</t>
  </si>
  <si>
    <t>Flame Leviathan</t>
  </si>
  <si>
    <t>When you draw this, deal 2 damage to all characters.</t>
  </si>
  <si>
    <t>Gahz'rilla</t>
  </si>
  <si>
    <t>Whenever this minion takes damage, double its Attack.</t>
  </si>
  <si>
    <t>Malorne</t>
  </si>
  <si>
    <t>Deathrattle: Shuffle this minion into your deck.</t>
  </si>
  <si>
    <t>Neptulon</t>
  </si>
  <si>
    <t>Battlecry: Add 4 random Murlocs to your hand. Overload: (3)</t>
  </si>
  <si>
    <t>Troggzor the Earthinator</t>
  </si>
  <si>
    <t>Whenever your opponent casts a spell, summon a Burly Rockjaw Trogg.</t>
  </si>
  <si>
    <t>Foe Reaper 4000</t>
  </si>
  <si>
    <t>Also damages the minions next to whomever he attacks.</t>
  </si>
  <si>
    <t>Sneed's Old Shredder</t>
  </si>
  <si>
    <t>Deathrattle: Summon a random legendary minion.</t>
  </si>
  <si>
    <t>Mal'Ganis</t>
  </si>
  <si>
    <t>Your other Demons have +2/+2. Your hero is Immune.</t>
  </si>
  <si>
    <t>Mekgineer Thermaplugg</t>
  </si>
  <si>
    <t>Whenever an enemy minions dies, summon a Leper Gnome.</t>
  </si>
  <si>
    <t>Target Dummy</t>
  </si>
  <si>
    <t>Taunt;</t>
  </si>
  <si>
    <t>Light of the Naaru</t>
  </si>
  <si>
    <t>Restore 3 Health. If the target is still damaged, summon a Lightwarden.</t>
  </si>
  <si>
    <t>Call Pet</t>
  </si>
  <si>
    <t>Draw a card, if it's a Beast it costs (4) less.</t>
  </si>
  <si>
    <t>Mistress of Pain</t>
  </si>
  <si>
    <t>Whenever this minion deals damage, restore that much Health to your hero.</t>
  </si>
  <si>
    <t>One-Eyed Cheat</t>
  </si>
  <si>
    <t>Whenever you summon a Pirate, gain Stealth.</t>
  </si>
  <si>
    <t>Shadowboxer</t>
  </si>
  <si>
    <t>Whenever a character is healed, deal 1 damage to a random enemy.</t>
  </si>
  <si>
    <t>Unstable Portal</t>
  </si>
  <si>
    <t>Add a random minion to your hand. It costs (3) less.</t>
  </si>
  <si>
    <t>Vitality Totem</t>
  </si>
  <si>
    <t>At the end of your turn, restore 4 Health to your hero.</t>
  </si>
  <si>
    <t>Gnomish Experimenter</t>
  </si>
  <si>
    <t>Battlecry: Draw a card. If it's a minion, transform it into a Chicken.</t>
  </si>
  <si>
    <t>Goblin Sapper</t>
  </si>
  <si>
    <t>Has +4 Attack while your opponent has 6 or more cards in hand.</t>
  </si>
  <si>
    <t>Grove Tender</t>
  </si>
  <si>
    <t>Choose One - Give each player a Mana Crystal; or Each player draws a card.</t>
  </si>
  <si>
    <t>Illuminator</t>
  </si>
  <si>
    <t>If you control a Secret at the end of your turn, restore 4 health to your hero.</t>
  </si>
  <si>
    <t>Iron Sensei</t>
  </si>
  <si>
    <t>At the end of your turn, give another friendly Mech +2/+2.</t>
  </si>
  <si>
    <t>Lil' Exorcist</t>
  </si>
  <si>
    <t>Taunt. Battlecry: Gain +1/+1 for each enemy Deathrattle minion.</t>
  </si>
  <si>
    <t>Metaltooth Leaper</t>
  </si>
  <si>
    <t>Battlecry: Give your other Mechs +2 Attack.</t>
  </si>
  <si>
    <t>Muster for Battle</t>
  </si>
  <si>
    <t>Summon three 1/1 Silver Hand Recruits. Equip a 1/4 Weapon.</t>
  </si>
  <si>
    <t>Powermace</t>
  </si>
  <si>
    <t>Deathrattle: Give a random friendly Mech +2/+2.</t>
  </si>
  <si>
    <t>Scarlet Purifier</t>
  </si>
  <si>
    <t>Battlecry: Deal 2 damage to all minions with Deathrattle.</t>
  </si>
  <si>
    <t>Soot Spewer</t>
  </si>
  <si>
    <t>Arcane Nullifier X-21</t>
  </si>
  <si>
    <t>Taunt. Can't be targeted by spells or Hero Powers.</t>
  </si>
  <si>
    <t>Dunemaul Shaman</t>
  </si>
  <si>
    <t>Windfury. 50% chance to attack the wrong enemy. Overload: (1)</t>
  </si>
  <si>
    <t xml:space="preserve">WIndfury; </t>
  </si>
  <si>
    <t>Fel Cannon</t>
  </si>
  <si>
    <t>At the end of your turn, deal 2 damage to a non-Mech minion.</t>
  </si>
  <si>
    <t>Goblin Blastmage</t>
  </si>
  <si>
    <t>Battlecry: If you control a Mech, deal 4 damage randomly split among enemy characters.</t>
  </si>
  <si>
    <t>Imp-losion</t>
  </si>
  <si>
    <t>Deal 2-4 damage to a minion. Summon a 1/1 Imp for each damage dealt.</t>
  </si>
  <si>
    <t>Jeeves</t>
  </si>
  <si>
    <t>At the end of each player's turn, that player draws until they have 3 cards.</t>
  </si>
  <si>
    <t>Kezan Mystic</t>
  </si>
  <si>
    <t>Battlecry: Take control of a random enemy Secret.</t>
  </si>
  <si>
    <t>Screwjank Clunker</t>
  </si>
  <si>
    <t>Battlecry: Give a friendly Mech +2/+2.</t>
  </si>
  <si>
    <t>Bomb Lobber</t>
  </si>
  <si>
    <t>Battlecry: Deal 4 damage to a random enemy minion.</t>
  </si>
  <si>
    <t>Cobalt Guardian</t>
  </si>
  <si>
    <t>Whenever you summon a Mech, gain Divine Shield.</t>
  </si>
  <si>
    <t>King of Beasts</t>
  </si>
  <si>
    <t>Taunt. Battlecry: Gain +1 Attack for each other Beast you have.</t>
  </si>
  <si>
    <t>Madder Bomber</t>
  </si>
  <si>
    <t>Battlecry: Deal 6 damage randomly split between all other characters.</t>
  </si>
  <si>
    <t>Ogre Ninja</t>
  </si>
  <si>
    <t>Stealth. 50% chance to attack the wrong enemy.</t>
  </si>
  <si>
    <t>Siege Engine</t>
  </si>
  <si>
    <t>Whenever you gain Armor, give this minion +1 Attack.</t>
  </si>
  <si>
    <t>Upgraded Repair Bot</t>
  </si>
  <si>
    <t>Battlecry: Give a friendly Mech +4 health.</t>
  </si>
  <si>
    <t>Mech-Bear-Cat</t>
  </si>
  <si>
    <t>Whenever this minion takes damage, add a Spare Part card to your hand.</t>
  </si>
  <si>
    <t>Recycle</t>
  </si>
  <si>
    <t>Shuffle an enemy minion into your opponent's deck.</t>
  </si>
  <si>
    <t>Shieldmaiden</t>
  </si>
  <si>
    <t>Battlecry: Gain 5 Armor.</t>
  </si>
  <si>
    <t>Murloc Tinyfin</t>
  </si>
  <si>
    <t>Pit Snake</t>
  </si>
  <si>
    <t>Raven Idol</t>
  </si>
  <si>
    <t>Choose One - Disover a minion; or Discover a spell.</t>
  </si>
  <si>
    <t>Sacred Trial</t>
  </si>
  <si>
    <t>Secret: When your opponent has at least 3 minions and plays another, destroy it.</t>
  </si>
  <si>
    <t>Tunnel Trogg</t>
  </si>
  <si>
    <t>Whenever you Overload, gain +1 Attack per locked Mana Crystal.</t>
  </si>
  <si>
    <t>Curse of Rafaam</t>
  </si>
  <si>
    <t>Give your opponent a 'Cursed!' card.  While they hold it, they take 2 damage on their turn.</t>
  </si>
  <si>
    <t>Dark Peddler</t>
  </si>
  <si>
    <t>Battlecry: Discover a 1-Cost card.</t>
  </si>
  <si>
    <t>Dart Trap</t>
  </si>
  <si>
    <t>Secret: When an opposing Hero Power is used, deal 5 damage to a random enemy.</t>
  </si>
  <si>
    <t>Huge Toad</t>
  </si>
  <si>
    <t>Deathrattle: Deal 1 damage to a random enemy.</t>
  </si>
  <si>
    <t>Jeweled Scarab</t>
  </si>
  <si>
    <t>Battlecry: Discover a 3-Cost card.</t>
  </si>
  <si>
    <t>Museum Curator</t>
  </si>
  <si>
    <t>Battlecry: Discover a Deathrattle card.</t>
  </si>
  <si>
    <t>Desert Camel</t>
  </si>
  <si>
    <t>Battlecry: Put a 1-Cost minion from each deck into the battlefiedl</t>
  </si>
  <si>
    <t>Fierce Monkey</t>
  </si>
  <si>
    <t>Taunt</t>
  </si>
  <si>
    <t>Forgotten Torch</t>
  </si>
  <si>
    <t>Deal 3 damage. Shuffle a 'Roaring Torch' into your deck that deals 6 damage.</t>
  </si>
  <si>
    <t>Mounted Raptor</t>
  </si>
  <si>
    <t>Deathrattle: Summon a random 1-Cost minion.</t>
  </si>
  <si>
    <t>Gorillabot A-3</t>
  </si>
  <si>
    <t>Battlecry: If you control another Mech, Discover a Mech.</t>
  </si>
  <si>
    <t>Keeper of Uldaman</t>
  </si>
  <si>
    <t>Battlecry: Set a minion;s Attack and Health to 3.</t>
  </si>
  <si>
    <t>Rumbling Elemental</t>
  </si>
  <si>
    <t>After you play a Battlecry minion, deal 2 damage to a random enemy.</t>
  </si>
  <si>
    <t>Tomb Pillager</t>
  </si>
  <si>
    <t>Deathrattle: Add a Coin to your hand.</t>
  </si>
  <si>
    <t>Tomb Spider</t>
  </si>
  <si>
    <t>Battlecry: Discover a Beast.</t>
  </si>
  <si>
    <t>Anubisath Sentinel</t>
  </si>
  <si>
    <t>Deathrattle: Give a random friendly minion +3/+3</t>
  </si>
  <si>
    <t>Ethereal Conjurer</t>
  </si>
  <si>
    <t>Battlecry: Discover a spell.</t>
  </si>
  <si>
    <t>Entomb</t>
  </si>
  <si>
    <t>Choose an enemy minion.  Shuffle it into your deck.</t>
  </si>
  <si>
    <t>Obsidian Destroyer</t>
  </si>
  <si>
    <t>At the end of your turn, summon a 1/1 Scarab with Taunt.</t>
  </si>
  <si>
    <t>Fossilized Devilsaur</t>
  </si>
  <si>
    <t>Battlecry: If you control a Beast, gain Taunt.</t>
  </si>
  <si>
    <t>Djinni of Zephyrs</t>
  </si>
  <si>
    <t>Whenever you cast a spell on another friendly minion, cast a copy of it on this one.</t>
  </si>
  <si>
    <t>Naga Sea Witch</t>
  </si>
  <si>
    <t>Your cards cost (5)</t>
  </si>
  <si>
    <t>Sir Finley Mrrgglton</t>
  </si>
  <si>
    <t>Battlecry: Discover a new basic Hero Power.</t>
  </si>
  <si>
    <t>Brann Bronzebeard</t>
  </si>
  <si>
    <t>Your Battlecries trigger twice.</t>
  </si>
  <si>
    <t>Elise Starseeker</t>
  </si>
  <si>
    <t>Battlecry:  Shuffle the 'Map to the Golden Monkey' into your deck</t>
  </si>
  <si>
    <t>Reno Jackson</t>
  </si>
  <si>
    <t>Battlecry: If your deck contains no more than 1 of any card, fully heal your hero.</t>
  </si>
  <si>
    <t>Arch-Thief Rafaam</t>
  </si>
  <si>
    <t>Battlecry: Discover a powerful Artifact</t>
  </si>
  <si>
    <t>Cursed Blade</t>
  </si>
  <si>
    <t>Double all damage dealt to your hero.</t>
  </si>
  <si>
    <t>Reliquary Seeker</t>
  </si>
  <si>
    <t>Battlecry: If you have 6 other minions, gain +4/+4.</t>
  </si>
  <si>
    <t>Explorer's Hat</t>
  </si>
  <si>
    <t>Give a minion +1/+1 and "Deathrattle: Ad an Explorer's Hat to your hand."</t>
  </si>
  <si>
    <t>Unearthed Raptor</t>
  </si>
  <si>
    <t>Battlecry: Choose a friendly minion.  Gain a copy of its Deathrattle effect.</t>
  </si>
  <si>
    <t>Ancient Shade</t>
  </si>
  <si>
    <t>Battlecry: Shuffle an "Ancient Curse' into your deck that deals 7 damage to you when drawn.</t>
  </si>
  <si>
    <t>Animated Armor</t>
  </si>
  <si>
    <t>Your hero can only take 1 damage at a time</t>
  </si>
  <si>
    <t>Eerie Statue</t>
  </si>
  <si>
    <t>Can't attack unless it's the only minion in the battlefield</t>
  </si>
  <si>
    <t>Jungle Moonkin</t>
  </si>
  <si>
    <t>Both players have Spell Damage +2.</t>
  </si>
  <si>
    <t>Excavated Evil</t>
  </si>
  <si>
    <t>Deal 3 damage to all minions. Shuffle this card into your opponents deck.</t>
  </si>
  <si>
    <t>Summoning Stone</t>
  </si>
  <si>
    <t>Whenever you cast a spell, summon a random minion of the same Cost.</t>
  </si>
  <si>
    <t>Wobbling Runts</t>
  </si>
  <si>
    <t>Deathrattle: Summon three 2/2 Runts.</t>
  </si>
  <si>
    <t>Everyfin is Awesome</t>
  </si>
  <si>
    <t>Give  your minions +2/+2. Costs (1) less for each Murloc you control.</t>
  </si>
  <si>
    <t>Anyfin Can Happen</t>
  </si>
  <si>
    <t>Summon 7 Murlocs that died this game.</t>
  </si>
  <si>
    <t>Avenge</t>
  </si>
  <si>
    <t>Secret: When one of your minions dies, give a friendly minion +3/+2.</t>
  </si>
  <si>
    <t>Undertaker</t>
  </si>
  <si>
    <t>Whenever you summon a minion with Deathrattle, gain +1/+1.</t>
  </si>
  <si>
    <t>Webspinner</t>
  </si>
  <si>
    <t>Deathrattle: Add a random Beast card to your hand.</t>
  </si>
  <si>
    <t>Zombie Chow</t>
  </si>
  <si>
    <t>Deathrattle: Restore 5 Health to the enemy hero.</t>
  </si>
  <si>
    <t>Haunted Creeper</t>
  </si>
  <si>
    <t>Deathrattle: Summon two 1/1 Spectral Spiders.</t>
  </si>
  <si>
    <t>Mad Scientist</t>
  </si>
  <si>
    <t>Nerub'ar Weblord</t>
  </si>
  <si>
    <t>Minions with Battlecry cost (2) more.</t>
  </si>
  <si>
    <t>Reincarnate</t>
  </si>
  <si>
    <t>Destroy a minion, then return it to life with full Health.</t>
  </si>
  <si>
    <t>Unstable Ghoul</t>
  </si>
  <si>
    <t>Taunt. Deathrattle: Deal 1 damage to all minions.</t>
  </si>
  <si>
    <t>Dancing Swords</t>
  </si>
  <si>
    <t>Deathrattle: Your opponent draws a card.</t>
  </si>
  <si>
    <t>Dark Cultist</t>
  </si>
  <si>
    <t>Deathrattle: Give a random friendly minion +3 health.</t>
  </si>
  <si>
    <t>Duplicate</t>
  </si>
  <si>
    <t>Secret: When a friendly minion dies, put 2 copies of it into your hand.</t>
  </si>
  <si>
    <t>Stoneskin Gargoyle</t>
  </si>
  <si>
    <t>At the start of your turn, restore this minion to full Health.</t>
  </si>
  <si>
    <t>Anub'ar Ambusher</t>
  </si>
  <si>
    <t>Deathrattle: Return a random friendly minion to your hand.</t>
  </si>
  <si>
    <t>Death's Bite</t>
  </si>
  <si>
    <t>Deathrattle: Deal 1 damage to all minions.</t>
  </si>
  <si>
    <t>Poison Seeds</t>
  </si>
  <si>
    <t>Destroy all minions and summon 2/2 treants to replace them.</t>
  </si>
  <si>
    <t>Voidcaller</t>
  </si>
  <si>
    <t>Deathrattle: Put a random Demon from your hand into the battlefield.</t>
  </si>
  <si>
    <t>Spectral Knight</t>
  </si>
  <si>
    <t>Can't be targetted by spells or Hero Powers.</t>
  </si>
  <si>
    <t>Echoing Ooze</t>
  </si>
  <si>
    <t>Battlecry: Summon an exact copy of this minion at the end of the turn.</t>
  </si>
  <si>
    <t>Shade of Naxxramas</t>
  </si>
  <si>
    <t>Stealth. At the start of your turn, gain +1/+1.</t>
  </si>
  <si>
    <t>Stealth;</t>
  </si>
  <si>
    <t>Baron Rivendare</t>
  </si>
  <si>
    <t>Your minions trigger their Deathrattle twice.</t>
  </si>
  <si>
    <t>Feugen</t>
  </si>
  <si>
    <t>Deathrattle: If Stalagg also died this game, summon Thaddius.</t>
  </si>
  <si>
    <t>Deathrattle;</t>
  </si>
  <si>
    <t>Loatheb</t>
  </si>
  <si>
    <t>Battlecry: Enemy spells cost (5) more next turn.</t>
  </si>
  <si>
    <t>Stalagg</t>
  </si>
  <si>
    <t>Deathrattle: If Feugan also died this game, summon Thaddius.</t>
  </si>
  <si>
    <t>Maexxna</t>
  </si>
  <si>
    <t>Kel'Thuzad</t>
  </si>
  <si>
    <t>At the end of each turn, summon all friendly minions that died this turn.</t>
  </si>
  <si>
    <t>Nerubian Egg</t>
  </si>
  <si>
    <t>Deathrattle: Summon a 4/4 Nerubian.</t>
  </si>
  <si>
    <t>Deathlord</t>
  </si>
  <si>
    <t>Taunt. Deathrattle: Your opponents puts a minion from their deck into the battlefield.</t>
  </si>
  <si>
    <t>Wailing Soul</t>
  </si>
  <si>
    <t>Battlecry: Silence your other minions.</t>
  </si>
  <si>
    <t>Sludge Belcher</t>
  </si>
  <si>
    <t>Taunt. Deathrattle: Summon a 1/2 Slime with Taunt.</t>
  </si>
  <si>
    <t>Captain's Parrot</t>
  </si>
  <si>
    <t>Battlecry: Put a random Pirate from your deck into your hand.</t>
  </si>
  <si>
    <t>Old Murk-Eye</t>
  </si>
  <si>
    <t>Charge. Has +1 Attack for each other Murloc on the battlefield.</t>
  </si>
  <si>
    <t>Elite Tauren Chieftain</t>
  </si>
  <si>
    <t>Battlecry: Give both players the power to ROCK! (with a Power Chord card)</t>
  </si>
  <si>
    <t>Gelbin Mekkatorque</t>
  </si>
  <si>
    <t>Battlecry: Summon an AWESOME invention.</t>
  </si>
  <si>
    <t>Brave Archer</t>
  </si>
  <si>
    <t>Inspire: If your hand is empty, deal 2 damage to the enemy hero.</t>
  </si>
  <si>
    <t xml:space="preserve">Inspire; </t>
  </si>
  <si>
    <t>Buccaneer</t>
  </si>
  <si>
    <t>Whenever you equip a weapon, give it +1 Attack.</t>
  </si>
  <si>
    <t>Flash Heal</t>
  </si>
  <si>
    <t>Restore 5 Health.</t>
  </si>
  <si>
    <t>Gadgetzan Jouster</t>
  </si>
  <si>
    <t>Battlecry: Reveal a minion in each deck. If yours costs more, gain +1/+1.</t>
  </si>
  <si>
    <t>Living Roots</t>
  </si>
  <si>
    <t>Choose One - Deal 2 damage; or Summon two 1/1 Saplings.</t>
  </si>
  <si>
    <t>Lowly Squire</t>
  </si>
  <si>
    <t>Inspire: Gain +1 Attack.</t>
  </si>
  <si>
    <t>Power Word: Glory</t>
  </si>
  <si>
    <t>Choose a minion. Whenever it attacks, restore 4 health to your hero.</t>
  </si>
  <si>
    <t>Tournament Attendee</t>
  </si>
  <si>
    <t>Ancestral Knowledge</t>
  </si>
  <si>
    <t>Draw 2 cards. Overload: (2)</t>
  </si>
  <si>
    <t>Bear Trap</t>
  </si>
  <si>
    <t>Secret: After your hero is attacked, summon a 3/3 Bear with Taunt.</t>
  </si>
  <si>
    <t>Bolster</t>
  </si>
  <si>
    <t>Give your Taunt minions +2/+2.</t>
  </si>
  <si>
    <t>Boneguard Lieutenant</t>
  </si>
  <si>
    <t>Inspire: Gain +1 Health.</t>
  </si>
  <si>
    <t>Demonfuse</t>
  </si>
  <si>
    <t>Give a Demon +3/+3. Give your opponent a Mana Crystal.</t>
  </si>
  <si>
    <t>Druid of the Saber</t>
  </si>
  <si>
    <t>Choose One: Charge or +1/+1 and Stealth.</t>
  </si>
  <si>
    <t>Flame Juggler</t>
  </si>
  <si>
    <t>Battlecry: Deal 1 damage to a random enemy.</t>
  </si>
  <si>
    <t>King's Elekk</t>
  </si>
  <si>
    <t>Battlecry: Reveal a minion in each deck, if yours costs more, draw it.</t>
  </si>
  <si>
    <t>Lance Carrier</t>
  </si>
  <si>
    <t>Battlecry: Give a friendly minion +2 Attack.</t>
  </si>
  <si>
    <t>Totem Golem</t>
  </si>
  <si>
    <t xml:space="preserve">Overload; </t>
  </si>
  <si>
    <t>Undercity Valiant</t>
  </si>
  <si>
    <t>Combo: Deal 1 damage.</t>
  </si>
  <si>
    <t>Wrathguard</t>
  </si>
  <si>
    <t>Whenever this minion takes damage, also deal that amount to your hero.</t>
  </si>
  <si>
    <t>Argent Horserider</t>
  </si>
  <si>
    <t>Battlecry: Gain Divine Shield and Charge</t>
  </si>
  <si>
    <t>Bash</t>
  </si>
  <si>
    <t>Deal 3 Damage. Gain 3 Armor.</t>
  </si>
  <si>
    <t>Dragonhawk Rider</t>
  </si>
  <si>
    <t>Inspire: Gain Windfury this turn.</t>
  </si>
  <si>
    <t>Ice Rager</t>
  </si>
  <si>
    <t>Orgrimmar Aspirant</t>
  </si>
  <si>
    <t>Inspire: Give your weapon +1 Attack.</t>
  </si>
  <si>
    <t>Inspire</t>
  </si>
  <si>
    <t>Seal of Champions</t>
  </si>
  <si>
    <t>Give a minion +3 Attack and Divine Shield</t>
  </si>
  <si>
    <t>Silent Knight</t>
  </si>
  <si>
    <t>Battlecry: Gain Stealth and Divine Shield</t>
  </si>
  <si>
    <t>Silver Hand Regent</t>
  </si>
  <si>
    <t>Inspire: Summon a 1/1 Silver Hand Recruit.</t>
  </si>
  <si>
    <t>Spellslinger</t>
  </si>
  <si>
    <t>Battlecry: Add a random spell card to each player's hand.</t>
  </si>
  <si>
    <t>Tuskarr Totemic</t>
  </si>
  <si>
    <t>Battlecry: Summon ANY random Totem.</t>
  </si>
  <si>
    <t>Warhorse Trainer</t>
  </si>
  <si>
    <t>Your Silver Hand Recruits have +1 Attack.</t>
  </si>
  <si>
    <t>Dalaran Aspirant</t>
  </si>
  <si>
    <t>Inspire: Gain Spell Damage +1.</t>
  </si>
  <si>
    <t>Evil Heckler</t>
  </si>
  <si>
    <t>Frigid Snobold</t>
  </si>
  <si>
    <t>Spell Damage +1</t>
  </si>
  <si>
    <t>Holy Champion</t>
  </si>
  <si>
    <t>Maiden of the Lake</t>
  </si>
  <si>
    <t>Your Hero Power costs (1).</t>
  </si>
  <si>
    <t>Murloc Knight</t>
  </si>
  <si>
    <t>Inspire: summon a random Murloc.</t>
  </si>
  <si>
    <t>Inspire;</t>
  </si>
  <si>
    <t>Refreshment Vendor</t>
  </si>
  <si>
    <t>Battlecry: Restore 4 Health to each hero.</t>
  </si>
  <si>
    <t>Tournament Medic</t>
  </si>
  <si>
    <t>Inspire: Restore 2 Health to your Hero.</t>
  </si>
  <si>
    <t>Wildwalker</t>
  </si>
  <si>
    <t>Battlecry: Give a friendly Beast +3 Health.</t>
  </si>
  <si>
    <t>Clockwork Knight</t>
  </si>
  <si>
    <t>Battlecry: Give a friendsly Mech +1/+1.</t>
  </si>
  <si>
    <t>Flame Lance</t>
  </si>
  <si>
    <t>Deal 8 damage to a minion.</t>
  </si>
  <si>
    <t>Kvaldir Raider</t>
  </si>
  <si>
    <t>Inspire: Gain +2/+2.</t>
  </si>
  <si>
    <t>Mukla's Champion</t>
  </si>
  <si>
    <t>Inspire: Give your other minions +1/+1.</t>
  </si>
  <si>
    <t>Pit Fighter</t>
  </si>
  <si>
    <t>Shado-Pan Rider</t>
  </si>
  <si>
    <t>Combo: +3 Attack</t>
  </si>
  <si>
    <t>Captured Jormungar</t>
  </si>
  <si>
    <t>Fearsome Doomguard</t>
  </si>
  <si>
    <t>North Sea Kraken</t>
  </si>
  <si>
    <t>Battlecry: Deal 4 damage.</t>
  </si>
  <si>
    <t>Arcane Blast</t>
  </si>
  <si>
    <t>Deal 2 damage to a minion. This spell gets double bonus from Spell Damage.</t>
  </si>
  <si>
    <t>Confuse</t>
  </si>
  <si>
    <t>Swap the Attack and Health of all minions.</t>
  </si>
  <si>
    <t>Garrison Commander</t>
  </si>
  <si>
    <t>You can use your Hero Power twice a turn.</t>
  </si>
  <si>
    <t>Lock and Load</t>
  </si>
  <si>
    <t>Each time you cast a spell this turn, add a random Hunter card to your hand.</t>
  </si>
  <si>
    <t>Beneath the Grounds</t>
  </si>
  <si>
    <t>Shuffle 3 Ambushes into your opponent's deck. When drawn, you summon a 4/4 Nerubian.</t>
  </si>
  <si>
    <t>Elemental Destruction</t>
  </si>
  <si>
    <t>Deal 4-5 damage to all minions. Overload: (5)</t>
  </si>
  <si>
    <t>Master of Ceremonies</t>
  </si>
  <si>
    <t>Battlecry: If you have a minion with Spell Damage, gain +2/+2.</t>
  </si>
  <si>
    <t>Mulch</t>
  </si>
  <si>
    <t>Destroy a minion. Add a random minion to your opponent's hand.</t>
  </si>
  <si>
    <t>Shadowfiend</t>
  </si>
  <si>
    <t>Whenever you draw a card, reduce its cost by (1).</t>
  </si>
  <si>
    <t>Stablemaster</t>
  </si>
  <si>
    <t>Battlecry: Give a friendly Beast Immune this turn.</t>
  </si>
  <si>
    <t>Astral Communion</t>
  </si>
  <si>
    <t>Gain 10 Mana Crystals. Discard your hand.</t>
  </si>
  <si>
    <t>Charged Hammer</t>
  </si>
  <si>
    <t>Deathrattle: your Hero Power becomes 'Deal 2 damage'</t>
  </si>
  <si>
    <t>Crowd Favorite</t>
  </si>
  <si>
    <t>Whenever you play a card with Battlecry, gain +1/+1.</t>
  </si>
  <si>
    <t>Dreadsteed</t>
  </si>
  <si>
    <t>Deathrattle: Summon a Dreadsteed.</t>
  </si>
  <si>
    <t>Magnataur Alpha</t>
  </si>
  <si>
    <t>Poisoned Blade</t>
  </si>
  <si>
    <t>Your Hero Power gives this weapon a +1 Attack instead of replacing it.</t>
  </si>
  <si>
    <t>Twilight Guardian</t>
  </si>
  <si>
    <t>Battlecry: If you're holding a Dragon, gain +1 Attack and Taunt.</t>
  </si>
  <si>
    <t>Recruiter</t>
  </si>
  <si>
    <t>Inspire: Add a 2/2 Squire to your hand.</t>
  </si>
  <si>
    <t>Coldarra Drake</t>
  </si>
  <si>
    <t>You can use your Hero Power any number of times.</t>
  </si>
  <si>
    <t>Dark Bargain</t>
  </si>
  <si>
    <t>Destroy 2 random enemy minions. Discard 2 random cards.</t>
  </si>
  <si>
    <t>Enter the Coliseum</t>
  </si>
  <si>
    <t>Destroy all minions except each player's highest Attack minion.</t>
  </si>
  <si>
    <t>Grand Crusader</t>
  </si>
  <si>
    <t>Battlecry: Add a random Paladin card to your hand.</t>
  </si>
  <si>
    <t>Kodorider</t>
  </si>
  <si>
    <t>Inspire: Summon a 3/5 War Kodo.</t>
  </si>
  <si>
    <t>Mysterious Challenger</t>
  </si>
  <si>
    <t>Battlecry: Put one of each Secret from your deck into the battlefield.</t>
  </si>
  <si>
    <t>Sea Reaver</t>
  </si>
  <si>
    <t>When you Draw this card, deal 1 damage to all YOUR minions.</t>
  </si>
  <si>
    <t>Sideshow Spelleater</t>
  </si>
  <si>
    <t>Battlecry: Copy your opponent's Hero Power.</t>
  </si>
  <si>
    <t>Frost Giant</t>
  </si>
  <si>
    <t>Costs (1) less for each time you used your Hero Power this game.</t>
  </si>
  <si>
    <t>Dreadscale</t>
  </si>
  <si>
    <t>At the end of your turn, deal 1 damage to all other minions.</t>
  </si>
  <si>
    <t>Eydis Darkbane</t>
  </si>
  <si>
    <t>Whenever you target this minion with a spell, deal 3 damage to a random enemy.</t>
  </si>
  <si>
    <t>Fjola Lightbane</t>
  </si>
  <si>
    <t>Whenever you target this minion with a spell, gain Divine Shield.</t>
  </si>
  <si>
    <t>Gormok the Impaler</t>
  </si>
  <si>
    <t>Battlecry: If you have at least 4 other minions, deal 4 damage.</t>
  </si>
  <si>
    <t>Nexus-Champion Saraad</t>
  </si>
  <si>
    <t>Inspire: Add a random spell to your hand.</t>
  </si>
  <si>
    <t>Bolf Ramshield</t>
  </si>
  <si>
    <t>Whenever your hero takes damage, this minion takes it instead.</t>
  </si>
  <si>
    <t>Justicar Trueheart</t>
  </si>
  <si>
    <t>Battlecry: Replace your starting Hero Power with a better one.</t>
  </si>
  <si>
    <t>The Mistcaller</t>
  </si>
  <si>
    <t>Battlecry: Give all minions in your hand and deck +1/+1.</t>
  </si>
  <si>
    <t>The Skeleton Knight</t>
  </si>
  <si>
    <t>Deathrattle: Reveal a minion in each deck. If yours costs more, return this to your hand.</t>
  </si>
  <si>
    <t>Wilfred Fizzlebang</t>
  </si>
  <si>
    <t>Cards you draw from your Hero Power cost (0).</t>
  </si>
  <si>
    <t>Acidmaw</t>
  </si>
  <si>
    <t>Whenever another minion takes damage, destroy it.</t>
  </si>
  <si>
    <t>Chillmaw</t>
  </si>
  <si>
    <t>Taunt Deathrattle: If you're holding a Dragon, deal 3 damage to all minions.</t>
  </si>
  <si>
    <t>Confessor Paletress</t>
  </si>
  <si>
    <t>Inspire: Summon a random Legendary Minion.</t>
  </si>
  <si>
    <t>Eadric the Pure</t>
  </si>
  <si>
    <t>Battlecry: Change all enemy minions' Attack to 1.</t>
  </si>
  <si>
    <t>Skycap'n Kragg</t>
  </si>
  <si>
    <t>Charrrrrge Costs (1) less for each friendly Pirate.</t>
  </si>
  <si>
    <t>Rhonin</t>
  </si>
  <si>
    <t>Deathrattle: Add 3 copies of Arcane Missiles to your hand.</t>
  </si>
  <si>
    <t>Anub'arak</t>
  </si>
  <si>
    <t>Deathrattle: Return this to your hand and summon a 4/4 Nerubian.</t>
  </si>
  <si>
    <t>Aviana</t>
  </si>
  <si>
    <t>Your minions cost (1).</t>
  </si>
  <si>
    <t>Icehowl</t>
  </si>
  <si>
    <t>Charge Can't attack heroes.</t>
  </si>
  <si>
    <t>Varian Wrynn</t>
  </si>
  <si>
    <t>Battlecry: Draw 3 cards. Put any minions you drew directly into the battlefield.</t>
  </si>
  <si>
    <t>Competitive Spirit</t>
  </si>
  <si>
    <t>Secret: When your turn starts, give your minions +1/+1.</t>
  </si>
  <si>
    <t>Injured Kvaldir</t>
  </si>
  <si>
    <t>Battlecry: Deal 3 damage to this minion.</t>
  </si>
  <si>
    <t>Alexstrasza's Champion</t>
  </si>
  <si>
    <t>Battlecry: If you're holding a Dragon, gain +1 Attack and Charge.</t>
  </si>
  <si>
    <t>Argent Lance</t>
  </si>
  <si>
    <t>Battlecry: Reveal a minion in each deck. If yours costs more, +1 Durability.</t>
  </si>
  <si>
    <t>Argent Watchman</t>
  </si>
  <si>
    <t>Can't attack. Inspire: Can attack as normal this turn.</t>
  </si>
  <si>
    <t>Can't Attack; Inspire</t>
  </si>
  <si>
    <t>Convert</t>
  </si>
  <si>
    <t>Put a copy of an enemy minion into your hand.</t>
  </si>
  <si>
    <t>Cutpurse</t>
  </si>
  <si>
    <t>When this minion attacks the enemy hero, put a Coin into your hand.</t>
  </si>
  <si>
    <t>Darnassus Aspirant</t>
  </si>
  <si>
    <t>Battlecry: Gain an empty mana crystal. Deathrattle: Destroy a mana crystal.</t>
  </si>
  <si>
    <t>Fallen Hero</t>
  </si>
  <si>
    <t>Your Hero Power deals 1 extra damage.</t>
  </si>
  <si>
    <t>Sparring Partner</t>
  </si>
  <si>
    <t>Taunt. Battlecry: Give a minion Taunt.</t>
  </si>
  <si>
    <t>Tiny Knight of Evil</t>
  </si>
  <si>
    <t>Whenever you discard a card, gain +1/+1.</t>
  </si>
  <si>
    <t>Wyrmrest Agent</t>
  </si>
  <si>
    <t>Burgle</t>
  </si>
  <si>
    <t>Add 2 random class cards to your hand (from your opponent's class).</t>
  </si>
  <si>
    <t>Coliseum Manager</t>
  </si>
  <si>
    <t>Inspire: Return this minion to your hand.</t>
  </si>
  <si>
    <t>Effigy</t>
  </si>
  <si>
    <t>Secret: When a friendly minion dies, summon a random minion with the same Cost.</t>
  </si>
  <si>
    <t>Fencing Coach</t>
  </si>
  <si>
    <t>Battlecry: The next time you use your Hero Power, it costs (2) less.</t>
  </si>
  <si>
    <t>Healing Wave</t>
  </si>
  <si>
    <t>Restore 7 Health. Reveal a minion in each deck. If yours costs more, Restore 14 instead.</t>
  </si>
  <si>
    <t>King's Defender</t>
  </si>
  <si>
    <t>Battlecry: For every minion with Taunt you control, gain +1 Durability.</t>
  </si>
  <si>
    <t>Light's Champion</t>
  </si>
  <si>
    <t>Battlecry: Silence a Demon.</t>
  </si>
  <si>
    <t>Polymorph: Boar</t>
  </si>
  <si>
    <t>Transform a minion into a 4/2 Boar with Charge.</t>
  </si>
  <si>
    <t>Powershot</t>
  </si>
  <si>
    <t>Deal 2 damage to a minion and the minions next to it.</t>
  </si>
  <si>
    <t>Saboteur</t>
  </si>
  <si>
    <t>Battlecry: Your opponent's Hero Power costs (5) more next turn.</t>
  </si>
  <si>
    <t>Shady Dealer</t>
  </si>
  <si>
    <t>Battlecry: if you have a Pirate, gain +1/+1.</t>
  </si>
  <si>
    <t>Armored Warhorse</t>
  </si>
  <si>
    <t>Battlecry: Reveal a minion in each deck. If yours costs more, gain Charge.</t>
  </si>
  <si>
    <t>Draenei Totemcarver</t>
  </si>
  <si>
    <t>Battlecry: Gain +1/+1 for each friendly Totem.</t>
  </si>
  <si>
    <t>Fist of Jaraxxus</t>
  </si>
  <si>
    <t>When you play or discard this, deal 4 damage to a random enemy.</t>
  </si>
  <si>
    <t>Savage Combatant</t>
  </si>
  <si>
    <t>Inspire: Give your hero +2 Attack this turn.</t>
  </si>
  <si>
    <t>Spawn of Shadows</t>
  </si>
  <si>
    <t>Inspire: Deal 4 damage to each hero.</t>
  </si>
  <si>
    <t>Ram Wrangler</t>
  </si>
  <si>
    <t>Battlecry: If you have a Beast, summon a random Beast.</t>
  </si>
  <si>
    <t>Thunder Bluff Valiant</t>
  </si>
  <si>
    <t>Inspire: Give your Totems +2 Attack.</t>
  </si>
  <si>
    <t>Tuskarr Jouster</t>
  </si>
  <si>
    <t>Battlecry: Reveal a minion in each deck. If yours costs more, restore 7 Health to your hero.</t>
  </si>
  <si>
    <t>Ball of Spiders</t>
  </si>
  <si>
    <t>Summon three 1/1 Webspinners.</t>
  </si>
  <si>
    <t>Master Jouster</t>
  </si>
  <si>
    <t>Battlecry: Reveal a minion in each deck. If yours costs more, gain Taunt and Divine Shield.</t>
  </si>
  <si>
    <t>Mogor's Champion</t>
  </si>
  <si>
    <t>Void Crusher</t>
  </si>
  <si>
    <t>Inspire: Destroy a random minion for each player.</t>
  </si>
  <si>
    <t>Knight of the Wild</t>
  </si>
  <si>
    <t>Whenever you summon a Beast, reduct the cost of this card by (1).</t>
  </si>
  <si>
    <t>Bladed Cultist</t>
  </si>
  <si>
    <t>Combo: Gain +1/+1.</t>
  </si>
  <si>
    <t>Divine Strength</t>
  </si>
  <si>
    <t>Give a minion +1/+2.</t>
  </si>
  <si>
    <t>Fiery Bat</t>
  </si>
  <si>
    <t>N'Zoth's First Mate</t>
  </si>
  <si>
    <t>Battlecry: Equip a 1/3 Rusty Hook</t>
  </si>
  <si>
    <t>On the Hunt</t>
  </si>
  <si>
    <t>Deal 1 damage. Summon a 1/1 Mastiff.</t>
  </si>
  <si>
    <t>Possessed Villager</t>
  </si>
  <si>
    <t>Deathrattle:  Summon a 1/1 Shadow Beast.</t>
  </si>
  <si>
    <t>Primal Fusion</t>
  </si>
  <si>
    <t>Give a minion +1/+1 for each of your Totems.</t>
  </si>
  <si>
    <t>Tentacle of N'Zoth</t>
  </si>
  <si>
    <t>Deathrattle: Inflicts 1 damage to ALL minions.</t>
  </si>
  <si>
    <t>Zealous Initiate</t>
  </si>
  <si>
    <t>Deathrattle: Give a random friendly minion +1/+1.</t>
  </si>
  <si>
    <t>A Light in the Darkness</t>
  </si>
  <si>
    <t>Discover a minion. Give it +1/+1.</t>
  </si>
  <si>
    <t>Beckoner of Evil</t>
  </si>
  <si>
    <t>Battlecry: Give your C'Thun +2/+2 (wherever it is).</t>
  </si>
  <si>
    <t>Bilefin Tidehunter</t>
  </si>
  <si>
    <t>Battlecry: Summon a 1/1 Ooze with Taunt.</t>
  </si>
  <si>
    <t>Duskboar</t>
  </si>
  <si>
    <t>Mark of Y'Shaarj</t>
  </si>
  <si>
    <t>Give a minion +2/+2.  If it is a Beast, draw a card.</t>
  </si>
  <si>
    <t>Shatter</t>
  </si>
  <si>
    <t>Destroy a Frozen minion.</t>
  </si>
  <si>
    <t>Stormcrack</t>
  </si>
  <si>
    <t>Deal 4 damage to a minion. Overload: (1)</t>
  </si>
  <si>
    <t>Twilight Geomancer</t>
  </si>
  <si>
    <t>Taunt. Battlecry: Give your C'Thun Taunt (wherever it is).</t>
  </si>
  <si>
    <t xml:space="preserve">Taunt; Battlecry; </t>
  </si>
  <si>
    <t>Twisted Worgen</t>
  </si>
  <si>
    <t>Am'gam Rager</t>
  </si>
  <si>
    <t>Carrion Grub</t>
  </si>
  <si>
    <t>Darkshire Councilman</t>
  </si>
  <si>
    <t>After you summon a minion, gain +1 Attack.</t>
  </si>
  <si>
    <t>Feral Rage</t>
  </si>
  <si>
    <t>Choose One - Give your hero +4 Attack this turn; or Gain 8 Armor.</t>
  </si>
  <si>
    <t>Ravaging Ghoul</t>
  </si>
  <si>
    <t>Battlecry: Deal 1 damage to all other minions.</t>
  </si>
  <si>
    <t>Shadow Strike</t>
  </si>
  <si>
    <t>Deal 5 damage to an undamaged character.</t>
  </si>
  <si>
    <t>Spawn of N'Zoth</t>
  </si>
  <si>
    <t>Deathrattle:  Give your minions +1/+1</t>
  </si>
  <si>
    <t>Squirming Tentacle</t>
  </si>
  <si>
    <t>Twilight Elder</t>
  </si>
  <si>
    <t>At the end of your turn, give your C'Thun +1/+1 (wherever it is).</t>
  </si>
  <si>
    <t>Twilight Flamecaller</t>
  </si>
  <si>
    <t>Battlecry: Deal 1 damage to all enemy minions.</t>
  </si>
  <si>
    <t>Aberrant Berserker</t>
  </si>
  <si>
    <t>Enrage: +2 Attack.</t>
  </si>
  <si>
    <t>Bloodhoof Brave</t>
  </si>
  <si>
    <t>Taunt; Enrage</t>
  </si>
  <si>
    <t>C'Thun's Chosen</t>
  </si>
  <si>
    <t>Divine Shield. Battlecry: Give your C'Thun +2/+2. (whenever it is)</t>
  </si>
  <si>
    <t xml:space="preserve">Battlecry; Divine Shield; </t>
  </si>
  <si>
    <t>Evolved Kobold</t>
  </si>
  <si>
    <t>Spell Damage +2</t>
  </si>
  <si>
    <t>Flamewreathed Faceless</t>
  </si>
  <si>
    <t>Overload: (2)</t>
  </si>
  <si>
    <t>Hooded Acolyte</t>
  </si>
  <si>
    <t>Whenever your charachter is healed, give your C'Thun +1/+1 (wherever it is)</t>
  </si>
  <si>
    <t>Infested Tauren</t>
  </si>
  <si>
    <t>Taunt. Deathrattle: Summon a 2/2 Slime.</t>
  </si>
  <si>
    <t xml:space="preserve">Taunt; Deathrattle; </t>
  </si>
  <si>
    <t>Polluted Hoarder</t>
  </si>
  <si>
    <t>Southsea Squidface</t>
  </si>
  <si>
    <t>Deathrattle: Give your weapon +2 Attack.</t>
  </si>
  <si>
    <t>Cult Apothecary</t>
  </si>
  <si>
    <t>Battlecry:  For each enemy minion, restore 2 Health to your hero.</t>
  </si>
  <si>
    <t>Darkshire Alchemist</t>
  </si>
  <si>
    <t>Battlecry: Restore 5 Health.</t>
  </si>
  <si>
    <t>Power Word: Tentacles</t>
  </si>
  <si>
    <t>Give a minion +2/+6.</t>
  </si>
  <si>
    <t>Psych-o-Tron</t>
  </si>
  <si>
    <t xml:space="preserve">Taunt; Divine Shield; </t>
  </si>
  <si>
    <t>Stand Against Darkness</t>
  </si>
  <si>
    <t>Summon five 1/1 Recruits.</t>
  </si>
  <si>
    <t>Usher of Souls</t>
  </si>
  <si>
    <t>Whenever a friendly minion dies, give your C'Thun +1/+1 (wherever it is).</t>
  </si>
  <si>
    <t>Dark Arakkoa</t>
  </si>
  <si>
    <t>Battlecry:  Give your C'Thun +3/+3 (wherever it is).</t>
  </si>
  <si>
    <t>Faceless Summoner</t>
  </si>
  <si>
    <t>Battlecry: Summon a random 3-Cost minion.</t>
  </si>
  <si>
    <t>Nerubian Prophet</t>
  </si>
  <si>
    <t>At the start of your turn, reduce this card's Cost by (1).</t>
  </si>
  <si>
    <t>Bog Creeper</t>
  </si>
  <si>
    <t>Grotesque Dragonhawk</t>
  </si>
  <si>
    <t>Eldritch Horror</t>
  </si>
  <si>
    <t>Faceless Behemoth</t>
  </si>
  <si>
    <t>Forbidden Flame</t>
  </si>
  <si>
    <t>Spend all your Mana.  Deal that much damage to a Minion.</t>
  </si>
  <si>
    <t>Forbidden Healing</t>
  </si>
  <si>
    <t>Spend all your Mana.  Heal double the amount you spent.</t>
  </si>
  <si>
    <t>Forbidden Shaping</t>
  </si>
  <si>
    <t>Spend all your Mana.  Summan a random minion that costs that much.</t>
  </si>
  <si>
    <t>Forbidden Ancient</t>
  </si>
  <si>
    <t>Battlecry: Spend all your Mana. Gain +1/+1 for each mana spent.</t>
  </si>
  <si>
    <t>Vilefin Inquisitor</t>
  </si>
  <si>
    <t>Battlecry: Your Hero Power becomes summon a 1/1 Murloc.</t>
  </si>
  <si>
    <t>Embrace the Shadow</t>
  </si>
  <si>
    <t>This turn, your healing effects deal damage instead.</t>
  </si>
  <si>
    <t>Eternal Sentinel</t>
  </si>
  <si>
    <t>Battlecry: Unlock your Overloaded Mana Crystals.</t>
  </si>
  <si>
    <t>Renounce Darkness</t>
  </si>
  <si>
    <t>Replace your hero power and Warlock cards with another class's.  The cards cost (1) less.</t>
  </si>
  <si>
    <t>Blood Warriors</t>
  </si>
  <si>
    <t>Add a copy of each damaged friendly minion to your hand.</t>
  </si>
  <si>
    <t>Cyclopian Horror</t>
  </si>
  <si>
    <t>Taunt. Battlecry: Gain +1 Health for each enemy minion.</t>
  </si>
  <si>
    <t>Faceless Shambler</t>
  </si>
  <si>
    <t>Taunt. Battlecry: Copy a friendly minion's Attack and Health</t>
  </si>
  <si>
    <t>Twilight Summoner</t>
  </si>
  <si>
    <t>Deathrattle: Summon a 5/5 Faceless Destroyer.</t>
  </si>
  <si>
    <t>Cabalist's Tome</t>
  </si>
  <si>
    <t>Add 3 random Mage spells to your hand.</t>
  </si>
  <si>
    <t>Crazed Worshipper</t>
  </si>
  <si>
    <t>Taunt. Whenever this minion takes damage, give your C'Thun +1/+1(wherever it is).</t>
  </si>
  <si>
    <t xml:space="preserve">Taunt: </t>
  </si>
  <si>
    <t>Darkspeaker</t>
  </si>
  <si>
    <t>Battlecry: Swap stats with a friendly minion.</t>
  </si>
  <si>
    <t>Hammer of Twilight</t>
  </si>
  <si>
    <t>Deathrattle: Summon a 4/2 Elemental</t>
  </si>
  <si>
    <t>Shadowcaster</t>
  </si>
  <si>
    <t>Battlecry: Choose a friendly minion,  Add a 1/1 copy to your hand that costs (1).</t>
  </si>
  <si>
    <t>Tentacles For Arms</t>
  </si>
  <si>
    <t>Deathrattle:  Return this to your hand.</t>
  </si>
  <si>
    <t>Validated Doomsayer</t>
  </si>
  <si>
    <t>At the start of your turn, set this minion's attack to 7.</t>
  </si>
  <si>
    <t>Ancient Harbinger</t>
  </si>
  <si>
    <t>At the start of your turn, put a 10-Cost minion from your deck into your hand.</t>
  </si>
  <si>
    <t>Scaled Nightmare</t>
  </si>
  <si>
    <t>At the start of your turn, double this minion's attack.</t>
  </si>
  <si>
    <t>Wisps of the Old Gods</t>
  </si>
  <si>
    <t>Choose One - Summon seven 1/1 Wisps; or, Give your minions +2/+2</t>
  </si>
  <si>
    <t>Call of the Wild</t>
  </si>
  <si>
    <t>Summon all three Animal Companions.</t>
  </si>
  <si>
    <t>Giant Sand Worm</t>
  </si>
  <si>
    <t>If this minion attacks andother minion and kills it, it can atatck again.</t>
  </si>
  <si>
    <t>Blade of C'Thun</t>
  </si>
  <si>
    <t>Battlecry: Destroy a minion. Add its Attack and Health to C'Thun's *(wherever it is).</t>
  </si>
  <si>
    <t>Blood of the Ancient One</t>
  </si>
  <si>
    <t>If you control two of these at the end of your turn, merge them into "The Ancient One."</t>
  </si>
  <si>
    <t>DOOM!</t>
  </si>
  <si>
    <t>Destroy all minions.  Draw a card for each.</t>
  </si>
  <si>
    <t>Shifter Zerus</t>
  </si>
  <si>
    <t>Each turn this is in your hand, transform it into a random minion.</t>
  </si>
  <si>
    <t>Nat, the Darkfisher</t>
  </si>
  <si>
    <t>At the start of your opponent's turn, they have a 50% chance to draw an extra card.</t>
  </si>
  <si>
    <t>Fandral Staghelm</t>
  </si>
  <si>
    <t>Your Choose One cards have both effects combined.</t>
  </si>
  <si>
    <t>Xaril, Poisoned Mind</t>
  </si>
  <si>
    <t xml:space="preserve"> Battlecry and Deathrattle:  Add a random toxin card to your hand.</t>
  </si>
  <si>
    <t xml:space="preserve">Battlecry; Deathrattle; </t>
  </si>
  <si>
    <t>Hallazeal the Ascended</t>
  </si>
  <si>
    <t>Whenever your spells deal damage, restore that much Health to your hero.</t>
  </si>
  <si>
    <t>Princess Huhuran</t>
  </si>
  <si>
    <t>Battlecry:  Trigger a friendly minions Deathrattle effect immediately.</t>
  </si>
  <si>
    <t>Herald Volazj</t>
  </si>
  <si>
    <t>Battlecry: Summon a 1/1 copy of each of your other minions.</t>
  </si>
  <si>
    <t>Hogger, Doom of Elwynn</t>
  </si>
  <si>
    <t>When this minion is damaged, summon a 2/2 gnoll with Taunt.</t>
  </si>
  <si>
    <t>Mukla, Tyrant of the Vale</t>
  </si>
  <si>
    <t>Battlecry: Add 2 bananas to your hand.</t>
  </si>
  <si>
    <t>Cho'Gall</t>
  </si>
  <si>
    <t>Battlecry: The next spell you cast this turn costs Health instead of Mana.</t>
  </si>
  <si>
    <t>Malkorok</t>
  </si>
  <si>
    <t>Battlecry: Equip a random weapon.</t>
  </si>
  <si>
    <t>Twin Emperor Vek'lor</t>
  </si>
  <si>
    <t>Taunt. Battlecry: If your C'Thun has at least 10 Attack, summon another Emperor.</t>
  </si>
  <si>
    <t>Anomalus</t>
  </si>
  <si>
    <t>Deathrattle: Deal 8 damage to all minions.</t>
  </si>
  <si>
    <t>Ragnaros, Lightlord</t>
  </si>
  <si>
    <t>At the end of your turn, restore 8 health to a damaged friendly character.</t>
  </si>
  <si>
    <t>The Boogeymonster</t>
  </si>
  <si>
    <t>Whenever this minion attacks and destroys another minion, gain +2/+2</t>
  </si>
  <si>
    <t>Soggoth the Slitherer</t>
  </si>
  <si>
    <t>Taunt.  Can't be targeted by Spells or Hero Powers.</t>
  </si>
  <si>
    <t>C'Thun</t>
  </si>
  <si>
    <t>Battlecry:  Deal damage equal to this minions Attack randomly split among enemies.</t>
  </si>
  <si>
    <t>Deathwing, Dragonlord</t>
  </si>
  <si>
    <t>Deathrattle: Put all dragons from your hand into the battlefield.</t>
  </si>
  <si>
    <t>N'Zoth, the Corruptor</t>
  </si>
  <si>
    <t>Battlecry:  Summon your Deathrattle minions that died this game.</t>
  </si>
  <si>
    <t>Y'Shaarj, Rage Unbound</t>
  </si>
  <si>
    <t>At the end of your turn, put a minion from your deck into the battlefield.</t>
  </si>
  <si>
    <t>Yogg-Saron, Hope's End</t>
  </si>
  <si>
    <t>Battlecry: Cast a random spell for each spell you've cast this game (targets chosen randomly).</t>
  </si>
  <si>
    <t>Forbidden Ritual</t>
  </si>
  <si>
    <t>Spend all your Mana. Summon that many 1/1 Tentacles.</t>
  </si>
  <si>
    <t>Blood To Ichor</t>
  </si>
  <si>
    <t>Deal 1 damage to a minion. If it survives, summon a 2/2 Slime.</t>
  </si>
  <si>
    <t>Evolve</t>
  </si>
  <si>
    <t>Transform your minions into random minions that cost (1) more.</t>
  </si>
  <si>
    <t>Journey Below</t>
  </si>
  <si>
    <t>Discover a Deathrattle card.</t>
  </si>
  <si>
    <t>Selfless Hero</t>
  </si>
  <si>
    <t>Deathrattle: Give a random friendly minion Divine Shield.</t>
  </si>
  <si>
    <t>Cult Sorcerer</t>
  </si>
  <si>
    <t>Spell Damage +1 After you cast a spell, give your C'Thun +1/+1 (wherever it is).</t>
  </si>
  <si>
    <t>Darkshire Librarian</t>
  </si>
  <si>
    <t>Battlecry: Discard a random card. Deathrattle: Draw a card.</t>
  </si>
  <si>
    <t>Undercity Huckster</t>
  </si>
  <si>
    <t>Add a random class card to your hand (from your opponents class.)</t>
  </si>
  <si>
    <t>Addled Grizzly</t>
  </si>
  <si>
    <t>After you summon a minion, give it +1/+1.</t>
  </si>
  <si>
    <t>Bloodsail Cultist</t>
  </si>
  <si>
    <t>Battlecry: If you control a Pirate, give your weapon +1/+1.</t>
  </si>
  <si>
    <t>Disciple of C'Thun</t>
  </si>
  <si>
    <t>Battlecry: Deal 2 damage. Give your C'Thun +2/+2 (wherever it is).</t>
  </si>
  <si>
    <t>Forlorn Stalker</t>
  </si>
  <si>
    <t>Battlecry: Give all minions with Deathrattle in your hand +1/+1.</t>
  </si>
  <si>
    <t>Infest</t>
  </si>
  <si>
    <t>Give your minions "Deathrattle: Add a random Beast to your hand."</t>
  </si>
  <si>
    <t>Rallying Blade</t>
  </si>
  <si>
    <t>Battlecry: Give +1/+1 to your minions with Divine Shield.</t>
  </si>
  <si>
    <t>Silithid Swarmer</t>
  </si>
  <si>
    <t>Can only attack if your hero attacked this turn.</t>
  </si>
  <si>
    <t>Spreading Madness</t>
  </si>
  <si>
    <t>Deal 9 damage randomly split among ALL characters.</t>
  </si>
  <si>
    <t>Steward of Darkshire</t>
  </si>
  <si>
    <t>Whenever you summon a 1-Health minion, givie it Divine Shield.</t>
  </si>
  <si>
    <t>Blackwater Pirate</t>
  </si>
  <si>
    <t>Your weapons cost (2) less.</t>
  </si>
  <si>
    <t>Demented Frostcaller</t>
  </si>
  <si>
    <t>After you cast a spell, freeze a random enemy.</t>
  </si>
  <si>
    <t>Eater of Secrets</t>
  </si>
  <si>
    <t>Battlecry: Destroy all enemy Secrets.  Gain +1/+1 for each.</t>
  </si>
  <si>
    <t>Infested Wolf</t>
  </si>
  <si>
    <t>Deathrattle: Summon two 1/1 Spiders.</t>
  </si>
  <si>
    <t>Klaxxi Amber-Weaver</t>
  </si>
  <si>
    <t>Battlecry: If your C'Thun has at least 10 attack, gain 5 health.</t>
  </si>
  <si>
    <t>Master of Evolution</t>
  </si>
  <si>
    <t>Battlecry: Transform a friendly minion into a random one that costs (1) more.</t>
  </si>
  <si>
    <t>Midnight Drake</t>
  </si>
  <si>
    <t>Battlecry: Gain +1 Attack for each other card in your hand.</t>
  </si>
  <si>
    <t>Mire Keeper</t>
  </si>
  <si>
    <t>Choose One - Summon a 2/2 Slime; or Gain an empty Mana Crystal</t>
  </si>
  <si>
    <t>Shadow Word: Horror</t>
  </si>
  <si>
    <t>Destroy all minions with 2 or less attack.</t>
  </si>
  <si>
    <t>Shifting Shade</t>
  </si>
  <si>
    <t>Deathrattle: Copy a card from your opponent's deck and add it to your hand.</t>
  </si>
  <si>
    <t>Corrupted Healbot</t>
  </si>
  <si>
    <t>Deathrattle: Restore 8 health to the enemy hero.</t>
  </si>
  <si>
    <t>Servant of Yogg-Saron</t>
  </si>
  <si>
    <t>Battlecry: Cast a random spell that costs (5) or less (targets chosen randomly).</t>
  </si>
  <si>
    <t>Twilight Darkmender</t>
  </si>
  <si>
    <t>Battlecry: If your C'Thun has at least 10 Attack, restore 10 Health to your hero.</t>
  </si>
  <si>
    <t>Corrupted Seer</t>
  </si>
  <si>
    <t>Battlecry: Deal 2 damage to all non-Murloc minions.</t>
  </si>
  <si>
    <t>Skeram Cultist</t>
  </si>
  <si>
    <t>Thing From Below</t>
  </si>
  <si>
    <t>Taunt. Costs (1) less for each Totem  you've summoned this game.</t>
  </si>
  <si>
    <t>Thistle Tea</t>
  </si>
  <si>
    <t>Draw a card.  Add 2 extra copies of it to your hand.</t>
  </si>
  <si>
    <t>Ancient Shieldbearer</t>
  </si>
  <si>
    <t>Battlecry:  If your C'thun has at least 10 attack, gain 10 armor.</t>
  </si>
  <si>
    <t>Doomcaller</t>
  </si>
  <si>
    <t>Battlecry: Give your C'Thun +2/+2 (wherever it is). If it's dead, shuffle it into your deck.</t>
  </si>
  <si>
    <t>Missing Playable Cards (Automatic)</t>
  </si>
  <si>
    <t>Expected Dust Value and Probability of Recieving New Cards</t>
  </si>
  <si>
    <t>Normal Analysis</t>
  </si>
  <si>
    <t>Goblins vs Gnomes</t>
  </si>
  <si>
    <t>The Grand Tournament</t>
  </si>
  <si>
    <t>The Old Gods</t>
  </si>
  <si>
    <t>Probability</t>
  </si>
  <si>
    <t>Dust</t>
  </si>
  <si>
    <t>Per Card:</t>
  </si>
  <si>
    <t>Per Pack:</t>
  </si>
  <si>
    <t>Weighted Analysis</t>
  </si>
  <si>
    <t>Evaluate packs:</t>
  </si>
  <si>
    <t>Which Pack to Buy? (Based On Average Pack)</t>
  </si>
  <si>
    <t>Non-Weighted Analysis</t>
  </si>
  <si>
    <t>Max Dust Value:</t>
  </si>
  <si>
    <t>Max Chance of a New Card:</t>
  </si>
  <si>
    <t>If you chose to do a weighted analysis this page has the normal and weighted pack analysis for you.  The front page was too crowded to fit it in.   The benefit of this is you can set cards you don't want to 0% and it won't factor it in when deciding the best pack.  It allows a more focused approach to card collecting if you are just starting out or don't plan on collecting every card.  You can also set "Evaluate Packs" to false in order to just compare certain packs.  Borrowed heavily from /u/dvide.</t>
  </si>
  <si>
    <t>No(w) Dust</t>
  </si>
  <si>
    <t>No(w)Prob</t>
  </si>
  <si>
    <t>W-Dust</t>
  </si>
  <si>
    <t>W-Prob</t>
  </si>
  <si>
    <t>Standard Pack Values</t>
  </si>
  <si>
    <t>Available Cards</t>
  </si>
  <si>
    <t>Craft</t>
  </si>
  <si>
    <t>D/E</t>
  </si>
  <si>
    <t>By average card</t>
  </si>
  <si>
    <t>By average pack</t>
  </si>
  <si>
    <t>By modal pack</t>
  </si>
  <si>
    <t>Row 1st</t>
  </si>
  <si>
    <t>Row 2nd</t>
  </si>
  <si>
    <t>Pack 1st</t>
  </si>
  <si>
    <t>Pack 2nd</t>
  </si>
  <si>
    <t>Value 1st</t>
  </si>
  <si>
    <t>Value 2nd</t>
  </si>
  <si>
    <t>Difference</t>
  </si>
  <si>
    <t>Deck Checker</t>
  </si>
  <si>
    <t>This section is to help you determine how much dust you need to build a deck if you found one on a site like Hearthpwn.com.  Simply find the card page and click Export to--Cockatrice.  Copy and paste that into the "Export to Cockatrice" coloumn and it will check your collection for any missing cards.  You can do this in other applications like Hearthstone Deck Tracker so this is an entirely optional feature and just works with Hearthpwn.com at the moment.</t>
  </si>
  <si>
    <t>Export to Cockatrice</t>
  </si>
  <si>
    <t>Card</t>
  </si>
  <si>
    <t>Need</t>
  </si>
  <si>
    <t>Have</t>
  </si>
  <si>
    <t>Cost</t>
  </si>
  <si>
    <t>1 Sylvanas Windrunner</t>
  </si>
  <si>
    <t>2 Frothing Berserker</t>
  </si>
  <si>
    <t>1 Big Game Hunter</t>
  </si>
  <si>
    <t>2 Slam</t>
  </si>
  <si>
    <t>2 Execute</t>
  </si>
  <si>
    <t>1 Brawl</t>
  </si>
  <si>
    <t>2 Cruel Taskmaster</t>
  </si>
  <si>
    <t>1 Cairne Bloodhoof</t>
  </si>
  <si>
    <t>1 Ragnaros the Firelord</t>
  </si>
  <si>
    <t>1 Harrison Jones</t>
  </si>
  <si>
    <t>2 Fiery War Axe</t>
  </si>
  <si>
    <t>1 Grommash Hellscream</t>
  </si>
  <si>
    <t>2 Armorsmith</t>
  </si>
  <si>
    <t>2 Death's Bite</t>
  </si>
  <si>
    <t>2 Sludge Belcher</t>
  </si>
  <si>
    <t>1 Dr. Boom</t>
  </si>
  <si>
    <t>2 Piloted Shredder</t>
  </si>
  <si>
    <t>1 Bash</t>
  </si>
  <si>
    <t>1 Varian Wrynn</t>
  </si>
  <si>
    <t>2 Fierce Monkey</t>
  </si>
  <si>
    <t>Status Key</t>
  </si>
  <si>
    <t>Likely</t>
  </si>
  <si>
    <t xml:space="preserve">        It is something I know how to do and will likely incorporate.</t>
  </si>
  <si>
    <t>Maybe</t>
  </si>
  <si>
    <t xml:space="preserve">        It is something I don't know how to do or am not sure if to incorporate.</t>
  </si>
  <si>
    <t>Unlikely</t>
  </si>
  <si>
    <t xml:space="preserve">        Probably not going to happen.</t>
  </si>
  <si>
    <t>Feedback and Responses Received So Far</t>
  </si>
  <si>
    <t>Number</t>
  </si>
  <si>
    <t>Status</t>
  </si>
  <si>
    <t>Question and Response (Finished requests are always deleted)</t>
  </si>
  <si>
    <t>Can you setup the sheet to auto-update?</t>
  </si>
  <si>
    <t>So this is something I will play around with.    Adding in an "IMPORTRANGE" command will allow me to do this but it will require users manually confirming to accept changes from this sheet.  It will be after I complete ALL changes though because I don't want to cause too much disruption and I really want a simple way to implement it.</t>
  </si>
  <si>
    <t>Can you show the total percentage of completion based on dust?</t>
  </si>
  <si>
    <t>Not sure a good place to insert or display this.  Summary page is pretty crowded.</t>
  </si>
  <si>
    <t>Can you incorporate sector graphics (Pie Charts, Graphs, etc)?</t>
  </si>
  <si>
    <t>Can't get charts to where I would like viewing them.  Seems limited compared to Excel so I probably won't do this.</t>
  </si>
  <si>
    <t>Can you add alternative currency options?</t>
  </si>
  <si>
    <t>There probably isn't an elegant solution to this other then having the user (you) do it.  Just change the base cost of a pack (Overview!O17) to whatever it costs in your country and select your currency as the format. That will be all the change you need.</t>
  </si>
  <si>
    <t>Can you look at Auto Sort Option Defaults (I.E. Click a button to sort a specific way: Class, Mana, Then Collection)</t>
  </si>
  <si>
    <t>There might be an easier solution to this but I wouldn't mind incorporating it.  Probably I would have a few defaults.</t>
  </si>
  <si>
    <t>Include dust value of golden cards in "Expected Packs" equation?</t>
  </si>
  <si>
    <t>Why aren't we keeping all the different tabs for Classes?</t>
  </si>
  <si>
    <t>Quite frankly it was overwhelmingly preferred but it just makes a lot of extra work to update or add features.  Instead of adding the cards all on one page I have to do it on 9 pages and in certain equations add 9 different cells instead of just 1.  From a time perspective, it became unwieldy.</t>
  </si>
  <si>
    <t>Can you Include ADWCTA Card Values?</t>
  </si>
  <si>
    <t>It would just get to crowded and the card value constantly changes.  Since Arena cards aren't tied to your collection I don't view it as important.</t>
  </si>
  <si>
    <t>Version</t>
  </si>
  <si>
    <t>Date</t>
  </si>
  <si>
    <t>Changes</t>
  </si>
  <si>
    <t xml:space="preserve">- - - </t>
  </si>
  <si>
    <t>Tentacle of N'Zoth, C'Thun's Chosen, Infested Tauren, and Midnight Drake mistranslated. Hammer of Twilight incorrect as well (/u/thaatz). Hearthstone seems to have changed their client  sort order.  #Type (Weapon, Spell, Minion)  is no longer needed and is purely alphabetical. (Mana then Name)  Probably will delete #Type later as that was its only purpose.  Also added two more named Ranges to help you sort but only work if TOG isn't mixed with regular cards.  "Sort_Pre_TOG_If_Unsorted" will sort everything but TOG.  "TOG_If_Unsorted" will sort TOG cards if they are still at the bottom of the Sheet.  "Sort_Full_Collection" will sort the entire page.</t>
  </si>
  <si>
    <t>First major error.  There wasn't a formula for the % finished in the Old Gods Summary Page.  Should be =C22/D22 (Cell F22) for the Unique and =I22/J22 (Cell L22)for playable.  You can manually put this in or download a new copy.  Sorry. (/u/kitslinn)</t>
  </si>
  <si>
    <t xml:space="preserve"> Nothing major yet.  Forbidden Ritual should be a Rare, not an Epic. (/u/JamesEarlBonesHS)  Updated text that Promo cards can't be unlocked, only crafted.  Added Pity Tracker Link to Setup page.  Didn't realize how inefficient it was to not have TOG sorted like client.  Now it is in both copies.</t>
  </si>
  <si>
    <t>TOG Cards weren't be adding to the "Playable" cards on Summary.  Updated "Time, Money, and Gold Costs".  Value of TOG, on average, should be $379 but I'll probably use carddust.com's number when they release it.  Should be fairly close.Added in the cards to the dust total. Consolidated "Best Pack To Buy" now that GvG is gone from store.  /u/ kemalburak5 pointed out "Named Ranges" didn't include new cards.  Changed conditional formatting to purple for missing TOG cards.  Some cards weren't tagged with proper keywords.   expect I might find some more as we go along but it only matters for the analysis on the Misc. tab.Deck Check updated because adding "Keywords" and "Format" columns broke it.  Feedback tab will be linked to a Reddit post as I see that more often then the survey currently linked.  Golden Card Collection tracking removed.  Just going to be too time consuming going forward.</t>
  </si>
  <si>
    <t>All the cards and formulas are entered except factoring in the monetary value of TOG collection.  I was going to wait until Sunday so I didn't have any entry errors in the data but it just gets flooded out in all the TOG posts.  I'll make an official post on Monday but most of the spreadsheet should be up to date.  If you find any translation or card errors, I'll update immediately.</t>
  </si>
  <si>
    <t>Added in the Classic nerfs.  If you had precisely 2 copies of a Legendary, one was not being counted. Fixed. (/u/pcjco).  Have all the  TOG cards released so far in spreadsheet format so spreadsheet should be "live" by Monday after I enter the remainig 60 or so.</t>
  </si>
  <si>
    <t>Again, nothing changes for you to need to re-download.  Found out a new way to write a formula so I basically deleted all the Charge/Taunt/Power coloumns I made a week ago for a single "Keywords" coloumn.  Made sure Standard Pack Values are consistent when you have all cards instead of about 1.5 off.  (~/u/Glute_Thighwalker) Doesn't change the "Best Pack" but makes things more consistent.  Best Packs for "Wild"/"Standard" were actually swapped so the only way this could affect you if you were buying GvG for Standard.  (GvG is rotating out of Standard). .  Added in some new tables in the Misc Data Tab.</t>
  </si>
  <si>
    <t>Final update before Wrath of the Old Gods (TOG).  Nothing is changing for current collections so no need to re-download.  Everything is tested and should work fine once you copy/paste the TOG card data into the "Cards" tab.  (This means all formulas and tabs.  Collection value won't update until I know the rarity distrobution and can price it.)  All formulas except "Golden" cards tab are updated.  I am thinking of dropping support for that as it requires a lot more work and you have to buy, not earn, a full Gold Collection.</t>
  </si>
  <si>
    <t>Made new card data categories of Charge, Taunt, Spell Power so I can do Wild vs Standard "Forbidden Flame" Calculations in Misc.</t>
  </si>
  <si>
    <t>Touched up more formatting and placeholders for the next year.  Hopefully this means less work updating in the future.</t>
  </si>
  <si>
    <t>Started the formatting for new Expansion.  Simplified the Summary page and made a setup page instead.  Made the pack calcualtions not drop below 0 so you don't get weird looking negative numbers.  Might move things around in the future a bit on the Summary page but the major stuff is read for the new Expansion.</t>
  </si>
  <si>
    <t>Deck Check wasn't updated for LoE.  Doomhammer was mispelled.  ~Agent-_-P</t>
  </si>
  <si>
    <t>Started saving gold for next Expansion as I have a good chunk of TGT cards.  Added in the ability to count Gold towards your Collection/Dust value.  Slightly updated Collection value formula to factor packs as ~106 dust to ~102 dust as this is what the card pack data suggests.</t>
  </si>
  <si>
    <t>LoE formula marked LoE Legendary as 2 copies instead of 1.  Fixed. /u/OrinMacGregor. Reno Jackson was listed under Wing 2 instead of Wing 1.</t>
  </si>
  <si>
    <t>Huge error in Collection Value where Classic Legendary cards were not being counted.  You can copy/paste this formual into R20 on the Summary tab or download a new sheet.    =(575.56*(((Q8*(T8-U8))+(Q9*(T9-U9))+(Q10*(T10-U10))+(Q11*(T11-U11)))/106120))+(24.99*(I17/J17))+(357.27*(((Q8*(X8-Y8))+(Q9*(X9-Y9))+(Q10*(X10-Y10))+(Q11*(X11-Y11)))/63400)+(24.99*(I19/J19)+(932.83*(U24+U25)/169520)+(360.42*(((Q8*(AA8-AB8))+(Q9*(AA9-AB9))+(Q10*(AA10-AB10))+(Q11*(AA11-AB11)))/64720)+(19.99*(I21/J21)+((U29/106.83)*O17)))))</t>
  </si>
  <si>
    <t>Cell error in card list  where total Rare Neutrals had a slight formula error. /u/neophoenixfire .  Spelling error for Wilfred Fizzlebang's card name fixed. /u/TJX_EU</t>
  </si>
  <si>
    <t>Updated for League of Explorers.</t>
  </si>
  <si>
    <t>King Krush was 8 mana instead of the correct amount of 9.</t>
  </si>
  <si>
    <t>Fixed small error in Weighted Cell J7 where it was referencing Epic cards in one part of the formula and not Rare.</t>
  </si>
  <si>
    <t>Added in Deck Check feature by /u/Niothoras.  Works with Hearthpwn in tell you which cards you do and do not have for a deck as well as the dust it would require to craft.</t>
  </si>
  <si>
    <t>Harvest Golem Subtype was missing "Mech" tag.  Inverted Changelog so most recent changes are at the top</t>
  </si>
  <si>
    <t>Slight formula errors with "Weighted" calculations.(/u/Q-Three)</t>
  </si>
  <si>
    <t>Refortmated the front page inspired by /u/playdoh84 's spreadsheet.  Would like to incorporate the Weighted tab into the summary page but lining everything up is almost as big of a pain as noticing little equations that got changed while moving everything.  Probably will hold off on it.  At this point I think the spreadsheet it pretty much error free for TGT and all options are added.</t>
  </si>
  <si>
    <t>TGT Golden Collection weren't subrtracted correctly in Column M.  Still had problems with the bad table info for cards that started with M.  Turns out the  table had Majordomo as Mojordomo...screwing everything up.   The client sorting coloumns (#) are now automated by matching tables.  Should help prevent any future errors and means updating is just dragging and dropping the cells.  Automated #Type but caused error in weighted calculations.  Fixed.</t>
  </si>
  <si>
    <t>Min GvG packs on summary page (AA34) should read: =((((Y8*Q8)+(Y9*Q9)+(Y10*Q10)+(Y11*Q11))-U30))/217.52.  Max GVG Packs (AA36) should read: =((((Y8*Q8)+(Y9*Q9)+(Y10*Q10)+(Y11*Q11))-U30))/108.76 (Credit: /u/codename539</t>
  </si>
  <si>
    <t>Disenchanting golden common cards was set at 40g instead of 50g.  Fixed.</t>
  </si>
  <si>
    <t>Used a different table to correct flavor text on card data (old table had errors.) New  sort #Type to help you get closer to the client default.  Minor corrections here and there.</t>
  </si>
  <si>
    <t>Adjusted incorrect card text and subtype listings.  Small errors corrected throughout.  Will re-examine any remaining ones tonight.</t>
  </si>
  <si>
    <t>Fixed formula error where Class Non-Golden's weren't automatically updating.  (Credit /u/ Osamakari)  Added new way to sort Classes.  #Class will be alphabetical but place Neutral Cards seperately at the bottom. All Card Data is available on the Card List. (ATK, HP, Type, SubType, Text) but is hidden to the right.  Previous formula data is moved to the left of the cards and hidden as well.  Missing Cards will now populate on a seperate tab!  Started incorporating Charts/Sector Graphics but really didn't like their appearance.  Will probably hold off on this.  Next big project is weighting  cards.</t>
  </si>
  <si>
    <t>Added in Golden Calculations under the "Golden and Weighted Overviews".  The weighted numbers will come later but the Golden calculations are finished.  Some slight formatting issuers were fixed as well.</t>
  </si>
  <si>
    <t>Updated Monetary Value formulas for TGT.  Fixed minor error where Legendary cards counted twice when autofilled under Blackrock and Naxx.  Accidently inflated the "Excess Dust" calculation</t>
  </si>
  <si>
    <t>Automated Card Updating Based on Level and Adventure Wing.  Now when you enter your Level or Adventure Wing in the Overview Page your cards will automatically update.  Credit to /u/Trenai for creating a spreadsheet and giving me an idea how to do it.</t>
  </si>
  <si>
    <t>Corrected errors for calculating total dust needed to complete collection and corrected Rarity on Tiny Knight of Evil card.  /u/ZoloDr.Boom. Fixed "You Should Buy..." formula. /u/kagani</t>
  </si>
  <si>
    <t>The Grand Tournament is now updated.  Changed to new format to make it easier for other users to update and continue the spreadsheet if they so choose.  All cards are now on one page instead of seperate class pages.</t>
  </si>
  <si>
    <t>Fixed sorting features.  Google Docs wants to sort alphabetically so I had to give numeric values to things that wouldn't sort properly like Rarity and Collection.  There is now a hidden tab called #Rarity and #Collection that sort in proper order.  Just go to Data--&gt; Named Ranges, Click the Class, Check "Has Header Row" (IMPORTANT) and sort how you want.  Default is Rarity then Mana Cost.  Officially sorted BRM cards into proper order with collections.  Also set default page blank now that I think it is generally finished.  Will continue tracking my cards on the Golden version.</t>
  </si>
  <si>
    <t>Formula was wrong in column I.  Max legendary copies were showing as 2 instead of 1 because I dragged the formula all the way down instead of stopping after Epics.  Credit /u/GoneWacko.</t>
  </si>
  <si>
    <t>Added back in a Gold Collection overview that I am satisfied with.  The sheet consolidates all the cards to one page which I am thinking about doing here.  Just not entirely sure what people prefer and I don't want to have people keep re-entering their data.  This is primarily for people who want to track their Golden Collection so it isn't for everyone.  Some cosmetic or superficial fixes were added too but nothing major.  This is primarily about the Golden Collection</t>
  </si>
  <si>
    <t>Adding Promo category made some minor changes to the Summary page that were incorrect.  Particularly the "You Should Buy" was pointing to the wrong cells so it would not update.  Everything else should be corrected at this point.</t>
  </si>
  <si>
    <t xml:space="preserve">"Blackrock Mountain!  Simplified down the hidden coloumns on each page. Now it will always be 3 coloums per page instead of 3 plus 2 for each Expansion/Adventure always added. (Was currently at 9 per page).   Added a Promo category so things don't have to get messy calculating Classic Card Packs.  Changed some formulas to work faster.   Total Dust was adding in Adventure cards.  Fixed.  Added in Blackrock Cards.        </t>
  </si>
  <si>
    <t>Promo Cards counting twice in card calculations.  Don't really want to make a new category for just 4 cards but in the meantime just labled them as "Promo" and they are excluded from the count until I can find a more elegant solution.  Updated "Playable" text as some found it confusing.  Plan to add Promo cards back correctly by Blackrock update.  Eror found by /u/Niklink</t>
  </si>
  <si>
    <t>I wasn't planning on doing an update until Blackrock but I realized some people want to sort coloumns by Mana cost, instead of Rarity, so now all coloumns can be sorted without screwing up the tabulations.  HOWEVER, make sure you highlight everything (A-Q), including the hidden coloumns, before you attempt to sort.  (Or use provided 'Named Ranges') New formulas proveded by /u/ChibiMaou.  Also updated the front page and corrected an error in the "Monetary Value" formula.  And added a "Minimum" to expected card packs.  Next update should be Blackrock Mountain. (~12/31 cards currently added)</t>
  </si>
  <si>
    <t xml:space="preserve">Entered 7/31 Blackrock cards.  Finished optimized equations for faster calculations.  Corrected error where "Extra Gold Playable Dust" didn't fully calculate and stopped about halfway through on Class Rares.  (Credit /u/ChibiMaou).  </t>
  </si>
  <si>
    <t>Neutral "Gold Playable" values were incorrectly disenchanting 2 golden cards when you had 1 normal and 2 golden copies.  Corrected. (Credit /u/randomflyingtaco) Started experimenting with more optimal equations.  Also added Blackrock placeholders and experimenting for card appraisal.</t>
  </si>
  <si>
    <t>Classic Pack Chooser (GvG/Classic) was wrongly counting collectible cards that could not be opened in a pack like Elite Tauren Chieftan, Old Murk-Eye, etc.  Fixed.</t>
  </si>
  <si>
    <t>Added "Personal Targeted List" for remaining cards that I would want and/or craft.  Just simplifies if for me personally when viewing my collection and what I actually want to use.  It's manual but you can use it or delete it as you wish.  If anything, it simplifies what legendaries you want to get. (Moved to Raw Data Page)</t>
  </si>
  <si>
    <t>Added Golden Collection Overview Tab.  Doesn't tell you which pack to buy but would require a lot more coloums per sheet (10) to add in the same detail as normal.  As only ~3% of any of the cards are Golden I don't think it is that big of a deal.  Basically you need pure dust.  If you are shooting for a Gold Collection you probably have your own spreadsheet/estimator.  Or just keep buying in bulk (60 packs) until you narrow in on your goal.</t>
  </si>
  <si>
    <t>(Deleted to Simplify Pages and improve quality.   Too many calculations and clutter.  Might make seperate after BRM)</t>
  </si>
  <si>
    <t>Dressed up the raw data page, made formating changes on home page, worked on Gold spreadsheet.  Officially added Changelog.</t>
  </si>
  <si>
    <t>Added hero images to each page.  Created a linkable blank copy for people to use.  Added "Time, Money, and Gold Costs" table.</t>
  </si>
  <si>
    <t>Added pack estimator for how many packs to final collection</t>
  </si>
  <si>
    <t>Added additonal options to front page to include hero levels, golden portraits, and pack decider (GvG vs Classic)</t>
  </si>
  <si>
    <t>Added all GvG cards</t>
  </si>
  <si>
    <t>Added all Classic cards</t>
  </si>
  <si>
    <t>Golden Basic Cards</t>
  </si>
  <si>
    <t>Level</t>
  </si>
  <si>
    <t>Normal Basic Cards</t>
  </si>
  <si>
    <t>Regular Cards</t>
  </si>
  <si>
    <t>Blackrock Mountain by Wing</t>
  </si>
  <si>
    <t>Crafting Cost</t>
  </si>
  <si>
    <t>Disenchant Value</t>
  </si>
  <si>
    <t>Wing</t>
  </si>
  <si>
    <t>Gold Cards</t>
  </si>
  <si>
    <t>Set Type</t>
  </si>
  <si>
    <t>Collectibles</t>
  </si>
  <si>
    <t>Collect</t>
  </si>
  <si>
    <t>Craft Only</t>
  </si>
  <si>
    <t>Type Weighting</t>
  </si>
  <si>
    <t>Naxxramas Cards by Wing</t>
  </si>
  <si>
    <t>Classes</t>
  </si>
  <si>
    <t>League of Explorers Cards By Wing</t>
  </si>
  <si>
    <t>Random Assortment of Links (Not Always Updated)</t>
  </si>
  <si>
    <t>Useful Links</t>
  </si>
  <si>
    <t>Expected Re-Roll Value of Quests</t>
  </si>
  <si>
    <t>Basically Always re-roll 40g and 50g quests.</t>
  </si>
  <si>
    <t>Odds of Re-roll</t>
  </si>
  <si>
    <t>Better</t>
  </si>
  <si>
    <t>Same</t>
  </si>
  <si>
    <t>Worse</t>
  </si>
  <si>
    <t>40g Quest</t>
  </si>
  <si>
    <t>50g Quest</t>
  </si>
  <si>
    <t>60g Quest</t>
  </si>
  <si>
    <t>100g Quest</t>
  </si>
  <si>
    <t>Hearthstone Daily Quest Odds</t>
  </si>
  <si>
    <t>Daily Chance</t>
  </si>
  <si>
    <t>Rewards</t>
  </si>
  <si>
    <t>Value</t>
  </si>
  <si>
    <t>Beat DownDeal 100 damage to enemy heroes.</t>
  </si>
  <si>
    <t>Destroy them AllDestroy 40 minions.</t>
  </si>
  <si>
    <t>Druid or Hunter VictoryWin 2 games with Druid or Hunter.</t>
  </si>
  <si>
    <t>Druid or Rogue VictoryWin 2 games with Druid or Rogue.</t>
  </si>
  <si>
    <t>Hunter or Mage VictoryWin 2 games with Hunter or Mage.</t>
  </si>
  <si>
    <t>Mage or Shaman VictoryWin 2 games with Mage or Shaman.</t>
  </si>
  <si>
    <t>Only the MightyPlay 20 minions that cost 5 or more.</t>
  </si>
  <si>
    <t>Paladin or Priest VictoryWin 2 games with Paladin or Priest.</t>
  </si>
  <si>
    <t>Paladin or Warrior VictoryWin 2 games with Paladin or Warrior.</t>
  </si>
  <si>
    <t>Priest or Warlock VictoryWin 2 games with Priest or Warlock.</t>
  </si>
  <si>
    <t>Rogue or Warrior VictoryWin 2 games with Rogue or Warrior.</t>
  </si>
  <si>
    <t>Shaman or Warlock VictoryWin 2 games with Shaman or Warlock.</t>
  </si>
  <si>
    <t>Spell MasterCast 40 spells.</t>
  </si>
  <si>
    <t>The Meek Shall InheritPlay 30 minions that cost 2 or less.</t>
  </si>
  <si>
    <t>3 Victories! Win 3 Games as Any Class</t>
  </si>
  <si>
    <t>Win 3 Games as Druid</t>
  </si>
  <si>
    <t>Win 3 Games as Hunter</t>
  </si>
  <si>
    <t>Win 3 Games as Mage</t>
  </si>
  <si>
    <t>Win 3 Games as Paladin</t>
  </si>
  <si>
    <t>Win 3 Games as Priest</t>
  </si>
  <si>
    <t>Win 3 Games as Rogue</t>
  </si>
  <si>
    <t>Win 3 Games as Shaman</t>
  </si>
  <si>
    <t>Win 3 Games as Warlock</t>
  </si>
  <si>
    <t>Win 3 Games as Warrior</t>
  </si>
  <si>
    <t>Druid or Hunter DominanceWin 5 games with Druid or Hunter.</t>
  </si>
  <si>
    <t>Druid or Rogue DominanceWin 5 games with Druid or Rogue.</t>
  </si>
  <si>
    <t>Hunter or Mage DominanceWin 5 games with Hunter or Mage.</t>
  </si>
  <si>
    <t>Mage or Shaman DominanceWin 5 games with Mage or Shaman.</t>
  </si>
  <si>
    <t>Paladin or Priest DominanceWin 5 games with Paladin or Priest.</t>
  </si>
  <si>
    <t>Paladin or Warrior DominanceWin 5 games with Paladin or Warrior.</t>
  </si>
  <si>
    <t>Priest or Warlock DominanceWin 5 games with Priest or Warlock.</t>
  </si>
  <si>
    <t>Rogue or Warrior DominanceWin 5 games with Rogue or Warrior.</t>
  </si>
  <si>
    <t>Shaman or Warlock DominanceWin 5 games with Shaman or Warlock.</t>
  </si>
  <si>
    <t>Win 5 Tavern Brawls</t>
  </si>
  <si>
    <t>Total DominanceWin 7 games in any mode.</t>
  </si>
  <si>
    <t>Watch and Learn!Watch a friend win in Spectator Mode.</t>
  </si>
  <si>
    <t>Average Value:</t>
  </si>
  <si>
    <t>Value of Arena Runs vs. Constructed Games</t>
  </si>
  <si>
    <t>Average arena rewards &amp; class breakdown</t>
  </si>
  <si>
    <t>Wins</t>
  </si>
  <si>
    <t>Profit</t>
  </si>
  <si>
    <t>Profit (Less Opportunity Cost)</t>
  </si>
  <si>
    <t>Pack</t>
  </si>
  <si>
    <t>G. Cards</t>
  </si>
  <si>
    <t>N. Cards</t>
  </si>
  <si>
    <t>Pack Openings and Pack Values</t>
  </si>
  <si>
    <t>Data Recorded by Card Pack Openings (Min. 40 Concurrent Packs)</t>
  </si>
  <si>
    <t>Source</t>
  </si>
  <si>
    <t>Packs Opened</t>
  </si>
  <si>
    <t>(G)</t>
  </si>
  <si>
    <t>https://www.youtube.com/watch?v=LJI7flPanOQ</t>
  </si>
  <si>
    <t>https://www.youtube.com/watch?v=QGRznD8WGE8</t>
  </si>
  <si>
    <t>https://www.youtube.com/watch?v=sWOIy9GBEjM</t>
  </si>
  <si>
    <t>https://www.youtube.com/watch?v=INt4jkKRmqc</t>
  </si>
  <si>
    <t>https://www.youtube.com/watch?v=JpdSxC2psLI</t>
  </si>
  <si>
    <t>https://www.youtube.com/watch?v=icaRjiLPit8</t>
  </si>
  <si>
    <t>https://www.youtube.com/watch?v=x7BXBuyYNjE</t>
  </si>
  <si>
    <t>https://www.twitch.tv/reynad27/c/3540266</t>
  </si>
  <si>
    <t>https://www.reddit.com/r/hearthstone/comments/1wn50k/til_for_a_full_collection_you_need_to_open_497/cf47bnf</t>
  </si>
  <si>
    <t>https://docs.google.com/spreadsheets/d/1FHshgMwxvXUVt05FWfZpjaQmlKISCYIUsPxB_V4mW5U/edit#gid=0</t>
  </si>
  <si>
    <t>https://www.reddit.com/r/hearthstone/comments/2zuu3q/stats_on_250_gvg_packs_opened/</t>
  </si>
  <si>
    <t>https://www.reddit.com/r/hearthpacks/comments/2x5jl2/unintelligiblemess_40_packs_december_18_2014/</t>
  </si>
  <si>
    <t>https://www.reddit.com/r/hearthpacks/comments/2x5mgm/amaz_400_packs_february_12_2015/</t>
  </si>
  <si>
    <t>https://www.reddit.com/r/hearthpacks/comments/2x5tqa/alicronygo_67_packs_february_25_2015/</t>
  </si>
  <si>
    <t>https://www.reddit.com/r/hearthpacks/comments/2x6v68/ayroflux_40_packs_january_26_2015/</t>
  </si>
  <si>
    <t>https://www.reddit.com/r/hearthpacks/comments/2x6ll9/matiasuk_40_packs_february_25_2015/</t>
  </si>
  <si>
    <t>https://www.reddit.com/r/hearthpacks/comments/2x7hod/amaz_421_packs_december_9_2014/</t>
  </si>
  <si>
    <t>https://www.reddit.com/r/hearthpacks/comments/2x9x29/hammerbro_172_packs/</t>
  </si>
  <si>
    <t>https://www.reddit.com/r/hearthpacks/comments/2zwryw/marcdvl_250_packs_march_21_2015/</t>
  </si>
  <si>
    <t>https://www.reddit.com/r/hearthpacks/comments/2zws85/barsknos_665_packs_march_22_2015/</t>
  </si>
  <si>
    <t>https://www.reddit.com/r/hearthstone/comments/2ovtd6/so_i_opened_1340_packs_and_this_is_what_happened/</t>
  </si>
  <si>
    <t>https://www.reddit.com/r/hearthstone/comments/3gp7nh/average_dust_per_pack_test_470_packs_analysed/cu08q9y</t>
  </si>
  <si>
    <t>https://www.reddit.com/r/hearthpacks/comments/3gryrr/ahornyewok_470_packs_august_12_2015/</t>
  </si>
  <si>
    <t>https://www.reddit.com/r/hearthpacks/comments/3hk39w/me_306_packs_aug_19_2015/</t>
  </si>
  <si>
    <t>https://www.reddit.com/r/hearthpacks/comments/3i8583/hearthnoob_50_tgt_packs_august_24th_2015/</t>
  </si>
  <si>
    <t>https://www.reddit.com/r/hearthpacks/comments/3iv4ha/hearthsim_15109_packs_august_29th_2015/</t>
  </si>
  <si>
    <t>https://www.reddit.com/r/hearthstone/comments/3rap1o/drop_rates_of_1100_packs/</t>
  </si>
  <si>
    <t>Totals:</t>
  </si>
  <si>
    <t>Occurrence Per Card</t>
  </si>
  <si>
    <t>Total Stats</t>
  </si>
  <si>
    <t>Individual Cards</t>
  </si>
  <si>
    <t>Average Dust Value</t>
  </si>
  <si>
    <t>Value of End of Season Rewards</t>
  </si>
  <si>
    <t>End of Season Ranked Rewards in Dust</t>
  </si>
  <si>
    <t>Rank</t>
  </si>
  <si>
    <t>Tier</t>
  </si>
  <si>
    <t>Value (Dust)</t>
  </si>
  <si>
    <t>Actual Rewards</t>
  </si>
  <si>
    <t>4 (+75)</t>
  </si>
  <si>
    <t>1 golden common, 5 dust, card back</t>
  </si>
  <si>
    <t>1 golden common, 10 dust, card back</t>
  </si>
  <si>
    <t>1 golden common, 15 dust, card back</t>
  </si>
  <si>
    <t>1 golden common, 20 dust, card back</t>
  </si>
  <si>
    <t>1 golden common, 25 dust, card back</t>
  </si>
  <si>
    <t>3 (+100)</t>
  </si>
  <si>
    <t>1 golden common, 1 golden rare, 5 dust, card back</t>
  </si>
  <si>
    <t>1 golden common, 1 golden rare, 10 dust, card back</t>
  </si>
  <si>
    <t>1 golden common, 1 golden rare, 15 dust, card back</t>
  </si>
  <si>
    <t>1 golden common, 1 golden rare, 20 dust, card back</t>
  </si>
  <si>
    <t>1 golden common, 1 golden rare, 25 dust, card back</t>
  </si>
  <si>
    <t>2 (+50)</t>
  </si>
  <si>
    <t>2 golden commons, 1 golden rare, 5 dust, card back</t>
  </si>
  <si>
    <t>2 golden commons, 1 golden rare, 10 dust, card back</t>
  </si>
  <si>
    <t>2 golden commons, 1 golden rare, 15 dust, card back</t>
  </si>
  <si>
    <t>2 golden commons, 1 golden rare, 20 dust, card back</t>
  </si>
  <si>
    <t>2 golden commons, 1 golden rare, 25 dust, card back</t>
  </si>
  <si>
    <t>1 (+300)</t>
  </si>
  <si>
    <t>2 golden commons, 1 golden epic, 5 dust, card back</t>
  </si>
  <si>
    <t>2 golden commons, 1 golden epic, 10 dust, card back</t>
  </si>
  <si>
    <t>2 golden commons, 1 golden epic, 15 dust, card back</t>
  </si>
  <si>
    <t>2 golden commons, 1 golden epic, 20 dust, card back</t>
  </si>
  <si>
    <t>2 golden commons, 1 golden epic, 25 dust, card back</t>
  </si>
  <si>
    <t>Legend</t>
  </si>
  <si>
    <t>Legend (+25)</t>
  </si>
  <si>
    <t>3 golden commons, 1 golden epic, card back</t>
  </si>
  <si>
    <t>Random Minions Per Mana Level</t>
  </si>
  <si>
    <t>Effigy/Forbidden Shaping/Summoning Stone, Recombobulator (Wild)</t>
  </si>
  <si>
    <t>Spells</t>
  </si>
  <si>
    <t xml:space="preserve"> Mana</t>
  </si>
  <si>
    <t>Attack</t>
  </si>
  <si>
    <t>Spell Damage</t>
  </si>
  <si>
    <t>Deathrattle</t>
  </si>
  <si>
    <t>Battlecry</t>
  </si>
  <si>
    <t>Lock n' Load</t>
  </si>
  <si>
    <t>&lt;--Mounted Raptor</t>
  </si>
  <si>
    <t>Museum Currator</t>
  </si>
  <si>
    <t>&lt;--Piloted Shredder</t>
  </si>
  <si>
    <t>Nexus Champion Saarad</t>
  </si>
  <si>
    <t>&lt;--Piloted Sky Golem</t>
  </si>
  <si>
    <t>Forbidden Shaping/Summoning Stone/Master of Evolution/Evolve/Effigy/etc... (Standard)</t>
  </si>
  <si>
    <t>Random Beasts Per Mana Level</t>
  </si>
  <si>
    <t>Webspinner/Ram Wrangler (Wild)</t>
  </si>
  <si>
    <t>Average:</t>
  </si>
  <si>
    <t>Ram Wrangler (Standard)</t>
  </si>
  <si>
    <t>Random Murlocs Per Mana Level</t>
  </si>
  <si>
    <t>Neptulon/Murloc Knight (Wild)</t>
  </si>
  <si>
    <t>Murloc Knight (Standard)</t>
  </si>
  <si>
    <t>Random Weapons Per Mana Level</t>
  </si>
  <si>
    <t>Blingtron (Wild)</t>
  </si>
  <si>
    <t>Malkork (Standard)</t>
  </si>
  <si>
    <t>Random Legendary Per Mana Level</t>
  </si>
  <si>
    <t>Sneed's Old Shredder/Confessor Palestress/Golden Monkey (Wild)</t>
  </si>
  <si>
    <t>Confessor Palestress/Golden Monkey(Standard)</t>
  </si>
  <si>
    <t>Random Demons Per Mana Level</t>
  </si>
  <si>
    <t>Bane of Doom (Wild)</t>
  </si>
  <si>
    <t>Bane of Doom (Standard)</t>
  </si>
  <si>
    <t>Random Deathrattles for Priests</t>
  </si>
  <si>
    <t>Museum Currator (Wild)</t>
  </si>
  <si>
    <t>-%</t>
  </si>
  <si>
    <t>Museum Currator (Standard)</t>
  </si>
  <si>
    <t>The Old Gods Card Pack</t>
  </si>
  <si>
    <t>Made seperate update number for two reasons.  One, adding in a weighting system to pack analysis was a massive undertaking.  Two, I borrowed very heavily from /u/dvide who did all the math and calculations .    I just found a way to make it work.  This link is to his reddit thread.</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</si>
</sst>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0"/>
    <numFmt numFmtId="165" formatCode="#,##0."/>
    <numFmt numFmtId="166" formatCode="0.0%"/>
    <numFmt numFmtId="167" formatCode="#,##0;\(#,##0\)"/>
    <numFmt numFmtId="168" formatCode="&quot;$&quot;#,##0.00"/>
    <numFmt numFmtId="169" formatCode="&quot;$&quot;#,##0"/>
    <numFmt numFmtId="170" formatCode="#,##0.0"/>
    <numFmt numFmtId="171" formatCode="0.000"/>
    <numFmt numFmtId="172" formatCode="#,##0.0000"/>
  </numFmts>
  <fonts count="100">
    <font>
      <sz val="10"/>
      <color rgb="FF000000"/>
      <name val="Arial"/>
    </font>
    <font>
      <b/>
      <u/>
      <sz val="9"/>
      <color rgb="FFFFFFFF"/>
      <name val="Arial"/>
    </font>
    <font>
      <sz val="10"/>
      <name val="Arial"/>
    </font>
    <font>
      <b/>
      <u/>
      <sz val="9"/>
      <color rgb="FFFFFFFF"/>
      <name val="Arial"/>
    </font>
    <font>
      <b/>
      <sz val="9"/>
      <color rgb="FFFFFFFF"/>
      <name val="Arial"/>
    </font>
    <font>
      <sz val="13"/>
      <name val="Arial"/>
    </font>
    <font>
      <b/>
      <sz val="10"/>
      <color rgb="FFFFFFFF"/>
      <name val="Arial"/>
    </font>
    <font>
      <b/>
      <sz val="10"/>
      <color rgb="FFFFFFFF"/>
      <name val="Arial"/>
    </font>
    <font>
      <b/>
      <sz val="9"/>
      <name val="Arial"/>
    </font>
    <font>
      <sz val="10"/>
      <name val="Arial"/>
    </font>
    <font>
      <sz val="9"/>
      <name val="Arial"/>
    </font>
    <font>
      <b/>
      <sz val="10"/>
      <name val="Arial"/>
    </font>
    <font>
      <sz val="8"/>
      <name val="Arial"/>
    </font>
    <font>
      <b/>
      <sz val="10"/>
      <name val="Arial"/>
    </font>
    <font>
      <b/>
      <i/>
      <sz val="10"/>
      <name val="Arial"/>
    </font>
    <font>
      <u/>
      <sz val="12"/>
      <color rgb="FF0000FF"/>
      <name val="Arial"/>
    </font>
    <font>
      <sz val="14"/>
      <color rgb="FFFFFFFF"/>
      <name val="Arial"/>
    </font>
    <font>
      <sz val="12"/>
      <name val="Arial"/>
    </font>
    <font>
      <b/>
      <sz val="10"/>
      <color rgb="FFFF0000"/>
      <name val="Arial"/>
    </font>
    <font>
      <b/>
      <sz val="14"/>
      <color rgb="FFFF0000"/>
      <name val="Arial"/>
    </font>
    <font>
      <sz val="10"/>
      <color rgb="FFFFFFFF"/>
      <name val="Arial"/>
    </font>
    <font>
      <b/>
      <u/>
      <sz val="9"/>
      <color rgb="FFFFFFFF"/>
      <name val="Arial"/>
    </font>
    <font>
      <sz val="9"/>
      <color rgb="FFFFFFFF"/>
      <name val="Arial"/>
    </font>
    <font>
      <b/>
      <u/>
      <sz val="12"/>
      <color rgb="FFFFFFFF"/>
      <name val="Arial"/>
    </font>
    <font>
      <b/>
      <sz val="14"/>
      <color rgb="FFFFFFFF"/>
      <name val="Arial"/>
    </font>
    <font>
      <sz val="10"/>
      <color rgb="FFFFFFFF"/>
      <name val="Arial"/>
    </font>
    <font>
      <b/>
      <sz val="12"/>
      <color rgb="FFFFFFFF"/>
      <name val="Arial"/>
    </font>
    <font>
      <b/>
      <sz val="11"/>
      <color rgb="FFFFFFFF"/>
      <name val="Arial"/>
    </font>
    <font>
      <sz val="10"/>
      <color rgb="FFFF0000"/>
      <name val="Arial"/>
    </font>
    <font>
      <b/>
      <i/>
      <sz val="11"/>
      <color rgb="FFFFFFFF"/>
      <name val="Arial"/>
    </font>
    <font>
      <b/>
      <i/>
      <sz val="10"/>
      <color rgb="FFFFFFFF"/>
      <name val="Arial"/>
    </font>
    <font>
      <i/>
      <sz val="10"/>
      <name val="Arial"/>
    </font>
    <font>
      <sz val="7"/>
      <name val="Arial"/>
    </font>
    <font>
      <b/>
      <i/>
      <sz val="10"/>
      <color rgb="FFFFFFFF"/>
      <name val="Arial"/>
    </font>
    <font>
      <sz val="11"/>
      <name val="Arial"/>
    </font>
    <font>
      <b/>
      <sz val="10"/>
      <name val="Arial"/>
    </font>
    <font>
      <b/>
      <sz val="10"/>
      <color rgb="FF000000"/>
      <name val="Arial"/>
    </font>
    <font>
      <b/>
      <sz val="10"/>
      <color rgb="FFFF0000"/>
      <name val="Arial"/>
    </font>
    <font>
      <sz val="10"/>
      <name val="Arial"/>
    </font>
    <font>
      <sz val="10"/>
      <color rgb="FF000000"/>
      <name val="Arial"/>
    </font>
    <font>
      <sz val="11"/>
      <color rgb="FFFF0000"/>
      <name val="Arial"/>
    </font>
    <font>
      <b/>
      <u/>
      <sz val="10"/>
      <name val="Arial"/>
    </font>
    <font>
      <sz val="10"/>
      <color rgb="FFCC0000"/>
      <name val="Arial"/>
    </font>
    <font>
      <sz val="10"/>
      <color rgb="FF0B5394"/>
      <name val="Arial"/>
    </font>
    <font>
      <sz val="10"/>
      <color rgb="FF741B47"/>
      <name val="Arial"/>
    </font>
    <font>
      <sz val="10"/>
      <color rgb="FF7F6000"/>
      <name val="Arial"/>
    </font>
    <font>
      <b/>
      <sz val="12"/>
      <color rgb="FFFFFF00"/>
      <name val="Arial"/>
    </font>
    <font>
      <b/>
      <u/>
      <sz val="10"/>
      <name val="Arial"/>
    </font>
    <font>
      <b/>
      <u/>
      <sz val="10"/>
      <name val="Arial"/>
    </font>
    <font>
      <b/>
      <u/>
      <sz val="10"/>
      <name val="Arial"/>
    </font>
    <font>
      <sz val="10"/>
      <color rgb="FF38761D"/>
      <name val="Arial"/>
    </font>
    <font>
      <sz val="10"/>
      <color rgb="FF741B47"/>
      <name val="Arial"/>
    </font>
    <font>
      <b/>
      <sz val="10"/>
      <color rgb="FF000000"/>
      <name val="Arial"/>
    </font>
    <font>
      <sz val="10"/>
      <color rgb="FFCC0000"/>
      <name val="Arial"/>
    </font>
    <font>
      <sz val="10"/>
      <color rgb="FF7F6000"/>
      <name val="Arial"/>
    </font>
    <font>
      <sz val="10"/>
      <color rgb="FF38761D"/>
      <name val="Arial"/>
    </font>
    <font>
      <sz val="10"/>
      <color rgb="FF0B5394"/>
      <name val="Arial"/>
    </font>
    <font>
      <sz val="10"/>
      <color rgb="FF0B5394"/>
      <name val="Arial"/>
    </font>
    <font>
      <sz val="10"/>
      <color rgb="FF8C00EA"/>
      <name val="Arial"/>
    </font>
    <font>
      <sz val="10"/>
      <color rgb="FFCC0000"/>
      <name val="Arial"/>
    </font>
    <font>
      <b/>
      <sz val="14"/>
      <name val="Trebuchet MS"/>
    </font>
    <font>
      <sz val="10"/>
      <color rgb="FF000000"/>
      <name val="Arial"/>
    </font>
    <font>
      <b/>
      <sz val="18"/>
      <color rgb="FF000000"/>
      <name val="Arial"/>
    </font>
    <font>
      <b/>
      <sz val="12"/>
      <name val="Arial"/>
    </font>
    <font>
      <b/>
      <u/>
      <sz val="14"/>
      <color rgb="FF000000"/>
      <name val="Arial"/>
    </font>
    <font>
      <b/>
      <sz val="14"/>
      <name val="Arial"/>
    </font>
    <font>
      <i/>
      <sz val="12"/>
      <name val="Arial"/>
    </font>
    <font>
      <b/>
      <sz val="18"/>
      <name val="Arial"/>
    </font>
    <font>
      <u/>
      <sz val="24"/>
      <color rgb="FF0000FF"/>
      <name val="Arial"/>
    </font>
    <font>
      <sz val="18"/>
      <name val="Arial"/>
    </font>
    <font>
      <sz val="12"/>
      <color rgb="FFFF0000"/>
      <name val="Verdana"/>
    </font>
    <font>
      <b/>
      <sz val="13"/>
      <name val="Arial"/>
    </font>
    <font>
      <u/>
      <sz val="10"/>
      <color rgb="FF0000FF"/>
      <name val="Arial"/>
    </font>
    <font>
      <u/>
      <sz val="10"/>
      <color rgb="FFFFFFFF"/>
      <name val="Arial"/>
    </font>
    <font>
      <b/>
      <u/>
      <sz val="10"/>
      <name val="Arial"/>
    </font>
    <font>
      <u/>
      <sz val="11"/>
      <color rgb="FF0000FF"/>
      <name val="Arial"/>
    </font>
    <font>
      <u/>
      <sz val="11"/>
      <color rgb="FF0000FF"/>
      <name val="Arial"/>
    </font>
    <font>
      <u/>
      <sz val="11"/>
      <color rgb="FF0000FF"/>
      <name val="Arial"/>
    </font>
    <font>
      <strike/>
      <u/>
      <sz val="11"/>
      <color rgb="FF0000FF"/>
      <name val="Arial"/>
    </font>
    <font>
      <strike/>
      <u/>
      <sz val="11"/>
      <color rgb="FF0000FF"/>
      <name val="Arial"/>
    </font>
    <font>
      <u/>
      <sz val="10"/>
      <color rgb="FF0000FF"/>
      <name val="Arial"/>
    </font>
    <font>
      <u/>
      <sz val="10"/>
      <color rgb="FF0000FF"/>
      <name val="Arial"/>
    </font>
    <font>
      <b/>
      <sz val="11"/>
      <name val="Arial"/>
    </font>
    <font>
      <b/>
      <u/>
      <sz val="11"/>
      <color rgb="FF0000FF"/>
      <name val="Arial"/>
    </font>
    <font>
      <sz val="22"/>
      <color rgb="FF333333"/>
      <name val="Arial"/>
    </font>
    <font>
      <b/>
      <u/>
      <sz val="10"/>
      <name val="Arial"/>
    </font>
    <font>
      <b/>
      <u/>
      <sz val="10"/>
      <name val="Arial"/>
    </font>
    <font>
      <b/>
      <u/>
      <sz val="10"/>
      <name val="Arial"/>
    </font>
    <font>
      <sz val="11"/>
      <color rgb="FF006100"/>
      <name val="Arial"/>
    </font>
    <font>
      <b/>
      <u/>
      <sz val="11"/>
      <name val="Arial"/>
    </font>
    <font>
      <b/>
      <u/>
      <sz val="10"/>
      <name val="Arial"/>
    </font>
    <font>
      <b/>
      <u/>
      <sz val="11"/>
      <color rgb="FF7F6000"/>
      <name val="Arial"/>
    </font>
    <font>
      <sz val="11"/>
      <color rgb="FF7F6000"/>
      <name val="Arial"/>
    </font>
    <font>
      <u/>
      <sz val="11"/>
      <color rgb="FF0000FF"/>
      <name val="Arial"/>
    </font>
    <font>
      <u/>
      <sz val="11"/>
      <color rgb="FF0000FF"/>
      <name val="Arial"/>
    </font>
    <font>
      <u/>
      <sz val="10"/>
      <color rgb="FF0000FF"/>
      <name val="Arial"/>
    </font>
    <font>
      <b/>
      <sz val="10"/>
      <color rgb="FF7F6000"/>
      <name val="Arial"/>
    </font>
    <font>
      <sz val="11"/>
      <color rgb="FF2C2C2C"/>
      <name val="Asul"/>
    </font>
    <font>
      <strike/>
      <sz val="10"/>
      <name val="Arial"/>
    </font>
    <font>
      <u/>
      <sz val="10"/>
      <name val="Arial"/>
    </font>
  </fonts>
  <fills count="44">
    <fill>
      <patternFill patternType="none"/>
    </fill>
    <fill>
      <patternFill patternType="gray125"/>
    </fill>
    <fill>
      <patternFill patternType="solid">
        <fgColor rgb="FF073763"/>
        <bgColor rgb="FF073763"/>
      </patternFill>
    </fill>
    <fill>
      <patternFill patternType="solid">
        <fgColor rgb="FFCCCCCC"/>
        <bgColor rgb="FFCCCCCC"/>
      </patternFill>
    </fill>
    <fill>
      <patternFill patternType="solid">
        <fgColor rgb="FF1C4587"/>
        <bgColor rgb="FF1C4587"/>
      </patternFill>
    </fill>
    <fill>
      <patternFill patternType="solid">
        <fgColor rgb="FFC9DAF8"/>
        <bgColor rgb="FFC9DAF8"/>
      </patternFill>
    </fill>
    <fill>
      <patternFill patternType="solid">
        <fgColor rgb="FFA4C2F4"/>
        <bgColor rgb="FFA4C2F4"/>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00FFFF"/>
        <bgColor rgb="FF00FFFF"/>
      </patternFill>
    </fill>
    <fill>
      <patternFill patternType="solid">
        <fgColor rgb="FFBF9000"/>
        <bgColor rgb="FFBF9000"/>
      </patternFill>
    </fill>
    <fill>
      <patternFill patternType="solid">
        <fgColor rgb="FF6AA84F"/>
        <bgColor rgb="FF6AA84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783F04"/>
        <bgColor rgb="FF783F04"/>
      </patternFill>
    </fill>
    <fill>
      <patternFill patternType="solid">
        <fgColor rgb="FF20124D"/>
        <bgColor rgb="FF20124D"/>
      </patternFill>
    </fill>
    <fill>
      <patternFill patternType="solid">
        <fgColor rgb="FF274E13"/>
        <bgColor rgb="FF274E13"/>
      </patternFill>
    </fill>
    <fill>
      <patternFill patternType="solid">
        <fgColor rgb="FFB45F06"/>
        <bgColor rgb="FFB45F06"/>
      </patternFill>
    </fill>
    <fill>
      <patternFill patternType="solid">
        <fgColor rgb="FF351C75"/>
        <bgColor rgb="FF351C75"/>
      </patternFill>
    </fill>
    <fill>
      <patternFill patternType="solid">
        <fgColor rgb="FFFCE5CD"/>
        <bgColor rgb="FFFCE5CD"/>
      </patternFill>
    </fill>
    <fill>
      <patternFill patternType="solid">
        <fgColor rgb="FFD9D2E9"/>
        <bgColor rgb="FFD9D2E9"/>
      </patternFill>
    </fill>
    <fill>
      <patternFill patternType="solid">
        <fgColor rgb="FF38761D"/>
        <bgColor rgb="FF38761D"/>
      </patternFill>
    </fill>
    <fill>
      <patternFill patternType="solid">
        <fgColor rgb="FFF9CB9C"/>
        <bgColor rgb="FFF9CB9C"/>
      </patternFill>
    </fill>
    <fill>
      <patternFill patternType="solid">
        <fgColor rgb="FFB4A7D6"/>
        <bgColor rgb="FFB4A7D6"/>
      </patternFill>
    </fill>
    <fill>
      <patternFill patternType="solid">
        <fgColor rgb="FFB6D7A8"/>
        <bgColor rgb="FFB6D7A8"/>
      </patternFill>
    </fill>
    <fill>
      <patternFill patternType="solid">
        <fgColor rgb="FF4C1130"/>
        <bgColor rgb="FF4C1130"/>
      </patternFill>
    </fill>
    <fill>
      <patternFill patternType="solid">
        <fgColor rgb="FFA64D79"/>
        <bgColor rgb="FFA64D79"/>
      </patternFill>
    </fill>
    <fill>
      <patternFill patternType="solid">
        <fgColor rgb="FFEAD1DC"/>
        <bgColor rgb="FFEAD1DC"/>
      </patternFill>
    </fill>
    <fill>
      <patternFill patternType="solid">
        <fgColor rgb="FFD5A6BD"/>
        <bgColor rgb="FFD5A6BD"/>
      </patternFill>
    </fill>
    <fill>
      <patternFill patternType="solid">
        <fgColor rgb="FF7F6000"/>
        <bgColor rgb="FF7F6000"/>
      </patternFill>
    </fill>
    <fill>
      <patternFill patternType="solid">
        <fgColor rgb="FFFFE599"/>
        <bgColor rgb="FFFFE599"/>
      </patternFill>
    </fill>
    <fill>
      <patternFill patternType="solid">
        <fgColor rgb="FFFFD966"/>
        <bgColor rgb="FFFFD966"/>
      </patternFill>
    </fill>
    <fill>
      <patternFill patternType="solid">
        <fgColor rgb="FFD9D9D9"/>
        <bgColor rgb="FFD9D9D9"/>
      </patternFill>
    </fill>
    <fill>
      <patternFill patternType="solid">
        <fgColor rgb="FF000000"/>
        <bgColor rgb="FF000000"/>
      </patternFill>
    </fill>
    <fill>
      <patternFill patternType="solid">
        <fgColor rgb="FFFFFF00"/>
        <bgColor rgb="FFFFFF00"/>
      </patternFill>
    </fill>
    <fill>
      <patternFill patternType="solid">
        <fgColor rgb="FF9FC5E8"/>
        <bgColor rgb="FF9FC5E8"/>
      </patternFill>
    </fill>
    <fill>
      <patternFill patternType="solid">
        <fgColor rgb="FFCFE2F3"/>
        <bgColor rgb="FFCFE2F3"/>
      </patternFill>
    </fill>
    <fill>
      <patternFill patternType="solid">
        <fgColor rgb="FF434343"/>
        <bgColor rgb="FF434343"/>
      </patternFill>
    </fill>
    <fill>
      <patternFill patternType="solid">
        <fgColor rgb="FFF1C232"/>
        <bgColor rgb="FFF1C232"/>
      </patternFill>
    </fill>
    <fill>
      <patternFill patternType="solid">
        <fgColor rgb="FF6D9EEB"/>
        <bgColor rgb="FF6D9EEB"/>
      </patternFill>
    </fill>
    <fill>
      <patternFill patternType="solid">
        <fgColor rgb="FFB7B7B7"/>
        <bgColor rgb="FFB7B7B7"/>
      </patternFill>
    </fill>
    <fill>
      <patternFill patternType="solid">
        <fgColor rgb="FF666666"/>
        <bgColor rgb="FF666666"/>
      </patternFill>
    </fill>
  </fills>
  <borders count="70">
    <border>
      <left/>
      <right/>
      <top/>
      <bottom/>
      <diagonal/>
    </border>
    <border>
      <left style="thin">
        <color rgb="FF6D9EEB"/>
      </left>
      <right/>
      <top style="thin">
        <color rgb="FF6D9EEB"/>
      </top>
      <bottom style="thin">
        <color rgb="FF6D9EEB"/>
      </bottom>
      <diagonal/>
    </border>
    <border>
      <left/>
      <right/>
      <top style="thin">
        <color rgb="FF6D9EEB"/>
      </top>
      <bottom style="thin">
        <color rgb="FF6D9EEB"/>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4A86E8"/>
      </left>
      <right/>
      <top style="thin">
        <color rgb="FF4A86E8"/>
      </top>
      <bottom/>
      <diagonal/>
    </border>
    <border>
      <left/>
      <right/>
      <top style="thin">
        <color rgb="FF4A86E8"/>
      </top>
      <bottom/>
      <diagonal/>
    </border>
    <border>
      <left style="thin">
        <color rgb="FF4A86E8"/>
      </left>
      <right style="thin">
        <color rgb="FF4A86E8"/>
      </right>
      <top style="thin">
        <color rgb="FF4A86E8"/>
      </top>
      <bottom/>
      <diagonal/>
    </border>
    <border>
      <left style="thin">
        <color rgb="FF4A86E8"/>
      </left>
      <right/>
      <top/>
      <bottom/>
      <diagonal/>
    </border>
    <border>
      <left style="thin">
        <color rgb="FF4A86E8"/>
      </left>
      <right style="thin">
        <color rgb="FF4A86E8"/>
      </right>
      <top/>
      <bottom/>
      <diagonal/>
    </border>
    <border>
      <left style="thin">
        <color rgb="FF4A86E8"/>
      </left>
      <right style="thin">
        <color rgb="FF6D9EEB"/>
      </right>
      <top style="thin">
        <color rgb="FF4A86E8"/>
      </top>
      <bottom style="thin">
        <color rgb="FF4A86E8"/>
      </bottom>
      <diagonal/>
    </border>
    <border>
      <left/>
      <right style="thin">
        <color rgb="FF4A86E8"/>
      </right>
      <top style="thin">
        <color rgb="FF4A86E8"/>
      </top>
      <bottom style="thin">
        <color rgb="FF4A86E8"/>
      </bottom>
      <diagonal/>
    </border>
    <border>
      <left style="thin">
        <color rgb="FF4A86E8"/>
      </left>
      <right style="thin">
        <color rgb="FF6D9EEB"/>
      </right>
      <top style="thin">
        <color rgb="FF4A86E8"/>
      </top>
      <bottom/>
      <diagonal/>
    </border>
    <border>
      <left/>
      <right style="thin">
        <color rgb="FF4A86E8"/>
      </right>
      <top style="thin">
        <color rgb="FF4A86E8"/>
      </top>
      <bottom/>
      <diagonal/>
    </border>
    <border>
      <left style="thin">
        <color rgb="FF4A86E8"/>
      </left>
      <right style="thin">
        <color rgb="FF6D9EEB"/>
      </right>
      <top/>
      <bottom/>
      <diagonal/>
    </border>
    <border>
      <left/>
      <right style="thin">
        <color rgb="FF4A86E8"/>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4A86E8"/>
      </left>
      <right/>
      <top style="thin">
        <color rgb="FF4A86E8"/>
      </top>
      <bottom style="thin">
        <color rgb="FF4A86E8"/>
      </bottom>
      <diagonal/>
    </border>
    <border>
      <left/>
      <right/>
      <top style="thin">
        <color rgb="FF4A86E8"/>
      </top>
      <bottom style="thin">
        <color rgb="FF4A86E8"/>
      </bottom>
      <diagonal/>
    </border>
    <border>
      <left style="thin">
        <color rgb="FF1155CC"/>
      </left>
      <right/>
      <top style="thin">
        <color rgb="FF1155CC"/>
      </top>
      <bottom style="thin">
        <color rgb="FF1155CC"/>
      </bottom>
      <diagonal/>
    </border>
    <border>
      <left/>
      <right/>
      <top style="thin">
        <color rgb="FF1155CC"/>
      </top>
      <bottom style="thin">
        <color rgb="FF1155CC"/>
      </bottom>
      <diagonal/>
    </border>
    <border>
      <left/>
      <right style="thin">
        <color rgb="FF1155CC"/>
      </right>
      <top style="thin">
        <color rgb="FF1155CC"/>
      </top>
      <bottom style="thin">
        <color rgb="FF1155CC"/>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right/>
      <top/>
      <bottom style="dashed">
        <color rgb="FFFF0000"/>
      </bottom>
      <diagonal/>
    </border>
    <border>
      <left/>
      <right/>
      <top style="thin">
        <color rgb="FFFF0000"/>
      </top>
      <bottom/>
      <diagonal/>
    </border>
    <border>
      <left/>
      <right style="thin">
        <color rgb="FF6D9EEB"/>
      </right>
      <top style="thin">
        <color rgb="FF6D9EEB"/>
      </top>
      <bottom style="thin">
        <color rgb="FF6D9EEB"/>
      </bottom>
      <diagonal/>
    </border>
    <border>
      <left/>
      <right style="dashed">
        <color rgb="FFFF0000"/>
      </right>
      <top/>
      <bottom style="dashed">
        <color rgb="FFFF0000"/>
      </bottom>
      <diagonal/>
    </border>
    <border>
      <left style="thin">
        <color rgb="FFFF9900"/>
      </left>
      <right/>
      <top style="thin">
        <color rgb="FFFF9900"/>
      </top>
      <bottom style="thin">
        <color rgb="FFFF9900"/>
      </bottom>
      <diagonal/>
    </border>
    <border>
      <left/>
      <right/>
      <top style="thin">
        <color rgb="FFFF9900"/>
      </top>
      <bottom style="thin">
        <color rgb="FFFF9900"/>
      </bottom>
      <diagonal/>
    </border>
    <border>
      <left/>
      <right style="thin">
        <color rgb="FFFF9900"/>
      </right>
      <top style="thin">
        <color rgb="FFFF9900"/>
      </top>
      <bottom style="thin">
        <color rgb="FFFF9900"/>
      </bottom>
      <diagonal/>
    </border>
    <border>
      <left/>
      <right/>
      <top style="thin">
        <color rgb="FFFFFFFF"/>
      </top>
      <bottom/>
      <diagonal/>
    </border>
    <border>
      <left style="thin">
        <color rgb="FF9900FF"/>
      </left>
      <right/>
      <top style="thin">
        <color rgb="FF9900FF"/>
      </top>
      <bottom style="thin">
        <color rgb="FF9900FF"/>
      </bottom>
      <diagonal/>
    </border>
    <border>
      <left/>
      <right/>
      <top style="thin">
        <color rgb="FF9900FF"/>
      </top>
      <bottom style="thin">
        <color rgb="FF9900FF"/>
      </bottom>
      <diagonal/>
    </border>
    <border>
      <left/>
      <right style="thin">
        <color rgb="FF9900FF"/>
      </right>
      <top style="thin">
        <color rgb="FF9900FF"/>
      </top>
      <bottom style="thin">
        <color rgb="FF9900FF"/>
      </bottom>
      <diagonal/>
    </border>
    <border>
      <left style="thin">
        <color rgb="FF00FF00"/>
      </left>
      <right/>
      <top style="thin">
        <color rgb="FF00FF00"/>
      </top>
      <bottom/>
      <diagonal/>
    </border>
    <border>
      <left/>
      <right/>
      <top style="thin">
        <color rgb="FF00FF00"/>
      </top>
      <bottom/>
      <diagonal/>
    </border>
    <border>
      <left/>
      <right style="thin">
        <color rgb="FF00FF00"/>
      </right>
      <top style="thin">
        <color rgb="FF00FF00"/>
      </top>
      <bottom/>
      <diagonal/>
    </border>
    <border>
      <left style="thin">
        <color rgb="FF00FF00"/>
      </left>
      <right/>
      <top/>
      <bottom/>
      <diagonal/>
    </border>
    <border>
      <left/>
      <right/>
      <top/>
      <bottom style="thin">
        <color rgb="FF00FF00"/>
      </bottom>
      <diagonal/>
    </border>
    <border>
      <left style="thin">
        <color rgb="FF00FF00"/>
      </left>
      <right/>
      <top/>
      <bottom style="thin">
        <color rgb="FF00FF00"/>
      </bottom>
      <diagonal/>
    </border>
    <border>
      <left/>
      <right style="thin">
        <color rgb="FF00FF00"/>
      </right>
      <top/>
      <bottom style="thin">
        <color rgb="FF00FF00"/>
      </bottom>
      <diagonal/>
    </border>
    <border>
      <left style="thin">
        <color rgb="FF00FF00"/>
      </left>
      <right/>
      <top style="thin">
        <color rgb="FF00FF00"/>
      </top>
      <bottom style="thin">
        <color rgb="FF00FF00"/>
      </bottom>
      <diagonal/>
    </border>
    <border>
      <left/>
      <right/>
      <top style="thin">
        <color rgb="FF00FF00"/>
      </top>
      <bottom style="thin">
        <color rgb="FF00FF00"/>
      </bottom>
      <diagonal/>
    </border>
    <border>
      <left/>
      <right style="thin">
        <color rgb="FF00FF00"/>
      </right>
      <top style="thin">
        <color rgb="FF00FF00"/>
      </top>
      <bottom style="thin">
        <color rgb="FF00FF00"/>
      </bottom>
      <diagonal/>
    </border>
    <border>
      <left style="thin">
        <color rgb="FF00FF00"/>
      </left>
      <right style="thin">
        <color rgb="FF00FF00"/>
      </right>
      <top style="thin">
        <color rgb="FF00FF00"/>
      </top>
      <bottom style="thin">
        <color rgb="FF00FF00"/>
      </bottom>
      <diagonal/>
    </border>
    <border>
      <left style="thin">
        <color rgb="FFFF00FF"/>
      </left>
      <right/>
      <top style="thin">
        <color rgb="FFFF00FF"/>
      </top>
      <bottom style="thin">
        <color rgb="FFFF00FF"/>
      </bottom>
      <diagonal/>
    </border>
    <border>
      <left/>
      <right/>
      <top style="thin">
        <color rgb="FFFF00FF"/>
      </top>
      <bottom style="thin">
        <color rgb="FFFF00FF"/>
      </bottom>
      <diagonal/>
    </border>
    <border>
      <left/>
      <right style="thin">
        <color rgb="FFFF00FF"/>
      </right>
      <top style="thin">
        <color rgb="FFFF00FF"/>
      </top>
      <bottom style="thin">
        <color rgb="FFFF00FF"/>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FF0000"/>
      </left>
      <right style="thin">
        <color rgb="FFFF0000"/>
      </right>
      <top style="thin">
        <color rgb="FFFF0000"/>
      </top>
      <bottom style="thin">
        <color rgb="FF000000"/>
      </bottom>
      <diagonal/>
    </border>
    <border>
      <left style="thin">
        <color rgb="FFFF0000"/>
      </left>
      <right style="thin">
        <color rgb="FFFF0000"/>
      </right>
      <top style="thin">
        <color rgb="FF000000"/>
      </top>
      <bottom style="thin">
        <color rgb="FF000000"/>
      </bottom>
      <diagonal/>
    </border>
    <border>
      <left style="thin">
        <color rgb="FFFF0000"/>
      </left>
      <right style="thin">
        <color rgb="FFFF0000"/>
      </right>
      <top style="thin">
        <color rgb="FF000000"/>
      </top>
      <bottom style="thin">
        <color rgb="FFFF0000"/>
      </bottom>
      <diagonal/>
    </border>
  </borders>
  <cellStyleXfs count="1">
    <xf numFmtId="0" fontId="0" fillId="0" borderId="0"/>
  </cellStyleXfs>
  <cellXfs count="1225">
    <xf numFmtId="0" fontId="0" fillId="0" borderId="0" xfId="0" applyFont="1" applyAlignment="1"/>
    <xf numFmtId="0" fontId="2" fillId="3" borderId="3" xfId="0" applyFont="1" applyFill="1" applyBorder="1"/>
    <xf numFmtId="0" fontId="2" fillId="3" borderId="4" xfId="0" applyFont="1" applyFill="1" applyBorder="1"/>
    <xf numFmtId="0" fontId="2" fillId="3" borderId="5" xfId="0" applyFont="1" applyFill="1" applyBorder="1"/>
    <xf numFmtId="0" fontId="2" fillId="0" borderId="5" xfId="0" applyFont="1" applyBorder="1"/>
    <xf numFmtId="0" fontId="2" fillId="3" borderId="6" xfId="0" applyFont="1" applyFill="1" applyBorder="1"/>
    <xf numFmtId="0" fontId="2" fillId="0" borderId="7" xfId="0" applyFont="1" applyBorder="1"/>
    <xf numFmtId="0" fontId="2" fillId="3" borderId="7" xfId="0" applyFont="1" applyFill="1" applyBorder="1"/>
    <xf numFmtId="0" fontId="2" fillId="3" borderId="8" xfId="0" applyFont="1" applyFill="1" applyBorder="1"/>
    <xf numFmtId="0" fontId="2" fillId="3" borderId="0" xfId="0" applyFont="1" applyFill="1"/>
    <xf numFmtId="0" fontId="8" fillId="3" borderId="0" xfId="0" applyFont="1" applyFill="1" applyAlignment="1">
      <alignment horizontal="center" vertical="center" wrapText="1"/>
    </xf>
    <xf numFmtId="164" fontId="9" fillId="5" borderId="14" xfId="0" applyNumberFormat="1" applyFont="1" applyFill="1" applyBorder="1"/>
    <xf numFmtId="0" fontId="9" fillId="5" borderId="15" xfId="0" applyFont="1" applyFill="1" applyBorder="1" applyAlignment="1">
      <alignment horizontal="center"/>
    </xf>
    <xf numFmtId="0" fontId="2" fillId="3" borderId="0" xfId="0" applyFont="1" applyFill="1"/>
    <xf numFmtId="0" fontId="9" fillId="5" borderId="15" xfId="0" applyFont="1" applyFill="1" applyBorder="1" applyAlignment="1">
      <alignment horizontal="center"/>
    </xf>
    <xf numFmtId="165" fontId="10" fillId="5" borderId="14" xfId="0" applyNumberFormat="1" applyFont="1" applyFill="1" applyBorder="1" applyAlignment="1">
      <alignment horizontal="center"/>
    </xf>
    <xf numFmtId="3" fontId="9" fillId="5" borderId="15" xfId="0" applyNumberFormat="1" applyFont="1" applyFill="1" applyBorder="1" applyAlignment="1">
      <alignment horizontal="center"/>
    </xf>
    <xf numFmtId="165" fontId="9" fillId="3" borderId="0" xfId="0" applyNumberFormat="1" applyFont="1" applyFill="1" applyAlignment="1">
      <alignment horizontal="center"/>
    </xf>
    <xf numFmtId="164" fontId="9" fillId="6" borderId="14" xfId="0" applyNumberFormat="1" applyFont="1" applyFill="1" applyBorder="1"/>
    <xf numFmtId="0" fontId="9" fillId="6" borderId="15" xfId="0" applyFont="1" applyFill="1" applyBorder="1" applyAlignment="1">
      <alignment horizontal="center"/>
    </xf>
    <xf numFmtId="0" fontId="9" fillId="6" borderId="15" xfId="0" applyFont="1" applyFill="1" applyBorder="1" applyAlignment="1">
      <alignment horizontal="center"/>
    </xf>
    <xf numFmtId="165" fontId="12" fillId="6" borderId="14" xfId="0" applyNumberFormat="1" applyFont="1" applyFill="1" applyBorder="1" applyAlignment="1">
      <alignment horizontal="center"/>
    </xf>
    <xf numFmtId="3" fontId="9" fillId="6" borderId="15" xfId="0" applyNumberFormat="1" applyFont="1" applyFill="1" applyBorder="1" applyAlignment="1">
      <alignment horizontal="center"/>
    </xf>
    <xf numFmtId="0" fontId="9" fillId="5" borderId="15" xfId="0" applyFont="1" applyFill="1" applyBorder="1" applyAlignment="1">
      <alignment horizontal="center"/>
    </xf>
    <xf numFmtId="165" fontId="10" fillId="5" borderId="14" xfId="0" applyNumberFormat="1" applyFont="1" applyFill="1" applyBorder="1" applyAlignment="1">
      <alignment horizontal="center"/>
    </xf>
    <xf numFmtId="165" fontId="8" fillId="5" borderId="14" xfId="0" applyNumberFormat="1" applyFont="1" applyFill="1" applyBorder="1" applyAlignment="1">
      <alignment horizontal="center"/>
    </xf>
    <xf numFmtId="3" fontId="13" fillId="5" borderId="15" xfId="0" applyNumberFormat="1" applyFont="1" applyFill="1" applyBorder="1" applyAlignment="1">
      <alignment horizontal="center"/>
    </xf>
    <xf numFmtId="0" fontId="9" fillId="6" borderId="15" xfId="0" applyFont="1" applyFill="1" applyBorder="1" applyAlignment="1">
      <alignment horizontal="center"/>
    </xf>
    <xf numFmtId="0" fontId="2" fillId="0" borderId="21" xfId="0" applyFont="1" applyBorder="1"/>
    <xf numFmtId="0" fontId="2" fillId="3" borderId="27" xfId="0" applyFont="1" applyFill="1" applyBorder="1"/>
    <xf numFmtId="0" fontId="2" fillId="3" borderId="28" xfId="0" applyFont="1" applyFill="1" applyBorder="1"/>
    <xf numFmtId="0" fontId="2" fillId="3" borderId="29" xfId="0" applyFont="1" applyFill="1" applyBorder="1"/>
    <xf numFmtId="0" fontId="17" fillId="0" borderId="0" xfId="0" applyFont="1" applyAlignment="1">
      <alignment horizontal="center" vertical="center" wrapText="1"/>
    </xf>
    <xf numFmtId="10" fontId="9" fillId="0" borderId="0" xfId="0" applyNumberFormat="1" applyFont="1" applyAlignment="1"/>
    <xf numFmtId="0" fontId="9" fillId="0" borderId="0" xfId="0" applyFont="1" applyAlignment="1"/>
    <xf numFmtId="0" fontId="9" fillId="0" borderId="38" xfId="0" applyFont="1" applyBorder="1" applyAlignment="1"/>
    <xf numFmtId="0" fontId="9" fillId="15" borderId="0" xfId="0" applyFont="1" applyFill="1" applyAlignment="1"/>
    <xf numFmtId="0" fontId="19" fillId="15" borderId="39" xfId="0" applyFont="1" applyFill="1" applyBorder="1" applyAlignment="1">
      <alignment horizontal="center" vertical="center" wrapText="1"/>
    </xf>
    <xf numFmtId="0" fontId="20" fillId="2" borderId="0" xfId="0" applyFont="1" applyFill="1" applyAlignment="1"/>
    <xf numFmtId="0" fontId="22" fillId="2" borderId="41" xfId="0" applyFont="1" applyFill="1" applyBorder="1" applyAlignment="1">
      <alignment horizontal="left" vertical="center"/>
    </xf>
    <xf numFmtId="0" fontId="24" fillId="2" borderId="0" xfId="0" applyFont="1" applyFill="1" applyAlignment="1">
      <alignment horizontal="center" vertical="center" wrapText="1"/>
    </xf>
    <xf numFmtId="0" fontId="25" fillId="2" borderId="0" xfId="0" applyFont="1" applyFill="1"/>
    <xf numFmtId="0" fontId="20" fillId="2" borderId="0" xfId="0" applyFont="1" applyFill="1"/>
    <xf numFmtId="0" fontId="9" fillId="0" borderId="45" xfId="0" applyFont="1" applyBorder="1" applyAlignment="1"/>
    <xf numFmtId="0" fontId="27" fillId="18" borderId="50" xfId="0" applyFont="1" applyFill="1" applyBorder="1" applyAlignment="1">
      <alignment horizontal="center" vertical="center" wrapText="1"/>
    </xf>
    <xf numFmtId="0" fontId="4" fillId="19" borderId="42" xfId="0" applyFont="1" applyFill="1" applyBorder="1" applyAlignment="1">
      <alignment horizontal="center"/>
    </xf>
    <xf numFmtId="0" fontId="4" fillId="19" borderId="43" xfId="0" applyFont="1" applyFill="1" applyBorder="1" applyAlignment="1">
      <alignment horizontal="center"/>
    </xf>
    <xf numFmtId="0" fontId="4" fillId="19" borderId="43" xfId="0" applyFont="1" applyFill="1" applyBorder="1" applyAlignment="1">
      <alignment horizontal="center"/>
    </xf>
    <xf numFmtId="0" fontId="7" fillId="19" borderId="44" xfId="0" applyFont="1" applyFill="1" applyBorder="1" applyAlignment="1">
      <alignment horizontal="center"/>
    </xf>
    <xf numFmtId="0" fontId="4" fillId="20" borderId="46" xfId="0" applyFont="1" applyFill="1" applyBorder="1" applyAlignment="1">
      <alignment horizontal="center"/>
    </xf>
    <xf numFmtId="0" fontId="4" fillId="20" borderId="47" xfId="0" applyFont="1" applyFill="1" applyBorder="1" applyAlignment="1">
      <alignment horizontal="center"/>
    </xf>
    <xf numFmtId="0" fontId="4" fillId="20" borderId="47" xfId="0" applyFont="1" applyFill="1" applyBorder="1" applyAlignment="1">
      <alignment horizontal="center"/>
    </xf>
    <xf numFmtId="0" fontId="7" fillId="20" borderId="48" xfId="0" applyFont="1" applyFill="1" applyBorder="1" applyAlignment="1">
      <alignment horizontal="center"/>
    </xf>
    <xf numFmtId="0" fontId="27" fillId="18" borderId="53" xfId="0" applyFont="1" applyFill="1" applyBorder="1" applyAlignment="1">
      <alignment horizontal="center" vertical="center" wrapText="1"/>
    </xf>
    <xf numFmtId="10" fontId="9" fillId="0" borderId="0" xfId="0" applyNumberFormat="1" applyFont="1" applyAlignment="1"/>
    <xf numFmtId="10" fontId="9" fillId="21" borderId="42" xfId="0" applyNumberFormat="1" applyFont="1" applyFill="1" applyBorder="1" applyAlignment="1">
      <alignment horizontal="left"/>
    </xf>
    <xf numFmtId="0" fontId="9" fillId="21" borderId="43" xfId="0" applyFont="1" applyFill="1" applyBorder="1" applyAlignment="1">
      <alignment horizontal="center"/>
    </xf>
    <xf numFmtId="0" fontId="9" fillId="21" borderId="43" xfId="0" applyFont="1" applyFill="1" applyBorder="1" applyAlignment="1">
      <alignment horizontal="center"/>
    </xf>
    <xf numFmtId="3" fontId="9" fillId="21" borderId="43" xfId="0" applyNumberFormat="1" applyFont="1" applyFill="1" applyBorder="1" applyAlignment="1">
      <alignment horizontal="center"/>
    </xf>
    <xf numFmtId="9" fontId="9" fillId="21" borderId="44" xfId="0" applyNumberFormat="1" applyFont="1" applyFill="1" applyBorder="1" applyAlignment="1">
      <alignment horizontal="center"/>
    </xf>
    <xf numFmtId="10" fontId="9" fillId="22" borderId="46" xfId="0" applyNumberFormat="1" applyFont="1" applyFill="1" applyBorder="1" applyAlignment="1">
      <alignment horizontal="left"/>
    </xf>
    <xf numFmtId="0" fontId="9" fillId="22" borderId="47" xfId="0" applyFont="1" applyFill="1" applyBorder="1" applyAlignment="1">
      <alignment horizontal="center"/>
    </xf>
    <xf numFmtId="3" fontId="9" fillId="22" borderId="47" xfId="0" applyNumberFormat="1" applyFont="1" applyFill="1" applyBorder="1" applyAlignment="1">
      <alignment horizontal="center"/>
    </xf>
    <xf numFmtId="9" fontId="9" fillId="22" borderId="48" xfId="0" applyNumberFormat="1" applyFont="1" applyFill="1" applyBorder="1" applyAlignment="1">
      <alignment horizontal="center"/>
    </xf>
    <xf numFmtId="164" fontId="27" fillId="23" borderId="57" xfId="0" applyNumberFormat="1" applyFont="1" applyFill="1" applyBorder="1" applyAlignment="1">
      <alignment horizontal="center"/>
    </xf>
    <xf numFmtId="164" fontId="27" fillId="23" borderId="58" xfId="0" applyNumberFormat="1" applyFont="1" applyFill="1" applyBorder="1" applyAlignment="1">
      <alignment horizontal="center"/>
    </xf>
    <xf numFmtId="10" fontId="9" fillId="24" borderId="42" xfId="0" applyNumberFormat="1" applyFont="1" applyFill="1" applyBorder="1" applyAlignment="1">
      <alignment horizontal="left"/>
    </xf>
    <xf numFmtId="0" fontId="9" fillId="24" borderId="43" xfId="0" applyFont="1" applyFill="1" applyBorder="1" applyAlignment="1">
      <alignment horizontal="center"/>
    </xf>
    <xf numFmtId="3" fontId="9" fillId="24" borderId="43" xfId="0" applyNumberFormat="1" applyFont="1" applyFill="1" applyBorder="1" applyAlignment="1">
      <alignment horizontal="center"/>
    </xf>
    <xf numFmtId="9" fontId="9" fillId="24" borderId="44" xfId="0" applyNumberFormat="1" applyFont="1" applyFill="1" applyBorder="1" applyAlignment="1">
      <alignment horizontal="center"/>
    </xf>
    <xf numFmtId="10" fontId="9" fillId="25" borderId="46" xfId="0" applyNumberFormat="1" applyFont="1" applyFill="1" applyBorder="1" applyAlignment="1">
      <alignment horizontal="left"/>
    </xf>
    <xf numFmtId="0" fontId="9" fillId="25" borderId="47" xfId="0" applyFont="1" applyFill="1" applyBorder="1" applyAlignment="1">
      <alignment horizontal="center"/>
    </xf>
    <xf numFmtId="3" fontId="9" fillId="25" borderId="47" xfId="0" applyNumberFormat="1" applyFont="1" applyFill="1" applyBorder="1" applyAlignment="1">
      <alignment horizontal="center"/>
    </xf>
    <xf numFmtId="9" fontId="9" fillId="25" borderId="48" xfId="0" applyNumberFormat="1" applyFont="1" applyFill="1" applyBorder="1" applyAlignment="1">
      <alignment horizontal="center"/>
    </xf>
    <xf numFmtId="10" fontId="20" fillId="23" borderId="56" xfId="0" applyNumberFormat="1" applyFont="1" applyFill="1" applyBorder="1" applyAlignment="1"/>
    <xf numFmtId="10" fontId="20" fillId="23" borderId="57" xfId="0" applyNumberFormat="1" applyFont="1" applyFill="1" applyBorder="1" applyAlignment="1">
      <alignment horizontal="center"/>
    </xf>
    <xf numFmtId="10" fontId="20" fillId="23" borderId="56" xfId="0" applyNumberFormat="1" applyFont="1" applyFill="1" applyBorder="1" applyAlignment="1">
      <alignment horizontal="center"/>
    </xf>
    <xf numFmtId="10" fontId="9" fillId="7" borderId="59" xfId="0" applyNumberFormat="1" applyFont="1" applyFill="1" applyBorder="1" applyAlignment="1">
      <alignment horizontal="center"/>
    </xf>
    <xf numFmtId="0" fontId="9" fillId="7" borderId="59" xfId="0" applyFont="1" applyFill="1" applyBorder="1" applyAlignment="1">
      <alignment horizontal="center"/>
    </xf>
    <xf numFmtId="0" fontId="28" fillId="7" borderId="59" xfId="0" applyFont="1" applyFill="1" applyBorder="1" applyAlignment="1">
      <alignment horizontal="center"/>
    </xf>
    <xf numFmtId="2" fontId="9" fillId="7" borderId="59" xfId="0" applyNumberFormat="1" applyFont="1" applyFill="1" applyBorder="1" applyAlignment="1">
      <alignment horizontal="center"/>
    </xf>
    <xf numFmtId="10" fontId="9" fillId="26" borderId="59" xfId="0" applyNumberFormat="1" applyFont="1" applyFill="1" applyBorder="1" applyAlignment="1">
      <alignment horizontal="center"/>
    </xf>
    <xf numFmtId="0" fontId="9" fillId="26" borderId="59" xfId="0" applyFont="1" applyFill="1" applyBorder="1" applyAlignment="1">
      <alignment horizontal="center"/>
    </xf>
    <xf numFmtId="0" fontId="28" fillId="26" borderId="59" xfId="0" applyFont="1" applyFill="1" applyBorder="1" applyAlignment="1">
      <alignment horizontal="center"/>
    </xf>
    <xf numFmtId="2" fontId="9" fillId="26" borderId="59" xfId="0" applyNumberFormat="1" applyFont="1" applyFill="1" applyBorder="1" applyAlignment="1">
      <alignment horizontal="center"/>
    </xf>
    <xf numFmtId="0" fontId="13" fillId="24" borderId="42" xfId="0" applyFont="1" applyFill="1" applyBorder="1" applyAlignment="1">
      <alignment horizontal="left"/>
    </xf>
    <xf numFmtId="0" fontId="13" fillId="24" borderId="43" xfId="0" applyFont="1" applyFill="1" applyBorder="1" applyAlignment="1">
      <alignment horizontal="center"/>
    </xf>
    <xf numFmtId="3" fontId="13" fillId="24" borderId="43" xfId="0" applyNumberFormat="1" applyFont="1" applyFill="1" applyBorder="1" applyAlignment="1">
      <alignment horizontal="center"/>
    </xf>
    <xf numFmtId="166" fontId="13" fillId="24" borderId="44" xfId="0" applyNumberFormat="1" applyFont="1" applyFill="1" applyBorder="1" applyAlignment="1">
      <alignment horizontal="center"/>
    </xf>
    <xf numFmtId="0" fontId="13" fillId="25" borderId="46" xfId="0" applyFont="1" applyFill="1" applyBorder="1" applyAlignment="1">
      <alignment horizontal="left"/>
    </xf>
    <xf numFmtId="0" fontId="13" fillId="25" borderId="47" xfId="0" applyFont="1" applyFill="1" applyBorder="1" applyAlignment="1">
      <alignment horizontal="center"/>
    </xf>
    <xf numFmtId="3" fontId="13" fillId="25" borderId="47" xfId="0" applyNumberFormat="1" applyFont="1" applyFill="1" applyBorder="1" applyAlignment="1">
      <alignment horizontal="center"/>
    </xf>
    <xf numFmtId="166" fontId="13" fillId="25" borderId="48" xfId="0" applyNumberFormat="1" applyFont="1" applyFill="1" applyBorder="1" applyAlignment="1">
      <alignment horizontal="center"/>
    </xf>
    <xf numFmtId="0" fontId="9" fillId="26" borderId="59" xfId="0" applyFont="1" applyFill="1" applyBorder="1" applyAlignment="1">
      <alignment horizontal="center"/>
    </xf>
    <xf numFmtId="0" fontId="20" fillId="0" borderId="0" xfId="0" applyFont="1" applyAlignment="1"/>
    <xf numFmtId="0" fontId="25" fillId="0" borderId="0" xfId="0" applyFont="1"/>
    <xf numFmtId="164" fontId="27" fillId="23" borderId="57" xfId="0" applyNumberFormat="1" applyFont="1" applyFill="1" applyBorder="1" applyAlignment="1">
      <alignment horizontal="center"/>
    </xf>
    <xf numFmtId="164" fontId="27" fillId="23" borderId="58" xfId="0" applyNumberFormat="1" applyFont="1" applyFill="1" applyBorder="1" applyAlignment="1">
      <alignment horizontal="center"/>
    </xf>
    <xf numFmtId="0" fontId="4" fillId="19" borderId="44" xfId="0" applyFont="1" applyFill="1" applyBorder="1" applyAlignment="1">
      <alignment horizontal="center"/>
    </xf>
    <xf numFmtId="0" fontId="4" fillId="20" borderId="48" xfId="0" applyFont="1" applyFill="1" applyBorder="1" applyAlignment="1">
      <alignment horizontal="center"/>
    </xf>
    <xf numFmtId="165" fontId="9" fillId="0" borderId="0" xfId="0" applyNumberFormat="1" applyFont="1" applyAlignment="1"/>
    <xf numFmtId="165" fontId="9" fillId="21" borderId="42" xfId="0" applyNumberFormat="1" applyFont="1" applyFill="1" applyBorder="1" applyAlignment="1">
      <alignment horizontal="left"/>
    </xf>
    <xf numFmtId="165" fontId="9" fillId="22" borderId="46" xfId="0" applyNumberFormat="1" applyFont="1" applyFill="1" applyBorder="1" applyAlignment="1">
      <alignment horizontal="left"/>
    </xf>
    <xf numFmtId="0" fontId="9" fillId="7" borderId="59" xfId="0" applyFont="1" applyFill="1" applyBorder="1" applyAlignment="1">
      <alignment horizontal="center"/>
    </xf>
    <xf numFmtId="0" fontId="28" fillId="7" borderId="59" xfId="0" applyFont="1" applyFill="1" applyBorder="1" applyAlignment="1">
      <alignment horizontal="center"/>
    </xf>
    <xf numFmtId="2" fontId="9" fillId="7" borderId="59" xfId="0" applyNumberFormat="1" applyFont="1" applyFill="1" applyBorder="1" applyAlignment="1">
      <alignment horizontal="center"/>
    </xf>
    <xf numFmtId="165" fontId="9" fillId="24" borderId="42" xfId="0" applyNumberFormat="1" applyFont="1" applyFill="1" applyBorder="1" applyAlignment="1">
      <alignment horizontal="left"/>
    </xf>
    <xf numFmtId="165" fontId="9" fillId="25" borderId="46" xfId="0" applyNumberFormat="1" applyFont="1" applyFill="1" applyBorder="1" applyAlignment="1">
      <alignment horizontal="left"/>
    </xf>
    <xf numFmtId="0" fontId="9" fillId="26" borderId="59" xfId="0" applyFont="1" applyFill="1" applyBorder="1" applyAlignment="1">
      <alignment horizontal="center"/>
    </xf>
    <xf numFmtId="0" fontId="28" fillId="26" borderId="59" xfId="0" applyFont="1" applyFill="1" applyBorder="1" applyAlignment="1">
      <alignment horizontal="center"/>
    </xf>
    <xf numFmtId="2" fontId="9" fillId="26" borderId="59" xfId="0" applyNumberFormat="1" applyFont="1" applyFill="1" applyBorder="1" applyAlignment="1">
      <alignment horizontal="center"/>
    </xf>
    <xf numFmtId="165" fontId="9" fillId="21" borderId="42" xfId="0" applyNumberFormat="1" applyFont="1" applyFill="1" applyBorder="1" applyAlignment="1">
      <alignment horizontal="left"/>
    </xf>
    <xf numFmtId="165" fontId="9" fillId="22" borderId="46" xfId="0" applyNumberFormat="1" applyFont="1" applyFill="1" applyBorder="1" applyAlignment="1">
      <alignment horizontal="left"/>
    </xf>
    <xf numFmtId="165" fontId="9" fillId="24" borderId="42" xfId="0" applyNumberFormat="1" applyFont="1" applyFill="1" applyBorder="1" applyAlignment="1">
      <alignment horizontal="left"/>
    </xf>
    <xf numFmtId="165" fontId="9" fillId="25" borderId="46" xfId="0" applyNumberFormat="1" applyFont="1" applyFill="1" applyBorder="1" applyAlignment="1">
      <alignment horizontal="left"/>
    </xf>
    <xf numFmtId="165" fontId="2" fillId="0" borderId="0" xfId="0" applyNumberFormat="1" applyFont="1"/>
    <xf numFmtId="0" fontId="9" fillId="24" borderId="43" xfId="0" applyFont="1" applyFill="1" applyBorder="1" applyAlignment="1">
      <alignment horizontal="center"/>
    </xf>
    <xf numFmtId="9" fontId="9" fillId="24" borderId="43" xfId="0" applyNumberFormat="1" applyFont="1" applyFill="1" applyBorder="1" applyAlignment="1">
      <alignment horizontal="center"/>
    </xf>
    <xf numFmtId="0" fontId="9" fillId="25" borderId="47" xfId="0" applyFont="1" applyFill="1" applyBorder="1" applyAlignment="1">
      <alignment horizontal="center"/>
    </xf>
    <xf numFmtId="9" fontId="9" fillId="25" borderId="47" xfId="0" applyNumberFormat="1" applyFont="1" applyFill="1" applyBorder="1" applyAlignment="1">
      <alignment horizontal="center"/>
    </xf>
    <xf numFmtId="165" fontId="31" fillId="21" borderId="42" xfId="0" applyNumberFormat="1" applyFont="1" applyFill="1" applyBorder="1" applyAlignment="1">
      <alignment horizontal="left"/>
    </xf>
    <xf numFmtId="9" fontId="9" fillId="21" borderId="44" xfId="0" applyNumberFormat="1" applyFont="1" applyFill="1" applyBorder="1" applyAlignment="1">
      <alignment horizontal="center"/>
    </xf>
    <xf numFmtId="165" fontId="31" fillId="22" borderId="46" xfId="0" applyNumberFormat="1" applyFont="1" applyFill="1" applyBorder="1" applyAlignment="1">
      <alignment horizontal="left"/>
    </xf>
    <xf numFmtId="0" fontId="9" fillId="22" borderId="47" xfId="0" applyFont="1" applyFill="1" applyBorder="1" applyAlignment="1">
      <alignment horizontal="center"/>
    </xf>
    <xf numFmtId="9" fontId="9" fillId="22" borderId="48" xfId="0" applyNumberFormat="1" applyFont="1" applyFill="1" applyBorder="1" applyAlignment="1">
      <alignment horizontal="center"/>
    </xf>
    <xf numFmtId="165" fontId="9" fillId="29" borderId="60" xfId="0" applyNumberFormat="1" applyFont="1" applyFill="1" applyBorder="1" applyAlignment="1">
      <alignment horizontal="left" vertical="center"/>
    </xf>
    <xf numFmtId="165" fontId="31" fillId="29" borderId="61" xfId="0" applyNumberFormat="1" applyFont="1" applyFill="1" applyBorder="1" applyAlignment="1">
      <alignment horizontal="left" vertical="center"/>
    </xf>
    <xf numFmtId="167" fontId="9" fillId="29" borderId="60" xfId="0" applyNumberFormat="1" applyFont="1" applyFill="1" applyBorder="1" applyAlignment="1">
      <alignment horizontal="right" vertical="center"/>
    </xf>
    <xf numFmtId="165" fontId="31" fillId="29" borderId="62" xfId="0" applyNumberFormat="1" applyFont="1" applyFill="1" applyBorder="1" applyAlignment="1">
      <alignment horizontal="left" vertical="center"/>
    </xf>
    <xf numFmtId="3" fontId="9" fillId="29" borderId="60" xfId="0" applyNumberFormat="1" applyFont="1" applyFill="1" applyBorder="1" applyAlignment="1">
      <alignment horizontal="right" vertical="center"/>
    </xf>
    <xf numFmtId="167" fontId="9" fillId="29" borderId="60" xfId="0" applyNumberFormat="1" applyFont="1" applyFill="1" applyBorder="1" applyAlignment="1">
      <alignment horizontal="right" vertical="center"/>
    </xf>
    <xf numFmtId="165" fontId="9" fillId="30" borderId="60" xfId="0" applyNumberFormat="1" applyFont="1" applyFill="1" applyBorder="1" applyAlignment="1">
      <alignment horizontal="left" vertical="center"/>
    </xf>
    <xf numFmtId="165" fontId="31" fillId="30" borderId="61" xfId="0" applyNumberFormat="1" applyFont="1" applyFill="1" applyBorder="1" applyAlignment="1">
      <alignment horizontal="left" vertical="center"/>
    </xf>
    <xf numFmtId="169" fontId="9" fillId="30" borderId="60" xfId="0" applyNumberFormat="1" applyFont="1" applyFill="1" applyBorder="1" applyAlignment="1">
      <alignment horizontal="right" vertical="center"/>
    </xf>
    <xf numFmtId="165" fontId="31" fillId="30" borderId="62" xfId="0" applyNumberFormat="1" applyFont="1" applyFill="1" applyBorder="1" applyAlignment="1">
      <alignment horizontal="left" vertical="center"/>
    </xf>
    <xf numFmtId="169" fontId="9" fillId="30" borderId="60" xfId="0" applyNumberFormat="1" applyFont="1" applyFill="1" applyBorder="1" applyAlignment="1">
      <alignment horizontal="right" vertical="center"/>
    </xf>
    <xf numFmtId="165" fontId="9" fillId="29" borderId="60" xfId="0" applyNumberFormat="1" applyFont="1" applyFill="1" applyBorder="1" applyAlignment="1">
      <alignment horizontal="left" vertical="center"/>
    </xf>
    <xf numFmtId="2" fontId="9" fillId="29" borderId="60" xfId="0" applyNumberFormat="1" applyFont="1" applyFill="1" applyBorder="1" applyAlignment="1">
      <alignment horizontal="right" vertical="center"/>
    </xf>
    <xf numFmtId="2" fontId="9" fillId="29" borderId="60" xfId="0" applyNumberFormat="1" applyFont="1" applyFill="1" applyBorder="1" applyAlignment="1">
      <alignment horizontal="right" vertical="center"/>
    </xf>
    <xf numFmtId="2" fontId="9" fillId="30" borderId="60" xfId="0" applyNumberFormat="1" applyFont="1" applyFill="1" applyBorder="1" applyAlignment="1">
      <alignment horizontal="right" vertical="center"/>
    </xf>
    <xf numFmtId="2" fontId="9" fillId="30" borderId="60" xfId="0" applyNumberFormat="1" applyFont="1" applyFill="1" applyBorder="1" applyAlignment="1">
      <alignment horizontal="right" vertical="center"/>
    </xf>
    <xf numFmtId="164" fontId="9" fillId="0" borderId="0" xfId="0" applyNumberFormat="1" applyFont="1" applyAlignment="1"/>
    <xf numFmtId="164" fontId="9" fillId="21" borderId="42" xfId="0" applyNumberFormat="1" applyFont="1" applyFill="1" applyBorder="1" applyAlignment="1">
      <alignment horizontal="left"/>
    </xf>
    <xf numFmtId="164" fontId="9" fillId="22" borderId="46" xfId="0" applyNumberFormat="1" applyFont="1" applyFill="1" applyBorder="1" applyAlignment="1">
      <alignment horizontal="left"/>
    </xf>
    <xf numFmtId="164" fontId="2" fillId="0" borderId="0" xfId="0" applyNumberFormat="1" applyFont="1"/>
    <xf numFmtId="164" fontId="9" fillId="24" borderId="42" xfId="0" applyNumberFormat="1" applyFont="1" applyFill="1" applyBorder="1" applyAlignment="1">
      <alignment horizontal="left"/>
    </xf>
    <xf numFmtId="164" fontId="9" fillId="25" borderId="46" xfId="0" applyNumberFormat="1" applyFont="1" applyFill="1" applyBorder="1" applyAlignment="1">
      <alignment horizontal="left"/>
    </xf>
    <xf numFmtId="0" fontId="2" fillId="0" borderId="63" xfId="0" applyFont="1" applyBorder="1"/>
    <xf numFmtId="0" fontId="27" fillId="0" borderId="0" xfId="0" applyFont="1" applyAlignment="1">
      <alignment horizontal="center"/>
    </xf>
    <xf numFmtId="0" fontId="6" fillId="11" borderId="64" xfId="0" applyFont="1" applyFill="1" applyBorder="1" applyAlignment="1">
      <alignment horizontal="center"/>
    </xf>
    <xf numFmtId="170" fontId="2" fillId="8" borderId="64" xfId="0" applyNumberFormat="1" applyFont="1" applyFill="1" applyBorder="1" applyAlignment="1">
      <alignment horizontal="center"/>
    </xf>
    <xf numFmtId="170" fontId="2" fillId="8" borderId="64" xfId="0" applyNumberFormat="1" applyFont="1" applyFill="1" applyBorder="1" applyAlignment="1">
      <alignment horizontal="center"/>
    </xf>
    <xf numFmtId="170" fontId="2" fillId="32" borderId="64" xfId="0" applyNumberFormat="1" applyFont="1" applyFill="1" applyBorder="1" applyAlignment="1">
      <alignment horizontal="center"/>
    </xf>
    <xf numFmtId="170" fontId="2" fillId="32" borderId="64" xfId="0" applyNumberFormat="1" applyFont="1" applyFill="1" applyBorder="1" applyAlignment="1">
      <alignment horizontal="center"/>
    </xf>
    <xf numFmtId="170" fontId="9" fillId="8" borderId="64" xfId="0" applyNumberFormat="1" applyFont="1" applyFill="1" applyBorder="1" applyAlignment="1">
      <alignment horizontal="center"/>
    </xf>
    <xf numFmtId="170" fontId="33" fillId="11" borderId="64" xfId="0" applyNumberFormat="1" applyFont="1" applyFill="1" applyBorder="1" applyAlignment="1">
      <alignment horizontal="center"/>
    </xf>
    <xf numFmtId="0" fontId="13" fillId="0" borderId="0" xfId="0" applyFont="1" applyAlignment="1">
      <alignment horizontal="center"/>
    </xf>
    <xf numFmtId="0" fontId="9" fillId="24" borderId="42" xfId="0" applyFont="1" applyFill="1" applyBorder="1" applyAlignment="1">
      <alignment horizontal="left"/>
    </xf>
    <xf numFmtId="0" fontId="9" fillId="25" borderId="46" xfId="0" applyFont="1" applyFill="1" applyBorder="1" applyAlignment="1">
      <alignment horizontal="left"/>
    </xf>
    <xf numFmtId="170" fontId="9" fillId="8" borderId="64" xfId="0" applyNumberFormat="1" applyFont="1" applyFill="1" applyBorder="1" applyAlignment="1">
      <alignment horizontal="center"/>
    </xf>
    <xf numFmtId="0" fontId="13" fillId="21" borderId="42" xfId="0" applyFont="1" applyFill="1" applyBorder="1" applyAlignment="1">
      <alignment horizontal="left"/>
    </xf>
    <xf numFmtId="0" fontId="13" fillId="21" borderId="43" xfId="0" applyFont="1" applyFill="1" applyBorder="1" applyAlignment="1">
      <alignment horizontal="center"/>
    </xf>
    <xf numFmtId="3" fontId="13" fillId="21" borderId="43" xfId="0" applyNumberFormat="1" applyFont="1" applyFill="1" applyBorder="1" applyAlignment="1">
      <alignment horizontal="center"/>
    </xf>
    <xf numFmtId="166" fontId="13" fillId="21" borderId="44" xfId="0" applyNumberFormat="1" applyFont="1" applyFill="1" applyBorder="1" applyAlignment="1">
      <alignment horizontal="center"/>
    </xf>
    <xf numFmtId="0" fontId="13" fillId="22" borderId="46" xfId="0" applyFont="1" applyFill="1" applyBorder="1" applyAlignment="1">
      <alignment horizontal="left"/>
    </xf>
    <xf numFmtId="0" fontId="13" fillId="22" borderId="47" xfId="0" applyFont="1" applyFill="1" applyBorder="1" applyAlignment="1">
      <alignment horizontal="center"/>
    </xf>
    <xf numFmtId="3" fontId="13" fillId="22" borderId="47" xfId="0" applyNumberFormat="1" applyFont="1" applyFill="1" applyBorder="1" applyAlignment="1">
      <alignment horizontal="center"/>
    </xf>
    <xf numFmtId="166" fontId="13" fillId="22" borderId="48" xfId="0" applyNumberFormat="1" applyFont="1" applyFill="1" applyBorder="1" applyAlignment="1">
      <alignment horizontal="center"/>
    </xf>
    <xf numFmtId="0" fontId="18" fillId="0" borderId="0" xfId="0" applyFont="1" applyAlignment="1">
      <alignment horizontal="left" vertical="center"/>
    </xf>
    <xf numFmtId="0" fontId="9" fillId="0" borderId="0" xfId="0" applyFont="1" applyAlignment="1">
      <alignment vertical="center"/>
    </xf>
    <xf numFmtId="0" fontId="10" fillId="0" borderId="0" xfId="0" applyFont="1" applyAlignment="1"/>
    <xf numFmtId="0" fontId="34" fillId="0" borderId="0" xfId="0" applyFont="1" applyAlignment="1">
      <alignment horizontal="left" vertical="center" wrapText="1"/>
    </xf>
    <xf numFmtId="0" fontId="17" fillId="0" borderId="0" xfId="0" applyFont="1" applyAlignment="1">
      <alignment horizontal="left" vertical="center" wrapText="1"/>
    </xf>
    <xf numFmtId="0" fontId="9" fillId="0" borderId="0" xfId="0" applyFont="1"/>
    <xf numFmtId="0" fontId="13" fillId="0" borderId="0" xfId="0" applyFont="1" applyAlignment="1">
      <alignment horizontal="right"/>
    </xf>
    <xf numFmtId="0" fontId="13" fillId="0" borderId="0" xfId="0" applyFont="1" applyAlignment="1">
      <alignment horizontal="center"/>
    </xf>
    <xf numFmtId="0" fontId="13" fillId="0" borderId="0" xfId="0" applyFont="1" applyAlignment="1">
      <alignment horizontal="center"/>
    </xf>
    <xf numFmtId="9" fontId="13" fillId="0" borderId="0" xfId="0" applyNumberFormat="1" applyFont="1" applyAlignment="1">
      <alignment horizontal="center"/>
    </xf>
    <xf numFmtId="0" fontId="8" fillId="0" borderId="0" xfId="0" applyFont="1" applyAlignment="1">
      <alignment horizontal="left"/>
    </xf>
    <xf numFmtId="0" fontId="35" fillId="0" borderId="0" xfId="0" applyFont="1" applyAlignment="1">
      <alignment horizontal="center"/>
    </xf>
    <xf numFmtId="0" fontId="9" fillId="0" borderId="0" xfId="0" applyFont="1" applyAlignment="1"/>
    <xf numFmtId="0" fontId="36" fillId="0" borderId="0" xfId="0" applyFont="1" applyAlignment="1">
      <alignment horizontal="center"/>
    </xf>
    <xf numFmtId="0" fontId="36" fillId="0" borderId="0" xfId="0" applyFont="1" applyAlignment="1">
      <alignment horizontal="center"/>
    </xf>
    <xf numFmtId="0" fontId="36" fillId="5" borderId="0" xfId="0" applyFont="1" applyFill="1" applyAlignment="1">
      <alignment horizontal="center"/>
    </xf>
    <xf numFmtId="0" fontId="36" fillId="7" borderId="0" xfId="0" applyFont="1" applyFill="1" applyAlignment="1">
      <alignment horizontal="center"/>
    </xf>
    <xf numFmtId="0" fontId="37" fillId="33" borderId="0" xfId="0" applyFont="1" applyFill="1" applyAlignment="1">
      <alignment horizontal="center"/>
    </xf>
    <xf numFmtId="0" fontId="37" fillId="0" borderId="0" xfId="0" applyFont="1" applyAlignment="1">
      <alignment horizontal="center"/>
    </xf>
    <xf numFmtId="0" fontId="9" fillId="0" borderId="0" xfId="0" applyFont="1" applyAlignment="1">
      <alignment horizontal="right"/>
    </xf>
    <xf numFmtId="0" fontId="9" fillId="34" borderId="0" xfId="0" applyFont="1" applyFill="1" applyAlignment="1">
      <alignment horizontal="right"/>
    </xf>
    <xf numFmtId="0" fontId="9" fillId="34" borderId="0" xfId="0" applyFont="1" applyFill="1" applyAlignment="1">
      <alignment horizontal="left"/>
    </xf>
    <xf numFmtId="0" fontId="9" fillId="34" borderId="0" xfId="0" applyFont="1" applyFill="1" applyAlignment="1">
      <alignment horizontal="center"/>
    </xf>
    <xf numFmtId="0" fontId="9" fillId="34" borderId="0" xfId="0" applyFont="1" applyFill="1" applyAlignment="1">
      <alignment horizontal="center"/>
    </xf>
    <xf numFmtId="9" fontId="9" fillId="34" borderId="0" xfId="0" applyNumberFormat="1" applyFont="1" applyFill="1" applyAlignment="1">
      <alignment horizontal="right"/>
    </xf>
    <xf numFmtId="0" fontId="9" fillId="34" borderId="0" xfId="0" applyFont="1" applyFill="1" applyAlignment="1">
      <alignment horizontal="left"/>
    </xf>
    <xf numFmtId="0" fontId="38" fillId="34" borderId="0" xfId="0" applyFont="1" applyFill="1" applyAlignment="1">
      <alignment horizontal="center"/>
    </xf>
    <xf numFmtId="0" fontId="39" fillId="0" borderId="0" xfId="0" applyFont="1" applyAlignment="1">
      <alignment horizontal="center"/>
    </xf>
    <xf numFmtId="0" fontId="39" fillId="0" borderId="0" xfId="0" applyFont="1" applyAlignment="1">
      <alignment horizontal="center"/>
    </xf>
    <xf numFmtId="0" fontId="39" fillId="5" borderId="0" xfId="0" applyFont="1" applyFill="1" applyAlignment="1">
      <alignment horizontal="center"/>
    </xf>
    <xf numFmtId="0" fontId="39" fillId="5" borderId="0" xfId="0" applyFont="1" applyFill="1" applyAlignment="1">
      <alignment horizontal="center"/>
    </xf>
    <xf numFmtId="0" fontId="39" fillId="7" borderId="0" xfId="0" applyFont="1" applyFill="1" applyAlignment="1">
      <alignment horizontal="center"/>
    </xf>
    <xf numFmtId="9" fontId="39" fillId="7" borderId="0" xfId="0" applyNumberFormat="1" applyFont="1" applyFill="1" applyAlignment="1">
      <alignment horizontal="center"/>
    </xf>
    <xf numFmtId="0" fontId="28" fillId="33" borderId="0" xfId="0" applyFont="1" applyFill="1" applyAlignment="1">
      <alignment horizontal="center"/>
    </xf>
    <xf numFmtId="0" fontId="40" fillId="33" borderId="0" xfId="0" applyFont="1" applyFill="1" applyAlignment="1">
      <alignment horizontal="center"/>
    </xf>
    <xf numFmtId="0" fontId="40" fillId="0" borderId="0" xfId="0" applyFont="1" applyAlignment="1">
      <alignment horizontal="center"/>
    </xf>
    <xf numFmtId="0" fontId="34" fillId="15" borderId="0" xfId="0" applyFont="1" applyFill="1"/>
    <xf numFmtId="0" fontId="40" fillId="0" borderId="0" xfId="0" applyFont="1" applyAlignment="1">
      <alignment horizontal="center"/>
    </xf>
    <xf numFmtId="0" fontId="42" fillId="0" borderId="0" xfId="0" applyFont="1" applyAlignment="1">
      <alignment horizontal="right"/>
    </xf>
    <xf numFmtId="0" fontId="9" fillId="0" borderId="0" xfId="0" applyFont="1" applyAlignment="1"/>
    <xf numFmtId="0" fontId="13" fillId="0" borderId="0" xfId="0" applyFont="1" applyAlignment="1">
      <alignment horizontal="center"/>
    </xf>
    <xf numFmtId="0" fontId="43" fillId="0" borderId="0" xfId="0" applyFont="1" applyAlignment="1">
      <alignment horizontal="right"/>
    </xf>
    <xf numFmtId="0" fontId="9" fillId="34" borderId="0" xfId="0" applyFont="1" applyFill="1" applyAlignment="1">
      <alignment horizontal="right"/>
    </xf>
    <xf numFmtId="0" fontId="44" fillId="0" borderId="0" xfId="0" applyFont="1" applyAlignment="1">
      <alignment horizontal="right"/>
    </xf>
    <xf numFmtId="0" fontId="9" fillId="0" borderId="0" xfId="0" applyFont="1" applyAlignment="1">
      <alignment horizontal="right"/>
    </xf>
    <xf numFmtId="0" fontId="42" fillId="0" borderId="0" xfId="0" applyFont="1" applyAlignment="1">
      <alignment horizontal="right"/>
    </xf>
    <xf numFmtId="0" fontId="34" fillId="0" borderId="0" xfId="0" applyFont="1" applyAlignment="1">
      <alignment horizontal="right"/>
    </xf>
    <xf numFmtId="0" fontId="9" fillId="34" borderId="0" xfId="0" applyFont="1" applyFill="1" applyAlignment="1">
      <alignment horizontal="center"/>
    </xf>
    <xf numFmtId="0" fontId="2" fillId="0" borderId="0" xfId="0" applyFont="1" applyAlignment="1">
      <alignment vertical="center" wrapText="1"/>
    </xf>
    <xf numFmtId="0" fontId="9" fillId="34" borderId="0" xfId="0" applyFont="1" applyFill="1" applyAlignment="1">
      <alignment horizontal="right"/>
    </xf>
    <xf numFmtId="0" fontId="9" fillId="34" borderId="0" xfId="0" applyFont="1" applyFill="1" applyAlignment="1">
      <alignment horizontal="left"/>
    </xf>
    <xf numFmtId="0" fontId="34" fillId="0" borderId="0" xfId="0" applyFont="1" applyAlignment="1">
      <alignment horizontal="right"/>
    </xf>
    <xf numFmtId="0" fontId="9" fillId="0" borderId="0" xfId="0" applyFont="1" applyAlignment="1">
      <alignment horizontal="right"/>
    </xf>
    <xf numFmtId="0" fontId="9" fillId="34" borderId="0" xfId="0" applyFont="1" applyFill="1" applyAlignment="1">
      <alignment horizontal="right"/>
    </xf>
    <xf numFmtId="0" fontId="45" fillId="0" borderId="0" xfId="0" applyFont="1" applyAlignment="1">
      <alignment horizontal="right"/>
    </xf>
    <xf numFmtId="0" fontId="9" fillId="34" borderId="0" xfId="0" applyFont="1" applyFill="1" applyAlignment="1">
      <alignment horizontal="right"/>
    </xf>
    <xf numFmtId="0" fontId="13" fillId="36" borderId="65" xfId="0" applyFont="1" applyFill="1" applyBorder="1" applyAlignment="1">
      <alignment horizontal="center"/>
    </xf>
    <xf numFmtId="0" fontId="47" fillId="0" borderId="66" xfId="0" applyFont="1" applyBorder="1" applyAlignment="1"/>
    <xf numFmtId="0" fontId="9" fillId="0" borderId="4" xfId="0" applyFont="1" applyBorder="1" applyAlignment="1"/>
    <xf numFmtId="0" fontId="9" fillId="0" borderId="5" xfId="0" applyFont="1" applyBorder="1" applyAlignment="1"/>
    <xf numFmtId="0" fontId="9" fillId="0" borderId="3" xfId="0" applyFont="1" applyBorder="1" applyAlignment="1"/>
    <xf numFmtId="0" fontId="9" fillId="0" borderId="0" xfId="0" applyFont="1" applyAlignment="1">
      <alignment horizontal="center"/>
    </xf>
    <xf numFmtId="0" fontId="9" fillId="0" borderId="8" xfId="0" applyFont="1" applyBorder="1" applyAlignment="1">
      <alignment horizontal="center"/>
    </xf>
    <xf numFmtId="0" fontId="9" fillId="34" borderId="6" xfId="0" applyFont="1" applyFill="1" applyBorder="1" applyAlignment="1"/>
    <xf numFmtId="0" fontId="9" fillId="34" borderId="0" xfId="0" applyFont="1" applyFill="1" applyAlignment="1">
      <alignment horizontal="center"/>
    </xf>
    <xf numFmtId="0" fontId="9" fillId="34" borderId="8" xfId="0" applyFont="1" applyFill="1" applyBorder="1" applyAlignment="1">
      <alignment horizontal="center"/>
    </xf>
    <xf numFmtId="0" fontId="9" fillId="34" borderId="7" xfId="0" applyFont="1" applyFill="1" applyBorder="1" applyAlignment="1">
      <alignment horizontal="center"/>
    </xf>
    <xf numFmtId="0" fontId="9" fillId="34" borderId="8" xfId="0" applyFont="1" applyFill="1" applyBorder="1" applyAlignment="1">
      <alignment horizontal="center"/>
    </xf>
    <xf numFmtId="0" fontId="9" fillId="0" borderId="6" xfId="0" applyFont="1" applyBorder="1" applyAlignment="1"/>
    <xf numFmtId="0" fontId="9" fillId="0" borderId="0" xfId="0" applyFont="1" applyAlignment="1">
      <alignment horizontal="center"/>
    </xf>
    <xf numFmtId="0" fontId="9" fillId="0" borderId="8" xfId="0" applyFont="1" applyBorder="1" applyAlignment="1">
      <alignment horizontal="center"/>
    </xf>
    <xf numFmtId="0" fontId="9" fillId="0" borderId="7" xfId="0" applyFont="1" applyBorder="1" applyAlignment="1">
      <alignment horizontal="center"/>
    </xf>
    <xf numFmtId="0" fontId="9" fillId="0" borderId="0" xfId="0" applyFont="1" applyAlignment="1">
      <alignment horizontal="right"/>
    </xf>
    <xf numFmtId="0" fontId="9" fillId="6" borderId="6" xfId="0" applyFont="1" applyFill="1" applyBorder="1" applyAlignment="1"/>
    <xf numFmtId="0" fontId="9" fillId="6" borderId="0" xfId="0" applyFont="1" applyFill="1" applyAlignment="1">
      <alignment horizontal="center"/>
    </xf>
    <xf numFmtId="0" fontId="9" fillId="6" borderId="8" xfId="0" applyFont="1" applyFill="1" applyBorder="1" applyAlignment="1">
      <alignment horizontal="center"/>
    </xf>
    <xf numFmtId="0" fontId="9" fillId="6" borderId="7" xfId="0" applyFont="1" applyFill="1" applyBorder="1" applyAlignment="1">
      <alignment horizontal="center"/>
    </xf>
    <xf numFmtId="0" fontId="9" fillId="25" borderId="6" xfId="0" applyFont="1" applyFill="1" applyBorder="1" applyAlignment="1"/>
    <xf numFmtId="0" fontId="9" fillId="25" borderId="0" xfId="0" applyFont="1" applyFill="1" applyAlignment="1">
      <alignment horizontal="center"/>
    </xf>
    <xf numFmtId="0" fontId="9" fillId="25" borderId="8" xfId="0" applyFont="1" applyFill="1" applyBorder="1" applyAlignment="1">
      <alignment horizontal="center"/>
    </xf>
    <xf numFmtId="0" fontId="9" fillId="25" borderId="7" xfId="0" applyFont="1" applyFill="1" applyBorder="1" applyAlignment="1">
      <alignment horizontal="center"/>
    </xf>
    <xf numFmtId="0" fontId="9" fillId="24" borderId="65" xfId="0" applyFont="1" applyFill="1" applyBorder="1" applyAlignment="1"/>
    <xf numFmtId="0" fontId="9" fillId="24" borderId="28" xfId="0" applyFont="1" applyFill="1" applyBorder="1" applyAlignment="1">
      <alignment horizontal="center"/>
    </xf>
    <xf numFmtId="0" fontId="9" fillId="24" borderId="29" xfId="0" applyFont="1" applyFill="1" applyBorder="1" applyAlignment="1">
      <alignment horizontal="center"/>
    </xf>
    <xf numFmtId="0" fontId="9" fillId="24" borderId="27" xfId="0" applyFont="1" applyFill="1" applyBorder="1" applyAlignment="1">
      <alignment horizontal="center"/>
    </xf>
    <xf numFmtId="0" fontId="48" fillId="0" borderId="6" xfId="0" applyFont="1" applyBorder="1" applyAlignment="1"/>
    <xf numFmtId="0" fontId="9" fillId="0" borderId="3" xfId="0" applyFont="1" applyBorder="1" applyAlignment="1">
      <alignment horizontal="center"/>
    </xf>
    <xf numFmtId="0" fontId="9" fillId="0" borderId="5" xfId="0" applyFont="1" applyBorder="1" applyAlignment="1">
      <alignment horizontal="center"/>
    </xf>
    <xf numFmtId="0" fontId="9" fillId="0" borderId="6" xfId="0" applyFont="1" applyBorder="1" applyAlignment="1"/>
    <xf numFmtId="0" fontId="9" fillId="6" borderId="6" xfId="0" applyFont="1" applyFill="1" applyBorder="1" applyAlignment="1"/>
    <xf numFmtId="0" fontId="9" fillId="25" borderId="6" xfId="0" applyFont="1" applyFill="1" applyBorder="1" applyAlignment="1"/>
    <xf numFmtId="0" fontId="49" fillId="13" borderId="6" xfId="0" applyFont="1" applyFill="1" applyBorder="1" applyAlignment="1"/>
    <xf numFmtId="0" fontId="9" fillId="13" borderId="0" xfId="0" applyFont="1" applyFill="1" applyAlignment="1">
      <alignment horizontal="center"/>
    </xf>
    <xf numFmtId="0" fontId="9" fillId="13" borderId="8" xfId="0" applyFont="1" applyFill="1" applyBorder="1" applyAlignment="1">
      <alignment horizontal="center"/>
    </xf>
    <xf numFmtId="0" fontId="9" fillId="13" borderId="6" xfId="0" applyFont="1" applyFill="1" applyBorder="1" applyAlignment="1"/>
    <xf numFmtId="0" fontId="9" fillId="13" borderId="0" xfId="0" applyFont="1" applyFill="1" applyAlignment="1">
      <alignment horizontal="center"/>
    </xf>
    <xf numFmtId="0" fontId="9" fillId="13" borderId="8" xfId="0" applyFont="1" applyFill="1" applyBorder="1" applyAlignment="1">
      <alignment horizontal="center"/>
    </xf>
    <xf numFmtId="0" fontId="9" fillId="13" borderId="65" xfId="0" applyFont="1" applyFill="1" applyBorder="1" applyAlignment="1"/>
    <xf numFmtId="0" fontId="9" fillId="13" borderId="28" xfId="0" applyFont="1" applyFill="1" applyBorder="1" applyAlignment="1">
      <alignment horizontal="center"/>
    </xf>
    <xf numFmtId="0" fontId="9" fillId="13" borderId="29" xfId="0" applyFont="1" applyFill="1" applyBorder="1" applyAlignment="1">
      <alignment horizontal="center"/>
    </xf>
    <xf numFmtId="0" fontId="9" fillId="0" borderId="7" xfId="0" applyFont="1" applyBorder="1" applyAlignment="1">
      <alignment horizontal="center"/>
    </xf>
    <xf numFmtId="0" fontId="9" fillId="6" borderId="0" xfId="0" applyFont="1" applyFill="1" applyAlignment="1">
      <alignment horizontal="center"/>
    </xf>
    <xf numFmtId="0" fontId="9" fillId="6" borderId="7" xfId="0" applyFont="1" applyFill="1" applyBorder="1" applyAlignment="1">
      <alignment horizontal="center"/>
    </xf>
    <xf numFmtId="0" fontId="9" fillId="6" borderId="8" xfId="0" applyFont="1" applyFill="1" applyBorder="1" applyAlignment="1">
      <alignment horizontal="center"/>
    </xf>
    <xf numFmtId="0" fontId="9" fillId="25" borderId="0" xfId="0" applyFont="1" applyFill="1" applyAlignment="1">
      <alignment horizontal="center"/>
    </xf>
    <xf numFmtId="0" fontId="9" fillId="25" borderId="7" xfId="0" applyFont="1" applyFill="1" applyBorder="1" applyAlignment="1">
      <alignment horizontal="center"/>
    </xf>
    <xf numFmtId="0" fontId="9" fillId="25" borderId="8" xfId="0" applyFont="1" applyFill="1" applyBorder="1" applyAlignment="1">
      <alignment horizontal="center"/>
    </xf>
    <xf numFmtId="0" fontId="9" fillId="24" borderId="28" xfId="0" applyFont="1" applyFill="1" applyBorder="1" applyAlignment="1">
      <alignment horizontal="center"/>
    </xf>
    <xf numFmtId="0" fontId="9" fillId="24" borderId="27" xfId="0" applyFont="1" applyFill="1" applyBorder="1" applyAlignment="1">
      <alignment horizontal="center"/>
    </xf>
    <xf numFmtId="0" fontId="9" fillId="24" borderId="29" xfId="0" applyFont="1" applyFill="1" applyBorder="1" applyAlignment="1">
      <alignment horizontal="center"/>
    </xf>
    <xf numFmtId="0" fontId="9" fillId="0" borderId="0" xfId="0" applyFont="1" applyAlignment="1"/>
    <xf numFmtId="0" fontId="50" fillId="0" borderId="0" xfId="0" applyFont="1" applyAlignment="1">
      <alignment horizontal="right"/>
    </xf>
    <xf numFmtId="0" fontId="9" fillId="34" borderId="0" xfId="0" applyFont="1" applyFill="1" applyAlignment="1">
      <alignment horizontal="left"/>
    </xf>
    <xf numFmtId="0" fontId="38" fillId="34" borderId="0" xfId="0" applyFont="1" applyFill="1" applyAlignment="1">
      <alignment horizontal="center"/>
    </xf>
    <xf numFmtId="0" fontId="44" fillId="0" borderId="0" xfId="0" applyFont="1" applyAlignment="1">
      <alignment horizontal="left"/>
    </xf>
    <xf numFmtId="0" fontId="44" fillId="0" borderId="0" xfId="0" applyFont="1" applyAlignment="1">
      <alignment horizontal="center"/>
    </xf>
    <xf numFmtId="0" fontId="44" fillId="0" borderId="0" xfId="0" applyFont="1" applyAlignment="1">
      <alignment horizontal="center"/>
    </xf>
    <xf numFmtId="9" fontId="44" fillId="0" borderId="0" xfId="0" applyNumberFormat="1" applyFont="1" applyAlignment="1">
      <alignment horizontal="right"/>
    </xf>
    <xf numFmtId="9" fontId="9" fillId="0" borderId="0" xfId="0" applyNumberFormat="1" applyFont="1" applyAlignment="1"/>
    <xf numFmtId="0" fontId="44" fillId="0" borderId="0" xfId="0" applyFont="1" applyAlignment="1">
      <alignment horizontal="left"/>
    </xf>
    <xf numFmtId="0" fontId="51" fillId="0" borderId="0" xfId="0" applyFont="1" applyAlignment="1">
      <alignment horizontal="center"/>
    </xf>
    <xf numFmtId="0" fontId="38" fillId="0" borderId="0" xfId="0" applyFont="1" applyAlignment="1">
      <alignment horizontal="center"/>
    </xf>
    <xf numFmtId="0" fontId="44" fillId="0" borderId="0" xfId="0" applyFont="1" applyAlignment="1">
      <alignment horizontal="center"/>
    </xf>
    <xf numFmtId="0" fontId="44" fillId="0" borderId="0" xfId="0" applyFont="1" applyAlignment="1">
      <alignment horizontal="left"/>
    </xf>
    <xf numFmtId="0" fontId="38" fillId="0" borderId="0" xfId="0" applyFont="1" applyAlignment="1">
      <alignment horizontal="center"/>
    </xf>
    <xf numFmtId="9" fontId="44" fillId="0" borderId="0" xfId="0" applyNumberFormat="1" applyFont="1" applyAlignment="1"/>
    <xf numFmtId="0" fontId="44" fillId="24" borderId="0" xfId="0" applyFont="1" applyFill="1" applyAlignment="1">
      <alignment horizontal="right"/>
    </xf>
    <xf numFmtId="0" fontId="44" fillId="24" borderId="0" xfId="0" applyFont="1" applyFill="1" applyAlignment="1">
      <alignment horizontal="left"/>
    </xf>
    <xf numFmtId="0" fontId="44" fillId="24" borderId="0" xfId="0" applyFont="1" applyFill="1" applyAlignment="1">
      <alignment horizontal="center"/>
    </xf>
    <xf numFmtId="0" fontId="44" fillId="24" borderId="0" xfId="0" applyFont="1" applyFill="1" applyAlignment="1">
      <alignment horizontal="center"/>
    </xf>
    <xf numFmtId="9" fontId="44" fillId="24" borderId="0" xfId="0" applyNumberFormat="1" applyFont="1" applyFill="1" applyAlignment="1">
      <alignment horizontal="right"/>
    </xf>
    <xf numFmtId="9" fontId="9" fillId="24" borderId="0" xfId="0" applyNumberFormat="1" applyFont="1" applyFill="1" applyAlignment="1"/>
    <xf numFmtId="0" fontId="44" fillId="24" borderId="0" xfId="0" applyFont="1" applyFill="1" applyAlignment="1">
      <alignment horizontal="left"/>
    </xf>
    <xf numFmtId="0" fontId="38" fillId="24" borderId="0" xfId="0" applyFont="1" applyFill="1" applyAlignment="1">
      <alignment horizontal="center"/>
    </xf>
    <xf numFmtId="0" fontId="51" fillId="24" borderId="0" xfId="0" applyFont="1" applyFill="1" applyAlignment="1">
      <alignment horizontal="center"/>
    </xf>
    <xf numFmtId="0" fontId="44" fillId="24" borderId="0" xfId="0" applyFont="1" applyFill="1" applyAlignment="1">
      <alignment horizontal="center"/>
    </xf>
    <xf numFmtId="0" fontId="44" fillId="24" borderId="0" xfId="0" applyFont="1" applyFill="1" applyAlignment="1">
      <alignment horizontal="right"/>
    </xf>
    <xf numFmtId="0" fontId="44" fillId="6" borderId="0" xfId="0" applyFont="1" applyFill="1" applyAlignment="1">
      <alignment horizontal="right"/>
    </xf>
    <xf numFmtId="0" fontId="44" fillId="6" borderId="0" xfId="0" applyFont="1" applyFill="1" applyAlignment="1">
      <alignment horizontal="left"/>
    </xf>
    <xf numFmtId="0" fontId="44" fillId="6" borderId="0" xfId="0" applyFont="1" applyFill="1" applyAlignment="1">
      <alignment horizontal="center"/>
    </xf>
    <xf numFmtId="0" fontId="44" fillId="6" borderId="0" xfId="0" applyFont="1" applyFill="1" applyAlignment="1">
      <alignment horizontal="center"/>
    </xf>
    <xf numFmtId="9" fontId="44" fillId="6" borderId="0" xfId="0" applyNumberFormat="1" applyFont="1" applyFill="1" applyAlignment="1">
      <alignment horizontal="right"/>
    </xf>
    <xf numFmtId="9" fontId="9" fillId="37" borderId="0" xfId="0" applyNumberFormat="1" applyFont="1" applyFill="1" applyAlignment="1"/>
    <xf numFmtId="0" fontId="44" fillId="37" borderId="0" xfId="0" applyFont="1" applyFill="1" applyAlignment="1">
      <alignment horizontal="center"/>
    </xf>
    <xf numFmtId="0" fontId="44" fillId="37" borderId="0" xfId="0" applyFont="1" applyFill="1" applyAlignment="1">
      <alignment horizontal="left"/>
    </xf>
    <xf numFmtId="0" fontId="38" fillId="6" borderId="0" xfId="0" applyFont="1" applyFill="1" applyAlignment="1">
      <alignment horizontal="center"/>
    </xf>
    <xf numFmtId="0" fontId="44" fillId="6" borderId="0" xfId="0" applyFont="1" applyFill="1" applyAlignment="1">
      <alignment horizontal="left"/>
    </xf>
    <xf numFmtId="0" fontId="44" fillId="6" borderId="0" xfId="0" applyFont="1" applyFill="1" applyAlignment="1">
      <alignment horizontal="center"/>
    </xf>
    <xf numFmtId="0" fontId="44" fillId="37" borderId="0" xfId="0" applyFont="1" applyFill="1" applyAlignment="1">
      <alignment horizontal="center"/>
    </xf>
    <xf numFmtId="0" fontId="44" fillId="37" borderId="0" xfId="0" applyFont="1" applyFill="1" applyAlignment="1">
      <alignment horizontal="left"/>
    </xf>
    <xf numFmtId="0" fontId="38" fillId="6" borderId="0" xfId="0" applyFont="1" applyFill="1" applyAlignment="1">
      <alignment horizontal="center"/>
    </xf>
    <xf numFmtId="0" fontId="51" fillId="6" borderId="0" xfId="0" applyFont="1" applyFill="1" applyAlignment="1">
      <alignment horizontal="center"/>
    </xf>
    <xf numFmtId="0" fontId="9" fillId="0" borderId="0" xfId="0" applyFont="1" applyAlignment="1">
      <alignment horizontal="left"/>
    </xf>
    <xf numFmtId="0" fontId="9" fillId="0" borderId="0" xfId="0" applyFont="1" applyAlignment="1">
      <alignment horizontal="center"/>
    </xf>
    <xf numFmtId="0" fontId="38" fillId="0" borderId="0" xfId="0" applyFont="1" applyAlignment="1">
      <alignment horizontal="right"/>
    </xf>
    <xf numFmtId="9" fontId="9" fillId="0" borderId="0" xfId="0" applyNumberFormat="1" applyFont="1" applyAlignment="1">
      <alignment horizontal="right"/>
    </xf>
    <xf numFmtId="0" fontId="9" fillId="0" borderId="0" xfId="0" applyFont="1" applyAlignment="1">
      <alignment horizontal="left"/>
    </xf>
    <xf numFmtId="0" fontId="38" fillId="0" borderId="0" xfId="0" applyFont="1" applyAlignment="1">
      <alignment horizontal="right"/>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center"/>
    </xf>
    <xf numFmtId="0" fontId="9" fillId="0" borderId="0" xfId="0" applyFont="1" applyAlignment="1">
      <alignment horizontal="center"/>
    </xf>
    <xf numFmtId="0" fontId="9" fillId="0" borderId="0" xfId="0" applyFont="1" applyAlignment="1">
      <alignment horizontal="center"/>
    </xf>
    <xf numFmtId="0" fontId="9" fillId="0" borderId="0" xfId="0" applyFont="1" applyAlignment="1">
      <alignment horizontal="center"/>
    </xf>
    <xf numFmtId="0" fontId="38" fillId="0" borderId="0" xfId="0" applyFont="1" applyAlignment="1">
      <alignment horizontal="center"/>
    </xf>
    <xf numFmtId="0" fontId="9" fillId="0" borderId="0" xfId="0" applyFont="1" applyAlignment="1">
      <alignment horizontal="right"/>
    </xf>
    <xf numFmtId="0" fontId="46" fillId="0" borderId="0" xfId="0" applyFont="1" applyAlignment="1">
      <alignment horizontal="center"/>
    </xf>
    <xf numFmtId="0" fontId="52" fillId="36" borderId="64" xfId="0" applyFont="1" applyFill="1" applyBorder="1" applyAlignment="1">
      <alignment horizontal="center"/>
    </xf>
    <xf numFmtId="0" fontId="9" fillId="0" borderId="6" xfId="0" applyFont="1" applyBorder="1" applyAlignment="1">
      <alignment horizontal="left"/>
    </xf>
    <xf numFmtId="0" fontId="9" fillId="6" borderId="6" xfId="0" applyFont="1" applyFill="1" applyBorder="1" applyAlignment="1">
      <alignment horizontal="left"/>
    </xf>
    <xf numFmtId="0" fontId="9" fillId="6" borderId="0" xfId="0" applyFont="1" applyFill="1" applyAlignment="1">
      <alignment horizontal="center"/>
    </xf>
    <xf numFmtId="0" fontId="9" fillId="25" borderId="6" xfId="0" applyFont="1" applyFill="1" applyBorder="1" applyAlignment="1">
      <alignment horizontal="left"/>
    </xf>
    <xf numFmtId="0" fontId="9" fillId="24" borderId="65" xfId="0" applyFont="1" applyFill="1" applyBorder="1" applyAlignment="1">
      <alignment horizontal="left"/>
    </xf>
    <xf numFmtId="0" fontId="9" fillId="24" borderId="0" xfId="0" applyFont="1" applyFill="1" applyAlignment="1">
      <alignment horizontal="center"/>
    </xf>
    <xf numFmtId="0" fontId="9" fillId="24" borderId="0" xfId="0" applyFont="1" applyFill="1" applyAlignment="1">
      <alignment horizontal="center"/>
    </xf>
    <xf numFmtId="0" fontId="9" fillId="0" borderId="0" xfId="0" applyFont="1" applyAlignment="1">
      <alignment horizontal="left"/>
    </xf>
    <xf numFmtId="0" fontId="9" fillId="25" borderId="0" xfId="0" applyFont="1" applyFill="1" applyAlignment="1">
      <alignment horizontal="right"/>
    </xf>
    <xf numFmtId="0" fontId="9" fillId="25" borderId="0" xfId="0" applyFont="1" applyFill="1" applyAlignment="1">
      <alignment horizontal="left"/>
    </xf>
    <xf numFmtId="0" fontId="9" fillId="25" borderId="0" xfId="0" applyFont="1" applyFill="1" applyAlignment="1">
      <alignment horizontal="center"/>
    </xf>
    <xf numFmtId="0" fontId="38" fillId="25" borderId="0" xfId="0" applyFont="1" applyFill="1" applyAlignment="1">
      <alignment horizontal="right"/>
    </xf>
    <xf numFmtId="9" fontId="9" fillId="25" borderId="0" xfId="0" applyNumberFormat="1" applyFont="1" applyFill="1" applyAlignment="1">
      <alignment horizontal="right"/>
    </xf>
    <xf numFmtId="0" fontId="9" fillId="25" borderId="0" xfId="0" applyFont="1" applyFill="1" applyAlignment="1">
      <alignment horizontal="left"/>
    </xf>
    <xf numFmtId="0" fontId="38" fillId="25" borderId="0" xfId="0" applyFont="1" applyFill="1" applyAlignment="1">
      <alignment horizontal="center"/>
    </xf>
    <xf numFmtId="0" fontId="38" fillId="25" borderId="0" xfId="0" applyFont="1" applyFill="1" applyAlignment="1">
      <alignment horizontal="right"/>
    </xf>
    <xf numFmtId="0" fontId="9" fillId="25" borderId="0" xfId="0" applyFont="1" applyFill="1" applyAlignment="1">
      <alignment horizontal="center"/>
    </xf>
    <xf numFmtId="0" fontId="9" fillId="25" borderId="0" xfId="0" applyFont="1" applyFill="1" applyAlignment="1">
      <alignment horizontal="right"/>
    </xf>
    <xf numFmtId="0" fontId="9" fillId="25" borderId="0" xfId="0" applyFont="1" applyFill="1" applyAlignment="1">
      <alignment horizontal="right"/>
    </xf>
    <xf numFmtId="0" fontId="9" fillId="25" borderId="0" xfId="0" applyFont="1" applyFill="1" applyAlignment="1">
      <alignment horizontal="left"/>
    </xf>
    <xf numFmtId="0" fontId="9" fillId="25" borderId="0" xfId="0" applyFont="1" applyFill="1" applyAlignment="1">
      <alignment horizontal="left"/>
    </xf>
    <xf numFmtId="0" fontId="9" fillId="24" borderId="0" xfId="0" applyFont="1" applyFill="1" applyAlignment="1">
      <alignment horizontal="right"/>
    </xf>
    <xf numFmtId="0" fontId="9" fillId="24" borderId="0" xfId="0" applyFont="1" applyFill="1" applyAlignment="1">
      <alignment horizontal="left"/>
    </xf>
    <xf numFmtId="0" fontId="9" fillId="24" borderId="0" xfId="0" applyFont="1" applyFill="1" applyAlignment="1">
      <alignment horizontal="center"/>
    </xf>
    <xf numFmtId="0" fontId="38" fillId="24" borderId="0" xfId="0" applyFont="1" applyFill="1" applyAlignment="1">
      <alignment horizontal="right"/>
    </xf>
    <xf numFmtId="9" fontId="9" fillId="24" borderId="0" xfId="0" applyNumberFormat="1" applyFont="1" applyFill="1" applyAlignment="1">
      <alignment horizontal="right"/>
    </xf>
    <xf numFmtId="0" fontId="9" fillId="24" borderId="0" xfId="0" applyFont="1" applyFill="1" applyAlignment="1">
      <alignment horizontal="center"/>
    </xf>
    <xf numFmtId="0" fontId="9" fillId="24" borderId="0" xfId="0" applyFont="1" applyFill="1" applyAlignment="1">
      <alignment horizontal="left"/>
    </xf>
    <xf numFmtId="0" fontId="38" fillId="24" borderId="0" xfId="0" applyFont="1" applyFill="1" applyAlignment="1">
      <alignment horizontal="center"/>
    </xf>
    <xf numFmtId="0" fontId="9" fillId="24" borderId="0" xfId="0" applyFont="1" applyFill="1" applyAlignment="1">
      <alignment horizontal="center"/>
    </xf>
    <xf numFmtId="0" fontId="9" fillId="24" borderId="0" xfId="0" applyFont="1" applyFill="1" applyAlignment="1">
      <alignment horizontal="right"/>
    </xf>
    <xf numFmtId="0" fontId="38" fillId="24" borderId="0" xfId="0" applyFont="1" applyFill="1" applyAlignment="1">
      <alignment horizontal="right"/>
    </xf>
    <xf numFmtId="0" fontId="43" fillId="0" borderId="0" xfId="0" applyFont="1" applyAlignment="1">
      <alignment horizontal="right"/>
    </xf>
    <xf numFmtId="0" fontId="9" fillId="24" borderId="0" xfId="0" applyFont="1" applyFill="1" applyAlignment="1">
      <alignment horizontal="right"/>
    </xf>
    <xf numFmtId="0" fontId="50" fillId="0" borderId="0" xfId="0" applyFont="1" applyAlignment="1">
      <alignment horizontal="right"/>
    </xf>
    <xf numFmtId="0" fontId="9" fillId="6" borderId="0" xfId="0" applyFont="1" applyFill="1" applyAlignment="1">
      <alignment horizontal="right"/>
    </xf>
    <xf numFmtId="0" fontId="9" fillId="6" borderId="0" xfId="0" applyFont="1" applyFill="1" applyAlignment="1">
      <alignment horizontal="left"/>
    </xf>
    <xf numFmtId="0" fontId="9" fillId="6" borderId="0" xfId="0" applyFont="1" applyFill="1" applyAlignment="1">
      <alignment horizontal="center"/>
    </xf>
    <xf numFmtId="0" fontId="38" fillId="6" borderId="0" xfId="0" applyFont="1" applyFill="1" applyAlignment="1">
      <alignment horizontal="right"/>
    </xf>
    <xf numFmtId="9" fontId="9" fillId="6" borderId="0" xfId="0" applyNumberFormat="1" applyFont="1" applyFill="1" applyAlignment="1">
      <alignment horizontal="right"/>
    </xf>
    <xf numFmtId="0" fontId="9" fillId="6" borderId="0" xfId="0" applyFont="1" applyFill="1" applyAlignment="1">
      <alignment horizontal="left"/>
    </xf>
    <xf numFmtId="0" fontId="38" fillId="6" borderId="0" xfId="0" applyFont="1" applyFill="1" applyAlignment="1">
      <alignment horizontal="right"/>
    </xf>
    <xf numFmtId="0" fontId="9" fillId="6" borderId="0" xfId="0" applyFont="1" applyFill="1" applyAlignment="1">
      <alignment horizontal="center"/>
    </xf>
    <xf numFmtId="0" fontId="9" fillId="6" borderId="0" xfId="0" applyFont="1" applyFill="1" applyAlignment="1">
      <alignment horizontal="right"/>
    </xf>
    <xf numFmtId="0" fontId="38" fillId="37" borderId="0" xfId="0" applyFont="1" applyFill="1" applyAlignment="1">
      <alignment horizontal="right"/>
    </xf>
    <xf numFmtId="9" fontId="9" fillId="37" borderId="0" xfId="0" applyNumberFormat="1" applyFont="1" applyFill="1" applyAlignment="1">
      <alignment horizontal="right"/>
    </xf>
    <xf numFmtId="0" fontId="9" fillId="37" borderId="0" xfId="0" applyFont="1" applyFill="1" applyAlignment="1">
      <alignment horizontal="center"/>
    </xf>
    <xf numFmtId="0" fontId="9" fillId="37" borderId="0" xfId="0" applyFont="1" applyFill="1" applyAlignment="1">
      <alignment horizontal="left"/>
    </xf>
    <xf numFmtId="0" fontId="9" fillId="6" borderId="0" xfId="0" applyFont="1" applyFill="1" applyAlignment="1">
      <alignment horizontal="right"/>
    </xf>
    <xf numFmtId="0" fontId="9" fillId="6" borderId="0" xfId="0" applyFont="1" applyFill="1" applyAlignment="1">
      <alignment horizontal="left"/>
    </xf>
    <xf numFmtId="0" fontId="9" fillId="6" borderId="0" xfId="0" applyFont="1" applyFill="1" applyAlignment="1">
      <alignment horizontal="right"/>
    </xf>
    <xf numFmtId="0" fontId="9" fillId="6" borderId="0" xfId="0" applyFont="1" applyFill="1" applyAlignment="1">
      <alignment horizontal="left"/>
    </xf>
    <xf numFmtId="0" fontId="38" fillId="6" borderId="0" xfId="0" applyFont="1" applyFill="1" applyAlignment="1">
      <alignment horizontal="center"/>
    </xf>
    <xf numFmtId="0" fontId="9" fillId="6" borderId="0" xfId="0" applyFont="1" applyFill="1" applyAlignment="1">
      <alignment horizontal="left"/>
    </xf>
    <xf numFmtId="0" fontId="42" fillId="0" borderId="0" xfId="0" applyFont="1" applyAlignment="1">
      <alignment horizontal="left"/>
    </xf>
    <xf numFmtId="0" fontId="42" fillId="0" borderId="0" xfId="0" applyFont="1" applyAlignment="1">
      <alignment horizontal="center"/>
    </xf>
    <xf numFmtId="0" fontId="53" fillId="0" borderId="0" xfId="0" applyFont="1" applyAlignment="1">
      <alignment horizontal="right"/>
    </xf>
    <xf numFmtId="9" fontId="42" fillId="0" borderId="0" xfId="0" applyNumberFormat="1" applyFont="1" applyAlignment="1">
      <alignment horizontal="right"/>
    </xf>
    <xf numFmtId="0" fontId="42" fillId="0" borderId="0" xfId="0" applyFont="1" applyAlignment="1">
      <alignment horizontal="center"/>
    </xf>
    <xf numFmtId="0" fontId="42" fillId="0" borderId="0" xfId="0" applyFont="1" applyAlignment="1">
      <alignment horizontal="left"/>
    </xf>
    <xf numFmtId="0" fontId="53" fillId="0" borderId="0" xfId="0" applyFont="1" applyAlignment="1">
      <alignment horizontal="center"/>
    </xf>
    <xf numFmtId="0" fontId="42" fillId="0" borderId="0" xfId="0" applyFont="1" applyAlignment="1">
      <alignment horizontal="left"/>
    </xf>
    <xf numFmtId="0" fontId="42" fillId="0" borderId="0" xfId="0" applyFont="1" applyAlignment="1">
      <alignment horizontal="center"/>
    </xf>
    <xf numFmtId="0" fontId="53" fillId="0" borderId="0" xfId="0" applyFont="1" applyAlignment="1">
      <alignment horizontal="right"/>
    </xf>
    <xf numFmtId="0" fontId="42" fillId="0" borderId="0" xfId="0" applyFont="1" applyAlignment="1">
      <alignment horizontal="center"/>
    </xf>
    <xf numFmtId="0" fontId="42" fillId="0" borderId="0" xfId="0" applyFont="1" applyAlignment="1">
      <alignment horizontal="left"/>
    </xf>
    <xf numFmtId="0" fontId="53" fillId="0" borderId="0" xfId="0" applyFont="1" applyAlignment="1">
      <alignment horizontal="center"/>
    </xf>
    <xf numFmtId="0" fontId="42" fillId="0" borderId="0" xfId="0" applyFont="1" applyAlignment="1">
      <alignment horizontal="left"/>
    </xf>
    <xf numFmtId="0" fontId="42" fillId="0" borderId="0" xfId="0" applyFont="1" applyAlignment="1">
      <alignment horizontal="center"/>
    </xf>
    <xf numFmtId="0" fontId="42" fillId="0" borderId="0" xfId="0" applyFont="1" applyAlignment="1">
      <alignment horizontal="right"/>
    </xf>
    <xf numFmtId="0" fontId="42" fillId="25" borderId="0" xfId="0" applyFont="1" applyFill="1" applyAlignment="1">
      <alignment horizontal="right"/>
    </xf>
    <xf numFmtId="0" fontId="42" fillId="25" borderId="0" xfId="0" applyFont="1" applyFill="1" applyAlignment="1">
      <alignment horizontal="left"/>
    </xf>
    <xf numFmtId="0" fontId="42" fillId="25" borderId="0" xfId="0" applyFont="1" applyFill="1" applyAlignment="1">
      <alignment horizontal="center"/>
    </xf>
    <xf numFmtId="0" fontId="53" fillId="25" borderId="0" xfId="0" applyFont="1" applyFill="1" applyAlignment="1">
      <alignment horizontal="right"/>
    </xf>
    <xf numFmtId="0" fontId="53" fillId="25" borderId="0" xfId="0" applyFont="1" applyFill="1" applyAlignment="1">
      <alignment horizontal="right"/>
    </xf>
    <xf numFmtId="9" fontId="42" fillId="25" borderId="0" xfId="0" applyNumberFormat="1" applyFont="1" applyFill="1" applyAlignment="1">
      <alignment horizontal="right"/>
    </xf>
    <xf numFmtId="0" fontId="42" fillId="25" borderId="0" xfId="0" applyFont="1" applyFill="1" applyAlignment="1">
      <alignment horizontal="center"/>
    </xf>
    <xf numFmtId="0" fontId="42" fillId="25" borderId="0" xfId="0" applyFont="1" applyFill="1" applyAlignment="1">
      <alignment horizontal="center"/>
    </xf>
    <xf numFmtId="0" fontId="42" fillId="25" borderId="0" xfId="0" applyFont="1" applyFill="1" applyAlignment="1">
      <alignment horizontal="left"/>
    </xf>
    <xf numFmtId="0" fontId="53" fillId="25" borderId="0" xfId="0" applyFont="1" applyFill="1" applyAlignment="1">
      <alignment horizontal="center"/>
    </xf>
    <xf numFmtId="0" fontId="42" fillId="25" borderId="0" xfId="0" applyFont="1" applyFill="1" applyAlignment="1">
      <alignment horizontal="left"/>
    </xf>
    <xf numFmtId="0" fontId="53" fillId="25" borderId="0" xfId="0" applyFont="1" applyFill="1" applyAlignment="1">
      <alignment horizontal="center"/>
    </xf>
    <xf numFmtId="0" fontId="42" fillId="25" borderId="0" xfId="0" applyFont="1" applyFill="1" applyAlignment="1">
      <alignment horizontal="left"/>
    </xf>
    <xf numFmtId="0" fontId="42" fillId="25" borderId="0" xfId="0" applyFont="1" applyFill="1" applyAlignment="1">
      <alignment horizontal="center"/>
    </xf>
    <xf numFmtId="0" fontId="42" fillId="25" borderId="0" xfId="0" applyFont="1" applyFill="1" applyAlignment="1">
      <alignment horizontal="right"/>
    </xf>
    <xf numFmtId="0" fontId="42" fillId="25" borderId="0" xfId="0" applyFont="1" applyFill="1" applyAlignment="1">
      <alignment horizontal="left"/>
    </xf>
    <xf numFmtId="0" fontId="38" fillId="25" borderId="0" xfId="0" applyFont="1" applyFill="1" applyAlignment="1">
      <alignment horizontal="center"/>
    </xf>
    <xf numFmtId="0" fontId="42" fillId="24" borderId="0" xfId="0" applyFont="1" applyFill="1" applyAlignment="1">
      <alignment horizontal="right"/>
    </xf>
    <xf numFmtId="0" fontId="42" fillId="24" borderId="0" xfId="0" applyFont="1" applyFill="1" applyAlignment="1">
      <alignment horizontal="left"/>
    </xf>
    <xf numFmtId="0" fontId="42" fillId="24" borderId="0" xfId="0" applyFont="1" applyFill="1" applyAlignment="1">
      <alignment horizontal="center"/>
    </xf>
    <xf numFmtId="0" fontId="53" fillId="24" borderId="0" xfId="0" applyFont="1" applyFill="1" applyAlignment="1">
      <alignment horizontal="right"/>
    </xf>
    <xf numFmtId="9" fontId="42" fillId="24" borderId="0" xfId="0" applyNumberFormat="1" applyFont="1" applyFill="1" applyAlignment="1">
      <alignment horizontal="right"/>
    </xf>
    <xf numFmtId="0" fontId="42" fillId="24" borderId="0" xfId="0" applyFont="1" applyFill="1" applyAlignment="1">
      <alignment horizontal="center"/>
    </xf>
    <xf numFmtId="0" fontId="42" fillId="24" borderId="0" xfId="0" applyFont="1" applyFill="1" applyAlignment="1">
      <alignment horizontal="left"/>
    </xf>
    <xf numFmtId="0" fontId="53" fillId="24" borderId="0" xfId="0" applyFont="1" applyFill="1" applyAlignment="1">
      <alignment horizontal="center"/>
    </xf>
    <xf numFmtId="0" fontId="42" fillId="24" borderId="0" xfId="0" applyFont="1" applyFill="1" applyAlignment="1">
      <alignment horizontal="center"/>
    </xf>
    <xf numFmtId="0" fontId="42" fillId="24" borderId="0" xfId="0" applyFont="1" applyFill="1" applyAlignment="1">
      <alignment horizontal="right"/>
    </xf>
    <xf numFmtId="0" fontId="42" fillId="24" borderId="0" xfId="0" applyFont="1" applyFill="1" applyAlignment="1">
      <alignment horizontal="right"/>
    </xf>
    <xf numFmtId="0" fontId="53" fillId="24" borderId="0" xfId="0" applyFont="1" applyFill="1" applyAlignment="1">
      <alignment horizontal="right"/>
    </xf>
    <xf numFmtId="0" fontId="42" fillId="24" borderId="0" xfId="0" applyFont="1" applyFill="1" applyAlignment="1">
      <alignment horizontal="center"/>
    </xf>
    <xf numFmtId="0" fontId="42" fillId="24" borderId="0" xfId="0" applyFont="1" applyFill="1" applyAlignment="1">
      <alignment horizontal="right"/>
    </xf>
    <xf numFmtId="0" fontId="42" fillId="6" borderId="0" xfId="0" applyFont="1" applyFill="1" applyAlignment="1">
      <alignment horizontal="right"/>
    </xf>
    <xf numFmtId="0" fontId="42" fillId="6" borderId="0" xfId="0" applyFont="1" applyFill="1" applyAlignment="1">
      <alignment horizontal="left"/>
    </xf>
    <xf numFmtId="0" fontId="42" fillId="6" borderId="0" xfId="0" applyFont="1" applyFill="1" applyAlignment="1">
      <alignment horizontal="center"/>
    </xf>
    <xf numFmtId="0" fontId="53" fillId="6" borderId="0" xfId="0" applyFont="1" applyFill="1" applyAlignment="1">
      <alignment horizontal="right"/>
    </xf>
    <xf numFmtId="9" fontId="42" fillId="6" borderId="0" xfId="0" applyNumberFormat="1" applyFont="1" applyFill="1" applyAlignment="1">
      <alignment horizontal="right"/>
    </xf>
    <xf numFmtId="0" fontId="42" fillId="6" borderId="0" xfId="0" applyFont="1" applyFill="1" applyAlignment="1">
      <alignment horizontal="center"/>
    </xf>
    <xf numFmtId="0" fontId="42" fillId="6" borderId="0" xfId="0" applyFont="1" applyFill="1" applyAlignment="1">
      <alignment horizontal="left"/>
    </xf>
    <xf numFmtId="0" fontId="53" fillId="6" borderId="0" xfId="0" applyFont="1" applyFill="1" applyAlignment="1">
      <alignment horizontal="center"/>
    </xf>
    <xf numFmtId="0" fontId="53" fillId="37" borderId="0" xfId="0" applyFont="1" applyFill="1" applyAlignment="1">
      <alignment horizontal="right"/>
    </xf>
    <xf numFmtId="9" fontId="42" fillId="37" borderId="0" xfId="0" applyNumberFormat="1" applyFont="1" applyFill="1" applyAlignment="1">
      <alignment horizontal="right"/>
    </xf>
    <xf numFmtId="0" fontId="42" fillId="37" borderId="0" xfId="0" applyFont="1" applyFill="1" applyAlignment="1">
      <alignment horizontal="center"/>
    </xf>
    <xf numFmtId="0" fontId="42" fillId="37" borderId="0" xfId="0" applyFont="1" applyFill="1" applyAlignment="1">
      <alignment horizontal="left"/>
    </xf>
    <xf numFmtId="0" fontId="53" fillId="6" borderId="0" xfId="0" applyFont="1" applyFill="1" applyAlignment="1">
      <alignment horizontal="right"/>
    </xf>
    <xf numFmtId="0" fontId="42" fillId="6" borderId="0" xfId="0" applyFont="1" applyFill="1" applyAlignment="1">
      <alignment horizontal="center"/>
    </xf>
    <xf numFmtId="0" fontId="42" fillId="6" borderId="0" xfId="0" applyFont="1" applyFill="1" applyAlignment="1">
      <alignment horizontal="right"/>
    </xf>
    <xf numFmtId="0" fontId="42" fillId="6" borderId="0" xfId="0" applyFont="1" applyFill="1" applyAlignment="1">
      <alignment horizontal="left"/>
    </xf>
    <xf numFmtId="0" fontId="42" fillId="6" borderId="0" xfId="0" applyFont="1" applyFill="1" applyAlignment="1">
      <alignment horizontal="center"/>
    </xf>
    <xf numFmtId="0" fontId="53" fillId="37" borderId="0" xfId="0" applyFont="1" applyFill="1" applyAlignment="1">
      <alignment horizontal="right"/>
    </xf>
    <xf numFmtId="0" fontId="42" fillId="37" borderId="0" xfId="0" applyFont="1" applyFill="1" applyAlignment="1">
      <alignment horizontal="center"/>
    </xf>
    <xf numFmtId="0" fontId="42" fillId="37" borderId="0" xfId="0" applyFont="1" applyFill="1" applyAlignment="1">
      <alignment horizontal="left"/>
    </xf>
    <xf numFmtId="0" fontId="53" fillId="6" borderId="0" xfId="0" applyFont="1" applyFill="1" applyAlignment="1">
      <alignment horizontal="center"/>
    </xf>
    <xf numFmtId="0" fontId="42" fillId="0" borderId="0" xfId="0" applyFont="1" applyAlignment="1">
      <alignment horizontal="right"/>
    </xf>
    <xf numFmtId="0" fontId="54" fillId="0" borderId="0" xfId="0" applyFont="1" applyAlignment="1">
      <alignment horizontal="right"/>
    </xf>
    <xf numFmtId="0" fontId="54" fillId="0" borderId="0" xfId="0" applyFont="1" applyAlignment="1">
      <alignment horizontal="left"/>
    </xf>
    <xf numFmtId="0" fontId="54" fillId="0" borderId="0" xfId="0" applyFont="1" applyAlignment="1">
      <alignment horizontal="center"/>
    </xf>
    <xf numFmtId="9" fontId="54" fillId="0" borderId="0" xfId="0" applyNumberFormat="1" applyFont="1" applyAlignment="1">
      <alignment horizontal="center"/>
    </xf>
    <xf numFmtId="9" fontId="54" fillId="0" borderId="0" xfId="0" applyNumberFormat="1" applyFont="1" applyAlignment="1"/>
    <xf numFmtId="0" fontId="54" fillId="0" borderId="0" xfId="0" applyFont="1"/>
    <xf numFmtId="0" fontId="38" fillId="0" borderId="0" xfId="0" applyFont="1"/>
    <xf numFmtId="0" fontId="2" fillId="0" borderId="0" xfId="0" applyFont="1" applyAlignment="1">
      <alignment horizontal="center"/>
    </xf>
    <xf numFmtId="0" fontId="54" fillId="0" borderId="0" xfId="0" applyFont="1" applyAlignment="1"/>
    <xf numFmtId="0" fontId="54" fillId="0" borderId="0" xfId="0" applyFont="1" applyAlignment="1">
      <alignment horizontal="center"/>
    </xf>
    <xf numFmtId="0" fontId="54" fillId="0" borderId="0" xfId="0" applyFont="1" applyAlignment="1">
      <alignment horizontal="left"/>
    </xf>
    <xf numFmtId="0" fontId="38" fillId="0" borderId="0" xfId="0" applyFont="1" applyAlignment="1"/>
    <xf numFmtId="0" fontId="54" fillId="25" borderId="0" xfId="0" applyFont="1" applyFill="1" applyAlignment="1">
      <alignment horizontal="right"/>
    </xf>
    <xf numFmtId="0" fontId="54" fillId="25" borderId="0" xfId="0" applyFont="1" applyFill="1" applyAlignment="1">
      <alignment horizontal="left"/>
    </xf>
    <xf numFmtId="0" fontId="54" fillId="25" borderId="0" xfId="0" applyFont="1" applyFill="1" applyAlignment="1">
      <alignment horizontal="center"/>
    </xf>
    <xf numFmtId="9" fontId="54" fillId="25" borderId="0" xfId="0" applyNumberFormat="1" applyFont="1" applyFill="1" applyAlignment="1">
      <alignment horizontal="center"/>
    </xf>
    <xf numFmtId="9" fontId="54" fillId="25" borderId="0" xfId="0" applyNumberFormat="1" applyFont="1" applyFill="1" applyAlignment="1"/>
    <xf numFmtId="0" fontId="54" fillId="25" borderId="0" xfId="0" applyFont="1" applyFill="1" applyAlignment="1"/>
    <xf numFmtId="0" fontId="54" fillId="24" borderId="0" xfId="0" applyFont="1" applyFill="1" applyAlignment="1">
      <alignment horizontal="right"/>
    </xf>
    <xf numFmtId="0" fontId="54" fillId="24" borderId="0" xfId="0" applyFont="1" applyFill="1" applyAlignment="1">
      <alignment horizontal="left"/>
    </xf>
    <xf numFmtId="0" fontId="54" fillId="24" borderId="0" xfId="0" applyFont="1" applyFill="1" applyAlignment="1">
      <alignment horizontal="center"/>
    </xf>
    <xf numFmtId="9" fontId="54" fillId="24" borderId="0" xfId="0" applyNumberFormat="1" applyFont="1" applyFill="1" applyAlignment="1">
      <alignment horizontal="center"/>
    </xf>
    <xf numFmtId="9" fontId="54" fillId="24" borderId="0" xfId="0" applyNumberFormat="1" applyFont="1" applyFill="1" applyAlignment="1"/>
    <xf numFmtId="0" fontId="54" fillId="24" borderId="0" xfId="0" applyFont="1" applyFill="1" applyAlignment="1"/>
    <xf numFmtId="0" fontId="54" fillId="24" borderId="0" xfId="0" applyFont="1" applyFill="1" applyAlignment="1">
      <alignment horizontal="center"/>
    </xf>
    <xf numFmtId="0" fontId="54" fillId="6" borderId="0" xfId="0" applyFont="1" applyFill="1" applyAlignment="1">
      <alignment horizontal="right"/>
    </xf>
    <xf numFmtId="0" fontId="54" fillId="6" borderId="0" xfId="0" applyFont="1" applyFill="1" applyAlignment="1">
      <alignment horizontal="left"/>
    </xf>
    <xf numFmtId="0" fontId="54" fillId="6" borderId="0" xfId="0" applyFont="1" applyFill="1" applyAlignment="1">
      <alignment horizontal="center"/>
    </xf>
    <xf numFmtId="9" fontId="54" fillId="6" borderId="0" xfId="0" applyNumberFormat="1" applyFont="1" applyFill="1" applyAlignment="1">
      <alignment horizontal="center"/>
    </xf>
    <xf numFmtId="9" fontId="54" fillId="6" borderId="0" xfId="0" applyNumberFormat="1" applyFont="1" applyFill="1" applyAlignment="1"/>
    <xf numFmtId="0" fontId="54" fillId="6" borderId="0" xfId="0" applyFont="1" applyFill="1" applyAlignment="1"/>
    <xf numFmtId="0" fontId="54" fillId="6" borderId="0" xfId="0" applyFont="1" applyFill="1" applyAlignment="1">
      <alignment horizontal="center"/>
    </xf>
    <xf numFmtId="0" fontId="50" fillId="0" borderId="0" xfId="0" applyFont="1" applyAlignment="1">
      <alignment horizontal="left"/>
    </xf>
    <xf numFmtId="0" fontId="50" fillId="0" borderId="0" xfId="0" applyFont="1" applyAlignment="1">
      <alignment horizontal="center"/>
    </xf>
    <xf numFmtId="0" fontId="50" fillId="0" borderId="0" xfId="0" applyFont="1" applyAlignment="1">
      <alignment horizontal="center"/>
    </xf>
    <xf numFmtId="9" fontId="50" fillId="0" borderId="0" xfId="0" applyNumberFormat="1" applyFont="1" applyAlignment="1">
      <alignment horizontal="right"/>
    </xf>
    <xf numFmtId="0" fontId="50" fillId="0" borderId="0" xfId="0" applyFont="1" applyAlignment="1">
      <alignment horizontal="left"/>
    </xf>
    <xf numFmtId="0" fontId="55" fillId="0" borderId="0" xfId="0" applyFont="1" applyAlignment="1">
      <alignment horizontal="center"/>
    </xf>
    <xf numFmtId="0" fontId="50" fillId="0" borderId="0" xfId="0" applyFont="1" applyAlignment="1">
      <alignment horizontal="center"/>
    </xf>
    <xf numFmtId="0" fontId="50" fillId="0" borderId="0" xfId="0" applyFont="1" applyAlignment="1">
      <alignment horizontal="right"/>
    </xf>
    <xf numFmtId="0" fontId="50" fillId="0" borderId="0" xfId="0" applyFont="1" applyAlignment="1">
      <alignment horizontal="left"/>
    </xf>
    <xf numFmtId="0" fontId="50" fillId="0" borderId="0" xfId="0" applyFont="1" applyAlignment="1">
      <alignment horizontal="center"/>
    </xf>
    <xf numFmtId="0" fontId="50" fillId="0" borderId="0" xfId="0" applyFont="1" applyAlignment="1">
      <alignment horizontal="center"/>
    </xf>
    <xf numFmtId="0" fontId="50" fillId="0" borderId="0" xfId="0" applyFont="1" applyAlignment="1">
      <alignment horizontal="left"/>
    </xf>
    <xf numFmtId="0" fontId="55" fillId="0" borderId="0" xfId="0" applyFont="1" applyAlignment="1">
      <alignment horizontal="center"/>
    </xf>
    <xf numFmtId="0" fontId="55" fillId="0" borderId="0" xfId="0" applyFont="1" applyAlignment="1">
      <alignment horizontal="center"/>
    </xf>
    <xf numFmtId="0" fontId="50" fillId="25" borderId="0" xfId="0" applyFont="1" applyFill="1" applyAlignment="1">
      <alignment horizontal="right"/>
    </xf>
    <xf numFmtId="0" fontId="50" fillId="25" borderId="0" xfId="0" applyFont="1" applyFill="1" applyAlignment="1">
      <alignment horizontal="left"/>
    </xf>
    <xf numFmtId="0" fontId="50" fillId="25" borderId="0" xfId="0" applyFont="1" applyFill="1" applyAlignment="1">
      <alignment horizontal="center"/>
    </xf>
    <xf numFmtId="0" fontId="50" fillId="25" borderId="0" xfId="0" applyFont="1" applyFill="1" applyAlignment="1">
      <alignment horizontal="center"/>
    </xf>
    <xf numFmtId="9" fontId="50" fillId="25" borderId="0" xfId="0" applyNumberFormat="1" applyFont="1" applyFill="1" applyAlignment="1">
      <alignment horizontal="right"/>
    </xf>
    <xf numFmtId="9" fontId="9" fillId="25" borderId="0" xfId="0" applyNumberFormat="1" applyFont="1" applyFill="1" applyAlignment="1"/>
    <xf numFmtId="0" fontId="50" fillId="25" borderId="0" xfId="0" applyFont="1" applyFill="1" applyAlignment="1">
      <alignment horizontal="left"/>
    </xf>
    <xf numFmtId="0" fontId="55" fillId="25" borderId="0" xfId="0" applyFont="1" applyFill="1" applyAlignment="1">
      <alignment horizontal="center"/>
    </xf>
    <xf numFmtId="0" fontId="50" fillId="24" borderId="0" xfId="0" applyFont="1" applyFill="1" applyAlignment="1">
      <alignment horizontal="right"/>
    </xf>
    <xf numFmtId="0" fontId="50" fillId="24" borderId="0" xfId="0" applyFont="1" applyFill="1" applyAlignment="1">
      <alignment horizontal="left"/>
    </xf>
    <xf numFmtId="0" fontId="50" fillId="24" borderId="0" xfId="0" applyFont="1" applyFill="1" applyAlignment="1">
      <alignment horizontal="center"/>
    </xf>
    <xf numFmtId="0" fontId="50" fillId="24" borderId="0" xfId="0" applyFont="1" applyFill="1" applyAlignment="1">
      <alignment horizontal="center"/>
    </xf>
    <xf numFmtId="9" fontId="50" fillId="24" borderId="0" xfId="0" applyNumberFormat="1" applyFont="1" applyFill="1" applyAlignment="1">
      <alignment horizontal="right"/>
    </xf>
    <xf numFmtId="0" fontId="50" fillId="24" borderId="0" xfId="0" applyFont="1" applyFill="1" applyAlignment="1">
      <alignment horizontal="left"/>
    </xf>
    <xf numFmtId="0" fontId="55" fillId="24" borderId="0" xfId="0" applyFont="1" applyFill="1" applyAlignment="1">
      <alignment horizontal="center"/>
    </xf>
    <xf numFmtId="0" fontId="50" fillId="24" borderId="0" xfId="0" applyFont="1" applyFill="1" applyAlignment="1">
      <alignment horizontal="center"/>
    </xf>
    <xf numFmtId="0" fontId="50" fillId="24" borderId="0" xfId="0" applyFont="1" applyFill="1" applyAlignment="1">
      <alignment horizontal="right"/>
    </xf>
    <xf numFmtId="0" fontId="50" fillId="6" borderId="0" xfId="0" applyFont="1" applyFill="1" applyAlignment="1">
      <alignment horizontal="right"/>
    </xf>
    <xf numFmtId="0" fontId="50" fillId="6" borderId="0" xfId="0" applyFont="1" applyFill="1" applyAlignment="1">
      <alignment horizontal="left"/>
    </xf>
    <xf numFmtId="0" fontId="50" fillId="6" borderId="0" xfId="0" applyFont="1" applyFill="1" applyAlignment="1">
      <alignment horizontal="center"/>
    </xf>
    <xf numFmtId="0" fontId="50" fillId="6" borderId="0" xfId="0" applyFont="1" applyFill="1" applyAlignment="1">
      <alignment horizontal="center"/>
    </xf>
    <xf numFmtId="9" fontId="50" fillId="6" borderId="0" xfId="0" applyNumberFormat="1" applyFont="1" applyFill="1" applyAlignment="1">
      <alignment horizontal="right"/>
    </xf>
    <xf numFmtId="9" fontId="9" fillId="6" borderId="0" xfId="0" applyNumberFormat="1" applyFont="1" applyFill="1" applyAlignment="1"/>
    <xf numFmtId="0" fontId="50" fillId="6" borderId="0" xfId="0" applyFont="1" applyFill="1" applyAlignment="1">
      <alignment horizontal="center"/>
    </xf>
    <xf numFmtId="0" fontId="50" fillId="6" borderId="0" xfId="0" applyFont="1" applyFill="1" applyAlignment="1">
      <alignment horizontal="right"/>
    </xf>
    <xf numFmtId="0" fontId="50" fillId="6" borderId="0" xfId="0" applyFont="1" applyFill="1" applyAlignment="1">
      <alignment horizontal="left"/>
    </xf>
    <xf numFmtId="0" fontId="55" fillId="6" borderId="0" xfId="0" applyFont="1" applyFill="1" applyAlignment="1">
      <alignment horizontal="center"/>
    </xf>
    <xf numFmtId="0" fontId="45" fillId="25" borderId="0" xfId="0" applyFont="1" applyFill="1" applyAlignment="1">
      <alignment horizontal="right"/>
    </xf>
    <xf numFmtId="0" fontId="45" fillId="25" borderId="0" xfId="0" applyFont="1" applyFill="1" applyAlignment="1">
      <alignment horizontal="left"/>
    </xf>
    <xf numFmtId="0" fontId="45" fillId="25" borderId="0" xfId="0" applyFont="1" applyFill="1" applyAlignment="1">
      <alignment horizontal="center"/>
    </xf>
    <xf numFmtId="0" fontId="45" fillId="25" borderId="0" xfId="0" applyFont="1" applyFill="1" applyAlignment="1">
      <alignment horizontal="center"/>
    </xf>
    <xf numFmtId="9" fontId="45" fillId="25" borderId="0" xfId="0" applyNumberFormat="1" applyFont="1" applyFill="1" applyAlignment="1">
      <alignment horizontal="right"/>
    </xf>
    <xf numFmtId="0" fontId="45" fillId="25" borderId="0" xfId="0" applyFont="1" applyFill="1" applyAlignment="1">
      <alignment horizontal="left"/>
    </xf>
    <xf numFmtId="0" fontId="45" fillId="24" borderId="0" xfId="0" applyFont="1" applyFill="1" applyAlignment="1">
      <alignment horizontal="right"/>
    </xf>
    <xf numFmtId="0" fontId="45" fillId="24" borderId="0" xfId="0" applyFont="1" applyFill="1" applyAlignment="1">
      <alignment horizontal="left"/>
    </xf>
    <xf numFmtId="0" fontId="45" fillId="24" borderId="0" xfId="0" applyFont="1" applyFill="1" applyAlignment="1">
      <alignment horizontal="center"/>
    </xf>
    <xf numFmtId="0" fontId="45" fillId="24" borderId="0" xfId="0" applyFont="1" applyFill="1" applyAlignment="1">
      <alignment horizontal="center"/>
    </xf>
    <xf numFmtId="9" fontId="45" fillId="24" borderId="0" xfId="0" applyNumberFormat="1" applyFont="1" applyFill="1" applyAlignment="1">
      <alignment horizontal="right"/>
    </xf>
    <xf numFmtId="0" fontId="45" fillId="24" borderId="0" xfId="0" applyFont="1" applyFill="1" applyAlignment="1">
      <alignment horizontal="left"/>
    </xf>
    <xf numFmtId="0" fontId="45" fillId="24" borderId="0" xfId="0" applyFont="1" applyFill="1" applyAlignment="1">
      <alignment horizontal="left"/>
    </xf>
    <xf numFmtId="0" fontId="43" fillId="0" borderId="0" xfId="0" applyFont="1" applyAlignment="1">
      <alignment horizontal="left"/>
    </xf>
    <xf numFmtId="0" fontId="43" fillId="0" borderId="0" xfId="0" applyFont="1" applyAlignment="1">
      <alignment horizontal="center"/>
    </xf>
    <xf numFmtId="0" fontId="56" fillId="0" borderId="0" xfId="0" applyFont="1" applyAlignment="1">
      <alignment horizontal="right"/>
    </xf>
    <xf numFmtId="9" fontId="57" fillId="0" borderId="0" xfId="0" applyNumberFormat="1" applyFont="1" applyAlignment="1">
      <alignment horizontal="right"/>
    </xf>
    <xf numFmtId="0" fontId="43" fillId="0" borderId="0" xfId="0" applyFont="1" applyAlignment="1">
      <alignment horizontal="center"/>
    </xf>
    <xf numFmtId="0" fontId="43" fillId="0" borderId="0" xfId="0" applyFont="1" applyAlignment="1">
      <alignment horizontal="left"/>
    </xf>
    <xf numFmtId="0" fontId="56" fillId="0" borderId="0" xfId="0" applyFont="1" applyAlignment="1">
      <alignment horizontal="center"/>
    </xf>
    <xf numFmtId="0" fontId="43" fillId="0" borderId="0" xfId="0" applyFont="1" applyAlignment="1">
      <alignment horizontal="right"/>
    </xf>
    <xf numFmtId="0" fontId="43" fillId="0" borderId="0" xfId="0" applyFont="1" applyAlignment="1">
      <alignment horizontal="left"/>
    </xf>
    <xf numFmtId="0" fontId="43" fillId="0" borderId="0" xfId="0" applyFont="1" applyAlignment="1">
      <alignment horizontal="center"/>
    </xf>
    <xf numFmtId="0" fontId="43" fillId="25" borderId="0" xfId="0" applyFont="1" applyFill="1" applyAlignment="1">
      <alignment horizontal="right"/>
    </xf>
    <xf numFmtId="0" fontId="43" fillId="25" borderId="0" xfId="0" applyFont="1" applyFill="1" applyAlignment="1">
      <alignment horizontal="left"/>
    </xf>
    <xf numFmtId="0" fontId="43" fillId="25" borderId="0" xfId="0" applyFont="1" applyFill="1" applyAlignment="1">
      <alignment horizontal="center"/>
    </xf>
    <xf numFmtId="0" fontId="56" fillId="25" borderId="0" xfId="0" applyFont="1" applyFill="1" applyAlignment="1">
      <alignment horizontal="right"/>
    </xf>
    <xf numFmtId="9" fontId="57" fillId="25" borderId="0" xfId="0" applyNumberFormat="1" applyFont="1" applyFill="1" applyAlignment="1">
      <alignment horizontal="right"/>
    </xf>
    <xf numFmtId="0" fontId="43" fillId="25" borderId="0" xfId="0" applyFont="1" applyFill="1" applyAlignment="1">
      <alignment horizontal="center"/>
    </xf>
    <xf numFmtId="0" fontId="43" fillId="25" borderId="0" xfId="0" applyFont="1" applyFill="1" applyAlignment="1">
      <alignment horizontal="left"/>
    </xf>
    <xf numFmtId="0" fontId="43" fillId="25" borderId="0" xfId="0" applyFont="1" applyFill="1" applyAlignment="1">
      <alignment horizontal="right"/>
    </xf>
    <xf numFmtId="0" fontId="56" fillId="25" borderId="0" xfId="0" applyFont="1" applyFill="1" applyAlignment="1">
      <alignment horizontal="center"/>
    </xf>
    <xf numFmtId="0" fontId="43" fillId="24" borderId="0" xfId="0" applyFont="1" applyFill="1" applyAlignment="1">
      <alignment horizontal="right"/>
    </xf>
    <xf numFmtId="0" fontId="43" fillId="24" borderId="0" xfId="0" applyFont="1" applyFill="1" applyAlignment="1">
      <alignment horizontal="left"/>
    </xf>
    <xf numFmtId="0" fontId="43" fillId="24" borderId="0" xfId="0" applyFont="1" applyFill="1" applyAlignment="1">
      <alignment horizontal="center"/>
    </xf>
    <xf numFmtId="0" fontId="56" fillId="24" borderId="0" xfId="0" applyFont="1" applyFill="1" applyAlignment="1">
      <alignment horizontal="right"/>
    </xf>
    <xf numFmtId="9" fontId="57" fillId="24" borderId="0" xfId="0" applyNumberFormat="1" applyFont="1" applyFill="1" applyAlignment="1">
      <alignment horizontal="right"/>
    </xf>
    <xf numFmtId="0" fontId="43" fillId="24" borderId="0" xfId="0" applyFont="1" applyFill="1" applyAlignment="1">
      <alignment horizontal="center"/>
    </xf>
    <xf numFmtId="0" fontId="43" fillId="24" borderId="0" xfId="0" applyFont="1" applyFill="1" applyAlignment="1">
      <alignment horizontal="left"/>
    </xf>
    <xf numFmtId="0" fontId="38" fillId="24" borderId="0" xfId="0" applyFont="1" applyFill="1" applyAlignment="1">
      <alignment horizontal="center"/>
    </xf>
    <xf numFmtId="0" fontId="56" fillId="24" borderId="0" xfId="0" applyFont="1" applyFill="1" applyAlignment="1">
      <alignment horizontal="center"/>
    </xf>
    <xf numFmtId="0" fontId="43" fillId="24" borderId="0" xfId="0" applyFont="1" applyFill="1" applyAlignment="1">
      <alignment horizontal="right"/>
    </xf>
    <xf numFmtId="0" fontId="2" fillId="0" borderId="0" xfId="0" applyFont="1" applyAlignment="1">
      <alignment horizontal="right"/>
    </xf>
    <xf numFmtId="0" fontId="56" fillId="24" borderId="0" xfId="0" applyFont="1" applyFill="1" applyAlignment="1">
      <alignment horizontal="center"/>
    </xf>
    <xf numFmtId="0" fontId="2" fillId="15" borderId="0" xfId="0" applyFont="1" applyFill="1" applyAlignment="1">
      <alignment horizontal="right"/>
    </xf>
    <xf numFmtId="0" fontId="43" fillId="6" borderId="0" xfId="0" applyFont="1" applyFill="1" applyAlignment="1">
      <alignment horizontal="right"/>
    </xf>
    <xf numFmtId="0" fontId="43" fillId="6" borderId="0" xfId="0" applyFont="1" applyFill="1" applyAlignment="1">
      <alignment horizontal="left"/>
    </xf>
    <xf numFmtId="0" fontId="43" fillId="6" borderId="0" xfId="0" applyFont="1" applyFill="1" applyAlignment="1">
      <alignment horizontal="center"/>
    </xf>
    <xf numFmtId="0" fontId="56" fillId="6" borderId="0" xfId="0" applyFont="1" applyFill="1" applyAlignment="1">
      <alignment horizontal="right"/>
    </xf>
    <xf numFmtId="9" fontId="57" fillId="6" borderId="0" xfId="0" applyNumberFormat="1" applyFont="1" applyFill="1" applyAlignment="1">
      <alignment horizontal="right"/>
    </xf>
    <xf numFmtId="0" fontId="43" fillId="6" borderId="0" xfId="0" applyFont="1" applyFill="1" applyAlignment="1">
      <alignment horizontal="center"/>
    </xf>
    <xf numFmtId="0" fontId="43" fillId="6" borderId="0" xfId="0" applyFont="1" applyFill="1" applyAlignment="1">
      <alignment horizontal="left"/>
    </xf>
    <xf numFmtId="0" fontId="56" fillId="6" borderId="0" xfId="0" applyFont="1" applyFill="1" applyAlignment="1">
      <alignment horizontal="center"/>
    </xf>
    <xf numFmtId="0" fontId="56" fillId="37" borderId="0" xfId="0" applyFont="1" applyFill="1" applyAlignment="1">
      <alignment horizontal="right"/>
    </xf>
    <xf numFmtId="9" fontId="57" fillId="37" borderId="0" xfId="0" applyNumberFormat="1" applyFont="1" applyFill="1" applyAlignment="1">
      <alignment horizontal="right"/>
    </xf>
    <xf numFmtId="0" fontId="43" fillId="37" borderId="0" xfId="0" applyFont="1" applyFill="1" applyAlignment="1">
      <alignment horizontal="center"/>
    </xf>
    <xf numFmtId="0" fontId="43" fillId="37" borderId="0" xfId="0" applyFont="1" applyFill="1" applyAlignment="1">
      <alignment horizontal="left"/>
    </xf>
    <xf numFmtId="0" fontId="43" fillId="6" borderId="0" xfId="0" applyFont="1" applyFill="1" applyAlignment="1">
      <alignment horizontal="right"/>
    </xf>
    <xf numFmtId="0" fontId="58" fillId="0" borderId="0" xfId="0" applyFont="1" applyAlignment="1">
      <alignment horizontal="center"/>
    </xf>
    <xf numFmtId="0" fontId="58" fillId="0" borderId="0" xfId="0" applyFont="1" applyAlignment="1">
      <alignment horizontal="left"/>
    </xf>
    <xf numFmtId="0" fontId="58" fillId="0" borderId="0" xfId="0" applyFont="1" applyAlignment="1">
      <alignment horizontal="center"/>
    </xf>
    <xf numFmtId="9" fontId="58" fillId="0" borderId="0" xfId="0" applyNumberFormat="1" applyFont="1" applyAlignment="1">
      <alignment horizontal="center"/>
    </xf>
    <xf numFmtId="0" fontId="58" fillId="0" borderId="0" xfId="0" applyFont="1" applyAlignment="1"/>
    <xf numFmtId="0" fontId="58" fillId="0" borderId="0" xfId="0" applyFont="1" applyAlignment="1"/>
    <xf numFmtId="0" fontId="58" fillId="0" borderId="0" xfId="0" applyFont="1" applyAlignment="1">
      <alignment horizontal="center"/>
    </xf>
    <xf numFmtId="0" fontId="59" fillId="0" borderId="0" xfId="0" applyFont="1" applyAlignment="1">
      <alignment horizontal="right"/>
    </xf>
    <xf numFmtId="0" fontId="58" fillId="0" borderId="0" xfId="0" applyFont="1" applyAlignment="1"/>
    <xf numFmtId="0" fontId="58" fillId="0" borderId="0" xfId="0" applyFont="1" applyAlignment="1"/>
    <xf numFmtId="0" fontId="58" fillId="0" borderId="0" xfId="0" applyFont="1" applyAlignment="1">
      <alignment horizontal="center"/>
    </xf>
    <xf numFmtId="0" fontId="58" fillId="0" borderId="0" xfId="0" applyFont="1" applyAlignment="1">
      <alignment horizontal="center"/>
    </xf>
    <xf numFmtId="0" fontId="58" fillId="0" borderId="0" xfId="0" applyFont="1" applyAlignment="1">
      <alignment horizontal="left"/>
    </xf>
    <xf numFmtId="0" fontId="58" fillId="25" borderId="0" xfId="0" applyFont="1" applyFill="1" applyAlignment="1">
      <alignment horizontal="center"/>
    </xf>
    <xf numFmtId="0" fontId="58" fillId="25" borderId="0" xfId="0" applyFont="1" applyFill="1" applyAlignment="1">
      <alignment horizontal="center"/>
    </xf>
    <xf numFmtId="0" fontId="58" fillId="15" borderId="0" xfId="0" applyFont="1" applyFill="1" applyAlignment="1"/>
    <xf numFmtId="0" fontId="28" fillId="0" borderId="0" xfId="0" applyFont="1" applyAlignment="1">
      <alignment horizontal="right"/>
    </xf>
    <xf numFmtId="0" fontId="58" fillId="25" borderId="0" xfId="0" applyFont="1" applyFill="1" applyAlignment="1">
      <alignment horizontal="left"/>
    </xf>
    <xf numFmtId="0" fontId="58" fillId="25" borderId="0" xfId="0" applyFont="1" applyFill="1" applyAlignment="1">
      <alignment horizontal="center"/>
    </xf>
    <xf numFmtId="9" fontId="58" fillId="25" borderId="0" xfId="0" applyNumberFormat="1" applyFont="1" applyFill="1" applyAlignment="1">
      <alignment horizontal="center"/>
    </xf>
    <xf numFmtId="0" fontId="58" fillId="25" borderId="0" xfId="0" applyFont="1" applyFill="1" applyAlignment="1"/>
    <xf numFmtId="0" fontId="58" fillId="25" borderId="0" xfId="0" applyFont="1" applyFill="1" applyAlignment="1"/>
    <xf numFmtId="0" fontId="58" fillId="25" borderId="0" xfId="0" applyFont="1" applyFill="1" applyAlignment="1">
      <alignment horizontal="center"/>
    </xf>
    <xf numFmtId="0" fontId="58" fillId="25" borderId="0" xfId="0" applyFont="1" applyFill="1" applyAlignment="1"/>
    <xf numFmtId="0" fontId="58" fillId="25" borderId="0" xfId="0" applyFont="1" applyFill="1" applyAlignment="1"/>
    <xf numFmtId="0" fontId="58" fillId="25" borderId="0" xfId="0" applyFont="1" applyFill="1" applyAlignment="1">
      <alignment horizontal="center"/>
    </xf>
    <xf numFmtId="0" fontId="58" fillId="25" borderId="0" xfId="0" applyFont="1" applyFill="1" applyAlignment="1">
      <alignment horizontal="center" wrapText="1"/>
    </xf>
    <xf numFmtId="0" fontId="58" fillId="25" borderId="0" xfId="0" applyFont="1" applyFill="1" applyAlignment="1">
      <alignment horizontal="left" wrapText="1"/>
    </xf>
    <xf numFmtId="0" fontId="58" fillId="25" borderId="0" xfId="0" applyFont="1" applyFill="1" applyAlignment="1">
      <alignment horizontal="center" wrapText="1"/>
    </xf>
    <xf numFmtId="0" fontId="58" fillId="25" borderId="0" xfId="0" applyFont="1" applyFill="1" applyAlignment="1">
      <alignment horizontal="left" wrapText="1"/>
    </xf>
    <xf numFmtId="0" fontId="58" fillId="25" borderId="0" xfId="0" applyFont="1" applyFill="1" applyAlignment="1">
      <alignment horizontal="left"/>
    </xf>
    <xf numFmtId="0" fontId="58" fillId="6" borderId="0" xfId="0" applyFont="1" applyFill="1" applyAlignment="1">
      <alignment horizontal="center"/>
    </xf>
    <xf numFmtId="0" fontId="58" fillId="6" borderId="0" xfId="0" applyFont="1" applyFill="1" applyAlignment="1">
      <alignment horizontal="center"/>
    </xf>
    <xf numFmtId="0" fontId="38" fillId="0" borderId="0" xfId="0" applyFont="1" applyAlignment="1"/>
    <xf numFmtId="0" fontId="58" fillId="24" borderId="0" xfId="0" applyFont="1" applyFill="1" applyAlignment="1">
      <alignment horizontal="center"/>
    </xf>
    <xf numFmtId="0" fontId="58" fillId="24" borderId="0" xfId="0" applyFont="1" applyFill="1" applyAlignment="1">
      <alignment horizontal="left"/>
    </xf>
    <xf numFmtId="0" fontId="58" fillId="24" borderId="0" xfId="0" applyFont="1" applyFill="1" applyAlignment="1">
      <alignment horizontal="center"/>
    </xf>
    <xf numFmtId="9" fontId="58" fillId="24" borderId="0" xfId="0" applyNumberFormat="1" applyFont="1" applyFill="1" applyAlignment="1">
      <alignment horizontal="center"/>
    </xf>
    <xf numFmtId="0" fontId="58" fillId="24" borderId="0" xfId="0" applyFont="1" applyFill="1" applyAlignment="1"/>
    <xf numFmtId="0" fontId="58" fillId="24" borderId="0" xfId="0" applyFont="1" applyFill="1" applyAlignment="1"/>
    <xf numFmtId="0" fontId="58" fillId="24" borderId="0" xfId="0" applyFont="1" applyFill="1" applyAlignment="1">
      <alignment horizontal="center"/>
    </xf>
    <xf numFmtId="0" fontId="58" fillId="24" borderId="0" xfId="0" applyFont="1" applyFill="1" applyAlignment="1">
      <alignment horizontal="center"/>
    </xf>
    <xf numFmtId="0" fontId="58" fillId="24" borderId="0" xfId="0" applyFont="1" applyFill="1" applyAlignment="1"/>
    <xf numFmtId="0" fontId="58" fillId="24" borderId="0" xfId="0" applyFont="1" applyFill="1" applyAlignment="1"/>
    <xf numFmtId="0" fontId="58" fillId="24" borderId="0" xfId="0" applyFont="1" applyFill="1" applyAlignment="1">
      <alignment horizontal="center"/>
    </xf>
    <xf numFmtId="0" fontId="58" fillId="24" borderId="0" xfId="0" applyFont="1" applyFill="1" applyAlignment="1">
      <alignment horizontal="left"/>
    </xf>
    <xf numFmtId="0" fontId="58" fillId="24" borderId="0" xfId="0" applyFont="1" applyFill="1" applyAlignment="1">
      <alignment horizontal="left"/>
    </xf>
    <xf numFmtId="0" fontId="58" fillId="37" borderId="0" xfId="0" applyFont="1" applyFill="1" applyAlignment="1">
      <alignment horizontal="center"/>
    </xf>
    <xf numFmtId="0" fontId="58" fillId="37" borderId="0" xfId="0" applyFont="1" applyFill="1" applyAlignment="1">
      <alignment horizontal="left"/>
    </xf>
    <xf numFmtId="0" fontId="58" fillId="37" borderId="0" xfId="0" applyFont="1" applyFill="1" applyAlignment="1">
      <alignment horizontal="center"/>
    </xf>
    <xf numFmtId="9" fontId="58" fillId="37" borderId="0" xfId="0" applyNumberFormat="1" applyFont="1" applyFill="1" applyAlignment="1">
      <alignment horizontal="center"/>
    </xf>
    <xf numFmtId="0" fontId="58" fillId="37" borderId="0" xfId="0" applyFont="1" applyFill="1" applyAlignment="1"/>
    <xf numFmtId="0" fontId="58" fillId="37" borderId="0" xfId="0" applyFont="1" applyFill="1" applyAlignment="1"/>
    <xf numFmtId="0" fontId="58" fillId="37" borderId="0" xfId="0" applyFont="1" applyFill="1" applyAlignment="1">
      <alignment horizontal="center"/>
    </xf>
    <xf numFmtId="0" fontId="58" fillId="6" borderId="0" xfId="0" applyFont="1" applyFill="1" applyAlignment="1">
      <alignment horizontal="left"/>
    </xf>
    <xf numFmtId="9" fontId="58" fillId="6" borderId="0" xfId="0" applyNumberFormat="1" applyFont="1" applyFill="1" applyAlignment="1">
      <alignment horizontal="center"/>
    </xf>
    <xf numFmtId="0" fontId="58" fillId="6" borderId="0" xfId="0" applyFont="1" applyFill="1" applyAlignment="1"/>
    <xf numFmtId="0" fontId="58" fillId="6" borderId="0" xfId="0" applyFont="1" applyFill="1" applyAlignment="1"/>
    <xf numFmtId="0" fontId="58" fillId="6" borderId="0" xfId="0" applyFont="1" applyFill="1" applyAlignment="1">
      <alignment horizontal="center"/>
    </xf>
    <xf numFmtId="0" fontId="58" fillId="6" borderId="0" xfId="0" applyFont="1" applyFill="1" applyAlignment="1">
      <alignment horizontal="center"/>
    </xf>
    <xf numFmtId="0" fontId="58" fillId="6" borderId="0" xfId="0" applyFont="1" applyFill="1" applyAlignment="1"/>
    <xf numFmtId="0" fontId="58" fillId="6" borderId="0" xfId="0" applyFont="1" applyFill="1" applyAlignment="1"/>
    <xf numFmtId="0" fontId="58" fillId="6" borderId="0" xfId="0" applyFont="1" applyFill="1" applyAlignment="1">
      <alignment horizontal="left"/>
    </xf>
    <xf numFmtId="0" fontId="28" fillId="0" borderId="0" xfId="0" applyFont="1" applyAlignment="1">
      <alignment horizontal="right"/>
    </xf>
    <xf numFmtId="0" fontId="58" fillId="6" borderId="0" xfId="0" applyFont="1" applyFill="1" applyAlignment="1">
      <alignment horizontal="center"/>
    </xf>
    <xf numFmtId="0" fontId="58" fillId="6" borderId="0" xfId="0" applyFont="1" applyFill="1" applyAlignment="1"/>
    <xf numFmtId="0" fontId="2" fillId="0" borderId="0" xfId="0" applyFont="1" applyAlignment="1">
      <alignment horizontal="left"/>
    </xf>
    <xf numFmtId="9" fontId="2" fillId="0" borderId="0" xfId="0" applyNumberFormat="1" applyFont="1" applyAlignment="1">
      <alignment horizontal="right"/>
    </xf>
    <xf numFmtId="0" fontId="9" fillId="0" borderId="0" xfId="0" applyFont="1" applyAlignment="1">
      <alignment horizontal="center"/>
    </xf>
    <xf numFmtId="0" fontId="10" fillId="0" borderId="0" xfId="0" applyFont="1" applyAlignment="1">
      <alignment horizontal="left"/>
    </xf>
    <xf numFmtId="0" fontId="39" fillId="0" borderId="0" xfId="0" applyFont="1" applyAlignment="1">
      <alignment horizontal="center"/>
    </xf>
    <xf numFmtId="0" fontId="60" fillId="0" borderId="0" xfId="0" applyFont="1" applyAlignment="1">
      <alignment horizontal="center"/>
    </xf>
    <xf numFmtId="0" fontId="61" fillId="0" borderId="0" xfId="0" applyFont="1"/>
    <xf numFmtId="0" fontId="63" fillId="0" borderId="0" xfId="0" applyFont="1" applyAlignment="1">
      <alignment horizontal="center"/>
    </xf>
    <xf numFmtId="0" fontId="52" fillId="0" borderId="64" xfId="0" applyFont="1" applyBorder="1" applyAlignment="1">
      <alignment horizontal="center"/>
    </xf>
    <xf numFmtId="0" fontId="52" fillId="0" borderId="64" xfId="0" applyFont="1" applyBorder="1" applyAlignment="1">
      <alignment horizontal="center"/>
    </xf>
    <xf numFmtId="0" fontId="52" fillId="0" borderId="64" xfId="0" applyFont="1" applyBorder="1" applyAlignment="1">
      <alignment horizontal="left"/>
    </xf>
    <xf numFmtId="0" fontId="61" fillId="0" borderId="0" xfId="0" applyFont="1"/>
    <xf numFmtId="0" fontId="61" fillId="0" borderId="20" xfId="0" applyFont="1" applyBorder="1" applyAlignment="1">
      <alignment horizontal="center"/>
    </xf>
    <xf numFmtId="0" fontId="61" fillId="0" borderId="63" xfId="0" applyFont="1" applyBorder="1"/>
    <xf numFmtId="0" fontId="61" fillId="0" borderId="63" xfId="0" applyFont="1" applyBorder="1" applyAlignment="1">
      <alignment horizontal="center"/>
    </xf>
    <xf numFmtId="0" fontId="61" fillId="0" borderId="21" xfId="0" applyFont="1" applyBorder="1" applyAlignment="1">
      <alignment horizontal="left"/>
    </xf>
    <xf numFmtId="0" fontId="61" fillId="0" borderId="63" xfId="0" applyFont="1" applyBorder="1" applyAlignment="1">
      <alignment horizontal="center"/>
    </xf>
    <xf numFmtId="0" fontId="2" fillId="0" borderId="20" xfId="0" applyFont="1" applyBorder="1" applyAlignment="1">
      <alignment horizontal="center"/>
    </xf>
    <xf numFmtId="0" fontId="2" fillId="0" borderId="63" xfId="0" applyFont="1" applyBorder="1" applyAlignment="1">
      <alignment horizontal="center"/>
    </xf>
    <xf numFmtId="0" fontId="2" fillId="0" borderId="21" xfId="0" applyFont="1" applyBorder="1" applyAlignment="1">
      <alignment horizontal="left"/>
    </xf>
    <xf numFmtId="0" fontId="2" fillId="0" borderId="63" xfId="0" applyFont="1" applyBorder="1" applyAlignment="1">
      <alignment horizontal="left"/>
    </xf>
    <xf numFmtId="0" fontId="13" fillId="0" borderId="0" xfId="0" applyFont="1" applyAlignment="1">
      <alignment horizontal="center"/>
    </xf>
    <xf numFmtId="0" fontId="65" fillId="0" borderId="0" xfId="0" applyFont="1" applyAlignment="1">
      <alignment horizontal="center"/>
    </xf>
    <xf numFmtId="4" fontId="9" fillId="0" borderId="0" xfId="0" applyNumberFormat="1" applyFont="1" applyAlignment="1">
      <alignment horizontal="left"/>
    </xf>
    <xf numFmtId="10" fontId="9" fillId="0" borderId="0" xfId="0" applyNumberFormat="1" applyFont="1" applyAlignment="1">
      <alignment horizontal="left"/>
    </xf>
    <xf numFmtId="0" fontId="13" fillId="15" borderId="64" xfId="0" applyFont="1" applyFill="1" applyBorder="1" applyAlignment="1">
      <alignment horizontal="center"/>
    </xf>
    <xf numFmtId="0" fontId="13" fillId="15" borderId="64" xfId="0" applyFont="1" applyFill="1" applyBorder="1" applyAlignment="1">
      <alignment horizontal="center"/>
    </xf>
    <xf numFmtId="0" fontId="13" fillId="9" borderId="64" xfId="0" applyFont="1" applyFill="1" applyBorder="1" applyAlignment="1">
      <alignment horizontal="center"/>
    </xf>
    <xf numFmtId="0" fontId="13" fillId="9" borderId="64" xfId="0" applyFont="1" applyFill="1" applyBorder="1" applyAlignment="1">
      <alignment horizontal="center"/>
    </xf>
    <xf numFmtId="0" fontId="13" fillId="38" borderId="64" xfId="0" applyFont="1" applyFill="1" applyBorder="1" applyAlignment="1">
      <alignment horizontal="center"/>
    </xf>
    <xf numFmtId="0" fontId="13" fillId="38" borderId="64" xfId="0" applyFont="1" applyFill="1" applyBorder="1" applyAlignment="1">
      <alignment horizontal="center"/>
    </xf>
    <xf numFmtId="0" fontId="13" fillId="22" borderId="64" xfId="0" applyFont="1" applyFill="1" applyBorder="1" applyAlignment="1">
      <alignment horizontal="center"/>
    </xf>
    <xf numFmtId="0" fontId="13" fillId="22" borderId="64" xfId="0" applyFont="1" applyFill="1" applyBorder="1" applyAlignment="1">
      <alignment horizontal="center"/>
    </xf>
    <xf numFmtId="0" fontId="9" fillId="15" borderId="7" xfId="0" applyFont="1" applyFill="1" applyBorder="1" applyAlignment="1">
      <alignment horizontal="center"/>
    </xf>
    <xf numFmtId="10" fontId="9" fillId="15" borderId="0" xfId="0" applyNumberFormat="1" applyFont="1" applyFill="1" applyAlignment="1">
      <alignment horizontal="center"/>
    </xf>
    <xf numFmtId="4" fontId="9" fillId="15" borderId="8" xfId="0" applyNumberFormat="1" applyFont="1" applyFill="1" applyBorder="1" applyAlignment="1">
      <alignment horizontal="center"/>
    </xf>
    <xf numFmtId="0" fontId="9" fillId="9" borderId="0" xfId="0" applyFont="1" applyFill="1" applyAlignment="1">
      <alignment horizontal="center"/>
    </xf>
    <xf numFmtId="10" fontId="9" fillId="9" borderId="0" xfId="0" applyNumberFormat="1" applyFont="1" applyFill="1" applyAlignment="1">
      <alignment horizontal="center"/>
    </xf>
    <xf numFmtId="4" fontId="9" fillId="9" borderId="8" xfId="0" applyNumberFormat="1" applyFont="1" applyFill="1" applyBorder="1" applyAlignment="1">
      <alignment horizontal="center"/>
    </xf>
    <xf numFmtId="0" fontId="9" fillId="38" borderId="0" xfId="0" applyFont="1" applyFill="1" applyAlignment="1">
      <alignment horizontal="center"/>
    </xf>
    <xf numFmtId="10" fontId="9" fillId="38" borderId="0" xfId="0" applyNumberFormat="1" applyFont="1" applyFill="1" applyAlignment="1">
      <alignment horizontal="center"/>
    </xf>
    <xf numFmtId="4" fontId="9" fillId="38" borderId="8" xfId="0" applyNumberFormat="1" applyFont="1" applyFill="1" applyBorder="1" applyAlignment="1">
      <alignment horizontal="center"/>
    </xf>
    <xf numFmtId="0" fontId="9" fillId="22" borderId="0" xfId="0" applyFont="1" applyFill="1" applyAlignment="1">
      <alignment horizontal="center"/>
    </xf>
    <xf numFmtId="10" fontId="9" fillId="22" borderId="0" xfId="0" applyNumberFormat="1" applyFont="1" applyFill="1" applyAlignment="1">
      <alignment horizontal="center"/>
    </xf>
    <xf numFmtId="4" fontId="9" fillId="22" borderId="8" xfId="0" applyNumberFormat="1" applyFont="1" applyFill="1" applyBorder="1" applyAlignment="1">
      <alignment horizontal="center"/>
    </xf>
    <xf numFmtId="10" fontId="9" fillId="0" borderId="0" xfId="0" applyNumberFormat="1" applyFont="1" applyAlignment="1">
      <alignment horizontal="center"/>
    </xf>
    <xf numFmtId="4" fontId="9" fillId="0" borderId="0" xfId="0" applyNumberFormat="1" applyFont="1" applyAlignment="1">
      <alignment horizontal="center"/>
    </xf>
    <xf numFmtId="4" fontId="9" fillId="0" borderId="0" xfId="0" applyNumberFormat="1" applyFont="1" applyAlignment="1"/>
    <xf numFmtId="10" fontId="9" fillId="9" borderId="28" xfId="0" applyNumberFormat="1" applyFont="1" applyFill="1" applyBorder="1" applyAlignment="1">
      <alignment horizontal="center"/>
    </xf>
    <xf numFmtId="4" fontId="9" fillId="9" borderId="29" xfId="0" applyNumberFormat="1" applyFont="1" applyFill="1" applyBorder="1" applyAlignment="1">
      <alignment horizontal="center"/>
    </xf>
    <xf numFmtId="0" fontId="13" fillId="15" borderId="3" xfId="0" applyFont="1" applyFill="1" applyBorder="1" applyAlignment="1">
      <alignment horizontal="right"/>
    </xf>
    <xf numFmtId="10" fontId="13" fillId="15" borderId="3" xfId="0" applyNumberFormat="1" applyFont="1" applyFill="1" applyBorder="1" applyAlignment="1">
      <alignment horizontal="center"/>
    </xf>
    <xf numFmtId="4" fontId="13" fillId="15" borderId="5" xfId="0" applyNumberFormat="1" applyFont="1" applyFill="1" applyBorder="1" applyAlignment="1">
      <alignment horizontal="center"/>
    </xf>
    <xf numFmtId="0" fontId="13" fillId="9" borderId="3" xfId="0" applyFont="1" applyFill="1" applyBorder="1" applyAlignment="1">
      <alignment horizontal="right"/>
    </xf>
    <xf numFmtId="10" fontId="13" fillId="9" borderId="3" xfId="0" applyNumberFormat="1" applyFont="1" applyFill="1" applyBorder="1" applyAlignment="1">
      <alignment horizontal="center"/>
    </xf>
    <xf numFmtId="4" fontId="13" fillId="9" borderId="5" xfId="0" applyNumberFormat="1" applyFont="1" applyFill="1" applyBorder="1" applyAlignment="1">
      <alignment horizontal="center"/>
    </xf>
    <xf numFmtId="0" fontId="13" fillId="38" borderId="3" xfId="0" applyFont="1" applyFill="1" applyBorder="1" applyAlignment="1">
      <alignment horizontal="right"/>
    </xf>
    <xf numFmtId="10" fontId="13" fillId="38" borderId="3" xfId="0" applyNumberFormat="1" applyFont="1" applyFill="1" applyBorder="1" applyAlignment="1">
      <alignment horizontal="center"/>
    </xf>
    <xf numFmtId="4" fontId="13" fillId="38" borderId="5" xfId="0" applyNumberFormat="1" applyFont="1" applyFill="1" applyBorder="1" applyAlignment="1">
      <alignment horizontal="center"/>
    </xf>
    <xf numFmtId="0" fontId="13" fillId="22" borderId="3" xfId="0" applyFont="1" applyFill="1" applyBorder="1" applyAlignment="1">
      <alignment horizontal="right"/>
    </xf>
    <xf numFmtId="10" fontId="13" fillId="22" borderId="3" xfId="0" applyNumberFormat="1" applyFont="1" applyFill="1" applyBorder="1" applyAlignment="1">
      <alignment horizontal="center"/>
    </xf>
    <xf numFmtId="4" fontId="13" fillId="22" borderId="5" xfId="0" applyNumberFormat="1" applyFont="1" applyFill="1" applyBorder="1" applyAlignment="1">
      <alignment horizontal="center"/>
    </xf>
    <xf numFmtId="10" fontId="13" fillId="0" borderId="0" xfId="0" applyNumberFormat="1" applyFont="1" applyAlignment="1">
      <alignment horizontal="center"/>
    </xf>
    <xf numFmtId="4" fontId="13" fillId="0" borderId="0" xfId="0" applyNumberFormat="1" applyFont="1" applyAlignment="1">
      <alignment horizontal="center"/>
    </xf>
    <xf numFmtId="0" fontId="13" fillId="15" borderId="27" xfId="0" applyFont="1" applyFill="1" applyBorder="1" applyAlignment="1">
      <alignment horizontal="right"/>
    </xf>
    <xf numFmtId="10" fontId="13" fillId="15" borderId="27" xfId="0" applyNumberFormat="1" applyFont="1" applyFill="1" applyBorder="1" applyAlignment="1">
      <alignment horizontal="center"/>
    </xf>
    <xf numFmtId="4" fontId="13" fillId="15" borderId="29" xfId="0" applyNumberFormat="1" applyFont="1" applyFill="1" applyBorder="1" applyAlignment="1">
      <alignment horizontal="center"/>
    </xf>
    <xf numFmtId="0" fontId="13" fillId="9" borderId="27" xfId="0" applyFont="1" applyFill="1" applyBorder="1" applyAlignment="1">
      <alignment horizontal="right"/>
    </xf>
    <xf numFmtId="10" fontId="13" fillId="9" borderId="27" xfId="0" applyNumberFormat="1" applyFont="1" applyFill="1" applyBorder="1" applyAlignment="1">
      <alignment horizontal="center"/>
    </xf>
    <xf numFmtId="4" fontId="13" fillId="9" borderId="29" xfId="0" applyNumberFormat="1" applyFont="1" applyFill="1" applyBorder="1" applyAlignment="1">
      <alignment horizontal="center"/>
    </xf>
    <xf numFmtId="0" fontId="13" fillId="38" borderId="27" xfId="0" applyFont="1" applyFill="1" applyBorder="1" applyAlignment="1">
      <alignment horizontal="right"/>
    </xf>
    <xf numFmtId="10" fontId="13" fillId="38" borderId="27" xfId="0" applyNumberFormat="1" applyFont="1" applyFill="1" applyBorder="1" applyAlignment="1">
      <alignment horizontal="center"/>
    </xf>
    <xf numFmtId="4" fontId="13" fillId="38" borderId="29" xfId="0" applyNumberFormat="1" applyFont="1" applyFill="1" applyBorder="1" applyAlignment="1">
      <alignment horizontal="center"/>
    </xf>
    <xf numFmtId="0" fontId="13" fillId="22" borderId="27" xfId="0" applyFont="1" applyFill="1" applyBorder="1" applyAlignment="1">
      <alignment horizontal="right"/>
    </xf>
    <xf numFmtId="10" fontId="13" fillId="22" borderId="27" xfId="0" applyNumberFormat="1" applyFont="1" applyFill="1" applyBorder="1" applyAlignment="1">
      <alignment horizontal="center"/>
    </xf>
    <xf numFmtId="4" fontId="13" fillId="22" borderId="29" xfId="0" applyNumberFormat="1" applyFont="1" applyFill="1" applyBorder="1" applyAlignment="1">
      <alignment horizontal="center"/>
    </xf>
    <xf numFmtId="4" fontId="9" fillId="15" borderId="7" xfId="0" applyNumberFormat="1" applyFont="1" applyFill="1" applyBorder="1" applyAlignment="1">
      <alignment horizontal="center"/>
    </xf>
    <xf numFmtId="4" fontId="9" fillId="9" borderId="0" xfId="0" applyNumberFormat="1" applyFont="1" applyFill="1" applyAlignment="1">
      <alignment horizontal="center"/>
    </xf>
    <xf numFmtId="4" fontId="9" fillId="38" borderId="0" xfId="0" applyNumberFormat="1" applyFont="1" applyFill="1" applyAlignment="1">
      <alignment horizontal="center"/>
    </xf>
    <xf numFmtId="4" fontId="9" fillId="15" borderId="27" xfId="0" applyNumberFormat="1" applyFont="1" applyFill="1" applyBorder="1" applyAlignment="1">
      <alignment horizontal="center"/>
    </xf>
    <xf numFmtId="10" fontId="9" fillId="15" borderId="28" xfId="0" applyNumberFormat="1" applyFont="1" applyFill="1" applyBorder="1" applyAlignment="1">
      <alignment horizontal="center"/>
    </xf>
    <xf numFmtId="4" fontId="9" fillId="15" borderId="29" xfId="0" applyNumberFormat="1" applyFont="1" applyFill="1" applyBorder="1" applyAlignment="1">
      <alignment horizontal="center"/>
    </xf>
    <xf numFmtId="10" fontId="9" fillId="38" borderId="28" xfId="0" applyNumberFormat="1" applyFont="1" applyFill="1" applyBorder="1" applyAlignment="1">
      <alignment horizontal="center"/>
    </xf>
    <xf numFmtId="4" fontId="9" fillId="38" borderId="29" xfId="0" applyNumberFormat="1" applyFont="1" applyFill="1" applyBorder="1" applyAlignment="1">
      <alignment horizontal="center"/>
    </xf>
    <xf numFmtId="0" fontId="9" fillId="8" borderId="64" xfId="0" applyFont="1" applyFill="1" applyBorder="1" applyAlignment="1">
      <alignment horizontal="right"/>
    </xf>
    <xf numFmtId="0" fontId="9" fillId="8" borderId="64" xfId="0" applyFont="1" applyFill="1" applyBorder="1" applyAlignment="1">
      <alignment horizontal="center"/>
    </xf>
    <xf numFmtId="0" fontId="9" fillId="9" borderId="64" xfId="0" applyFont="1" applyFill="1" applyBorder="1" applyAlignment="1">
      <alignment horizontal="right"/>
    </xf>
    <xf numFmtId="0" fontId="9" fillId="9" borderId="64" xfId="0" applyFont="1" applyFill="1" applyBorder="1" applyAlignment="1">
      <alignment horizontal="center"/>
    </xf>
    <xf numFmtId="0" fontId="67" fillId="5" borderId="64" xfId="0" applyFont="1" applyFill="1" applyBorder="1" applyAlignment="1">
      <alignment horizontal="center"/>
    </xf>
    <xf numFmtId="0" fontId="67" fillId="21" borderId="64" xfId="0" applyFont="1" applyFill="1" applyBorder="1" applyAlignment="1">
      <alignment horizontal="center"/>
    </xf>
    <xf numFmtId="0" fontId="13" fillId="0" borderId="0" xfId="0" applyFont="1" applyAlignment="1">
      <alignment horizontal="center"/>
    </xf>
    <xf numFmtId="0" fontId="9" fillId="22" borderId="64" xfId="0" applyFont="1" applyFill="1" applyBorder="1" applyAlignment="1">
      <alignment horizontal="right"/>
    </xf>
    <xf numFmtId="0" fontId="9" fillId="22" borderId="64" xfId="0" applyFont="1" applyFill="1" applyBorder="1" applyAlignment="1">
      <alignment horizontal="center"/>
    </xf>
    <xf numFmtId="0" fontId="9" fillId="38" borderId="64" xfId="0" applyFont="1" applyFill="1" applyBorder="1" applyAlignment="1">
      <alignment horizontal="right"/>
    </xf>
    <xf numFmtId="0" fontId="9" fillId="38" borderId="64" xfId="0" applyFont="1" applyFill="1" applyBorder="1" applyAlignment="1">
      <alignment horizontal="center"/>
    </xf>
    <xf numFmtId="0" fontId="63" fillId="0" borderId="0" xfId="0" applyFont="1" applyAlignment="1">
      <alignment horizontal="center" vertical="center" wrapText="1"/>
    </xf>
    <xf numFmtId="0" fontId="9" fillId="0" borderId="64" xfId="0" applyFont="1" applyBorder="1" applyAlignment="1">
      <alignment horizontal="left"/>
    </xf>
    <xf numFmtId="0" fontId="9" fillId="8" borderId="8" xfId="0" applyFont="1" applyFill="1" applyBorder="1" applyAlignment="1"/>
    <xf numFmtId="0" fontId="9" fillId="0" borderId="64" xfId="0" applyFont="1" applyBorder="1" applyAlignment="1">
      <alignment horizontal="left"/>
    </xf>
    <xf numFmtId="4" fontId="9" fillId="0" borderId="64" xfId="0" applyNumberFormat="1" applyFont="1" applyBorder="1" applyAlignment="1">
      <alignment horizontal="left"/>
    </xf>
    <xf numFmtId="10" fontId="9" fillId="0" borderId="64" xfId="0" applyNumberFormat="1" applyFont="1" applyBorder="1" applyAlignment="1">
      <alignment horizontal="left"/>
    </xf>
    <xf numFmtId="0" fontId="9" fillId="8" borderId="29" xfId="0" applyFont="1" applyFill="1" applyBorder="1" applyAlignment="1"/>
    <xf numFmtId="0" fontId="13" fillId="8" borderId="28" xfId="0" applyFont="1" applyFill="1" applyBorder="1" applyAlignment="1">
      <alignment horizontal="center"/>
    </xf>
    <xf numFmtId="0" fontId="13" fillId="8" borderId="29" xfId="0" applyFont="1" applyFill="1" applyBorder="1" applyAlignment="1">
      <alignment horizontal="center"/>
    </xf>
    <xf numFmtId="0" fontId="13" fillId="31" borderId="28" xfId="0" applyFont="1" applyFill="1" applyBorder="1" applyAlignment="1">
      <alignment horizontal="center"/>
    </xf>
    <xf numFmtId="0" fontId="13" fillId="11" borderId="28" xfId="0" applyFont="1" applyFill="1" applyBorder="1" applyAlignment="1">
      <alignment horizontal="center"/>
    </xf>
    <xf numFmtId="0" fontId="13" fillId="40" borderId="29" xfId="0" applyFont="1" applyFill="1" applyBorder="1" applyAlignment="1">
      <alignment horizontal="center"/>
    </xf>
    <xf numFmtId="0" fontId="13" fillId="33" borderId="29" xfId="0" applyFont="1" applyFill="1" applyBorder="1" applyAlignment="1">
      <alignment horizontal="center"/>
    </xf>
    <xf numFmtId="0" fontId="9" fillId="8" borderId="8" xfId="0" applyFont="1" applyFill="1" applyBorder="1" applyAlignment="1">
      <alignment horizontal="right"/>
    </xf>
    <xf numFmtId="10" fontId="9" fillId="8" borderId="0" xfId="0" applyNumberFormat="1" applyFont="1" applyFill="1" applyAlignment="1">
      <alignment horizontal="center"/>
    </xf>
    <xf numFmtId="0" fontId="9" fillId="8" borderId="0" xfId="0" applyFont="1" applyFill="1" applyAlignment="1">
      <alignment horizontal="center"/>
    </xf>
    <xf numFmtId="0" fontId="9" fillId="8" borderId="8" xfId="0" applyFont="1" applyFill="1" applyBorder="1" applyAlignment="1">
      <alignment horizontal="center"/>
    </xf>
    <xf numFmtId="0" fontId="9" fillId="31" borderId="0" xfId="0" applyFont="1" applyFill="1" applyAlignment="1">
      <alignment horizontal="center"/>
    </xf>
    <xf numFmtId="0" fontId="9" fillId="11" borderId="0" xfId="0" applyFont="1" applyFill="1" applyAlignment="1">
      <alignment horizontal="center"/>
    </xf>
    <xf numFmtId="0" fontId="9" fillId="40" borderId="8" xfId="0" applyFont="1" applyFill="1" applyBorder="1" applyAlignment="1">
      <alignment horizontal="center"/>
    </xf>
    <xf numFmtId="0" fontId="9" fillId="33" borderId="8" xfId="0" applyFont="1" applyFill="1" applyBorder="1" applyAlignment="1">
      <alignment horizontal="center"/>
    </xf>
    <xf numFmtId="0" fontId="9" fillId="0" borderId="66" xfId="0" applyFont="1" applyBorder="1" applyAlignment="1"/>
    <xf numFmtId="4" fontId="9" fillId="0" borderId="6" xfId="0" applyNumberFormat="1" applyFont="1" applyBorder="1" applyAlignment="1"/>
    <xf numFmtId="10" fontId="9" fillId="0" borderId="8" xfId="0" applyNumberFormat="1" applyFont="1" applyBorder="1" applyAlignment="1"/>
    <xf numFmtId="0" fontId="9" fillId="8" borderId="29" xfId="0" applyFont="1" applyFill="1" applyBorder="1" applyAlignment="1">
      <alignment horizontal="right"/>
    </xf>
    <xf numFmtId="3" fontId="13" fillId="9" borderId="29" xfId="0" applyNumberFormat="1" applyFont="1" applyFill="1" applyBorder="1" applyAlignment="1">
      <alignment horizontal="center"/>
    </xf>
    <xf numFmtId="3" fontId="13" fillId="9" borderId="29" xfId="0" applyNumberFormat="1" applyFont="1" applyFill="1" applyBorder="1" applyAlignment="1">
      <alignment horizontal="center"/>
    </xf>
    <xf numFmtId="0" fontId="9" fillId="0" borderId="0" xfId="0" applyFont="1"/>
    <xf numFmtId="3" fontId="9" fillId="0" borderId="0" xfId="0" applyNumberFormat="1" applyFont="1" applyAlignment="1"/>
    <xf numFmtId="0" fontId="9" fillId="0" borderId="65" xfId="0" applyFont="1" applyBorder="1" applyAlignment="1"/>
    <xf numFmtId="0" fontId="9" fillId="0" borderId="8" xfId="0" applyFont="1" applyBorder="1" applyAlignment="1"/>
    <xf numFmtId="0" fontId="9" fillId="0" borderId="3" xfId="0" applyFont="1" applyBorder="1" applyAlignment="1">
      <alignment horizontal="left"/>
    </xf>
    <xf numFmtId="0" fontId="9" fillId="0" borderId="66" xfId="0" applyFont="1" applyBorder="1" applyAlignment="1">
      <alignment horizontal="left"/>
    </xf>
    <xf numFmtId="0" fontId="9" fillId="0" borderId="4" xfId="0" applyFont="1" applyBorder="1" applyAlignment="1">
      <alignment horizontal="left"/>
    </xf>
    <xf numFmtId="0" fontId="9" fillId="0" borderId="5" xfId="0" applyFont="1" applyBorder="1" applyAlignment="1">
      <alignment horizontal="left"/>
    </xf>
    <xf numFmtId="0" fontId="9" fillId="0" borderId="7" xfId="0" applyFont="1" applyBorder="1" applyAlignment="1">
      <alignment horizontal="left"/>
    </xf>
    <xf numFmtId="0" fontId="9" fillId="0" borderId="6" xfId="0" applyFont="1" applyBorder="1" applyAlignment="1">
      <alignment horizontal="left"/>
    </xf>
    <xf numFmtId="0" fontId="9" fillId="0" borderId="8" xfId="0" applyFont="1" applyBorder="1" applyAlignment="1">
      <alignment horizontal="left"/>
    </xf>
    <xf numFmtId="0" fontId="9" fillId="0" borderId="8" xfId="0" applyFont="1" applyBorder="1" applyAlignment="1">
      <alignment horizontal="left"/>
    </xf>
    <xf numFmtId="4" fontId="9" fillId="0" borderId="6" xfId="0" applyNumberFormat="1" applyFont="1" applyBorder="1" applyAlignment="1">
      <alignment horizontal="left"/>
    </xf>
    <xf numFmtId="10" fontId="9" fillId="0" borderId="8" xfId="0" applyNumberFormat="1" applyFont="1" applyBorder="1" applyAlignment="1">
      <alignment horizontal="left"/>
    </xf>
    <xf numFmtId="0" fontId="9" fillId="0" borderId="27" xfId="0" applyFont="1" applyBorder="1" applyAlignment="1">
      <alignment horizontal="left"/>
    </xf>
    <xf numFmtId="4" fontId="9" fillId="0" borderId="65" xfId="0" applyNumberFormat="1" applyFont="1" applyBorder="1" applyAlignment="1">
      <alignment horizontal="left"/>
    </xf>
    <xf numFmtId="10" fontId="9" fillId="0" borderId="28" xfId="0" applyNumberFormat="1" applyFont="1" applyBorder="1" applyAlignment="1">
      <alignment horizontal="left"/>
    </xf>
    <xf numFmtId="10" fontId="9" fillId="0" borderId="29" xfId="0" applyNumberFormat="1" applyFont="1" applyBorder="1" applyAlignment="1">
      <alignment horizontal="left"/>
    </xf>
    <xf numFmtId="0" fontId="11" fillId="0" borderId="0" xfId="0" applyFont="1" applyAlignment="1"/>
    <xf numFmtId="0" fontId="63" fillId="0" borderId="67" xfId="0" applyFont="1" applyBorder="1" applyAlignment="1"/>
    <xf numFmtId="0" fontId="63" fillId="0" borderId="29" xfId="0" applyFont="1" applyBorder="1" applyAlignment="1">
      <alignment horizontal="left"/>
    </xf>
    <xf numFmtId="0" fontId="63" fillId="0" borderId="65" xfId="0" applyFont="1" applyBorder="1" applyAlignment="1">
      <alignment horizontal="left"/>
    </xf>
    <xf numFmtId="0" fontId="63" fillId="0" borderId="65" xfId="0" applyFont="1" applyBorder="1" applyAlignment="1"/>
    <xf numFmtId="0" fontId="63" fillId="0" borderId="27" xfId="0" applyFont="1" applyBorder="1" applyAlignment="1">
      <alignment horizontal="left"/>
    </xf>
    <xf numFmtId="0" fontId="2" fillId="0" borderId="0" xfId="0" applyFont="1" applyAlignment="1"/>
    <xf numFmtId="0" fontId="2" fillId="0" borderId="68" xfId="0" applyFont="1" applyBorder="1" applyAlignment="1"/>
    <xf numFmtId="0" fontId="2" fillId="0" borderId="64" xfId="0" applyFont="1" applyBorder="1"/>
    <xf numFmtId="0" fontId="2" fillId="0" borderId="64" xfId="0" applyFont="1" applyBorder="1"/>
    <xf numFmtId="0" fontId="2" fillId="0" borderId="20" xfId="0" applyFont="1" applyBorder="1"/>
    <xf numFmtId="0" fontId="2" fillId="0" borderId="20" xfId="0" applyFont="1" applyBorder="1"/>
    <xf numFmtId="0" fontId="2" fillId="0" borderId="69" xfId="0" applyFont="1" applyBorder="1"/>
    <xf numFmtId="0" fontId="11" fillId="0" borderId="66" xfId="0" applyFont="1" applyBorder="1"/>
    <xf numFmtId="0" fontId="2" fillId="0" borderId="66" xfId="0" applyFont="1" applyBorder="1"/>
    <xf numFmtId="0" fontId="11" fillId="0" borderId="3" xfId="0" applyFont="1" applyBorder="1"/>
    <xf numFmtId="0" fontId="11" fillId="0" borderId="3" xfId="0" applyFont="1" applyBorder="1"/>
    <xf numFmtId="14" fontId="9" fillId="0" borderId="0" xfId="0" applyNumberFormat="1" applyFont="1" applyAlignment="1"/>
    <xf numFmtId="0" fontId="31" fillId="0" borderId="0" xfId="0" applyFont="1" applyAlignment="1">
      <alignment horizontal="center" vertical="center" wrapText="1"/>
    </xf>
    <xf numFmtId="4" fontId="9" fillId="0" borderId="28" xfId="0" applyNumberFormat="1" applyFont="1" applyBorder="1" applyAlignment="1"/>
    <xf numFmtId="0" fontId="9" fillId="0" borderId="28" xfId="0" applyFont="1" applyBorder="1" applyAlignment="1"/>
    <xf numFmtId="4" fontId="69" fillId="0" borderId="0" xfId="0" applyNumberFormat="1" applyFont="1" applyAlignment="1">
      <alignment horizontal="center"/>
    </xf>
    <xf numFmtId="4" fontId="70" fillId="0" borderId="0" xfId="0" applyNumberFormat="1" applyFont="1" applyAlignment="1">
      <alignment horizontal="center" vertical="center" wrapText="1"/>
    </xf>
    <xf numFmtId="4" fontId="70" fillId="0" borderId="20" xfId="0" applyNumberFormat="1" applyFont="1" applyBorder="1" applyAlignment="1">
      <alignment horizontal="center" vertical="center" wrapText="1"/>
    </xf>
    <xf numFmtId="4" fontId="70" fillId="0" borderId="63" xfId="0" applyNumberFormat="1" applyFont="1" applyBorder="1" applyAlignment="1">
      <alignment horizontal="center" vertical="center" wrapText="1"/>
    </xf>
    <xf numFmtId="4" fontId="71" fillId="0" borderId="0" xfId="0" applyNumberFormat="1" applyFont="1" applyAlignment="1">
      <alignment horizontal="center"/>
    </xf>
    <xf numFmtId="0" fontId="71" fillId="0" borderId="6" xfId="0" applyFont="1" applyBorder="1" applyAlignment="1">
      <alignment horizontal="center" vertical="center" wrapText="1"/>
    </xf>
    <xf numFmtId="0" fontId="9" fillId="0" borderId="64" xfId="0" applyFont="1" applyBorder="1" applyAlignment="1">
      <alignment horizontal="center" vertical="center" wrapText="1"/>
    </xf>
    <xf numFmtId="14" fontId="9" fillId="0" borderId="28" xfId="0" applyNumberFormat="1" applyFont="1" applyBorder="1" applyAlignment="1"/>
    <xf numFmtId="4" fontId="9" fillId="0" borderId="8" xfId="0" applyNumberFormat="1" applyFont="1" applyBorder="1" applyAlignment="1"/>
    <xf numFmtId="4" fontId="69" fillId="0" borderId="64" xfId="0" applyNumberFormat="1" applyFont="1" applyBorder="1" applyAlignment="1">
      <alignment horizontal="center" vertical="center"/>
    </xf>
    <xf numFmtId="14" fontId="69" fillId="0" borderId="64" xfId="0" applyNumberFormat="1" applyFont="1" applyBorder="1" applyAlignment="1">
      <alignment horizontal="center" vertical="center"/>
    </xf>
    <xf numFmtId="4" fontId="60" fillId="0" borderId="0" xfId="0" applyNumberFormat="1" applyFont="1"/>
    <xf numFmtId="14" fontId="2" fillId="0" borderId="0" xfId="0" applyNumberFormat="1" applyFont="1"/>
    <xf numFmtId="0" fontId="34" fillId="0" borderId="0" xfId="0" applyFont="1" applyAlignment="1"/>
    <xf numFmtId="0" fontId="34" fillId="0" borderId="0" xfId="0" applyFont="1" applyAlignment="1"/>
    <xf numFmtId="0" fontId="34" fillId="8" borderId="64" xfId="0" applyFont="1" applyFill="1" applyBorder="1" applyAlignment="1"/>
    <xf numFmtId="0" fontId="34" fillId="8" borderId="64" xfId="0" applyFont="1" applyFill="1" applyBorder="1" applyAlignment="1"/>
    <xf numFmtId="0" fontId="9" fillId="8" borderId="64" xfId="0" applyFont="1" applyFill="1" applyBorder="1" applyAlignment="1"/>
    <xf numFmtId="0" fontId="2" fillId="14" borderId="64" xfId="0" applyFont="1" applyFill="1" applyBorder="1" applyAlignment="1"/>
    <xf numFmtId="0" fontId="9" fillId="14" borderId="64" xfId="0" applyFont="1" applyFill="1" applyBorder="1" applyAlignment="1"/>
    <xf numFmtId="0" fontId="9" fillId="0" borderId="28" xfId="0" applyFont="1" applyBorder="1" applyAlignment="1"/>
    <xf numFmtId="0" fontId="2" fillId="8" borderId="0" xfId="0" applyFont="1" applyFill="1"/>
    <xf numFmtId="0" fontId="2" fillId="14" borderId="0" xfId="0" applyFont="1" applyFill="1"/>
    <xf numFmtId="0" fontId="34" fillId="8" borderId="3" xfId="0" applyFont="1" applyFill="1" applyBorder="1" applyAlignment="1"/>
    <xf numFmtId="0" fontId="34" fillId="8" borderId="4" xfId="0" applyFont="1" applyFill="1" applyBorder="1" applyAlignment="1">
      <alignment horizontal="right"/>
    </xf>
    <xf numFmtId="0" fontId="34" fillId="8" borderId="5" xfId="0" applyFont="1" applyFill="1" applyBorder="1" applyAlignment="1"/>
    <xf numFmtId="0" fontId="34" fillId="14" borderId="3" xfId="0" applyFont="1" applyFill="1" applyBorder="1" applyAlignment="1"/>
    <xf numFmtId="0" fontId="2" fillId="14" borderId="4" xfId="0" applyFont="1" applyFill="1" applyBorder="1" applyAlignment="1"/>
    <xf numFmtId="0" fontId="34" fillId="14" borderId="5" xfId="0" applyFont="1" applyFill="1" applyBorder="1" applyAlignment="1"/>
    <xf numFmtId="0" fontId="9" fillId="0" borderId="7" xfId="0" applyFont="1" applyBorder="1" applyAlignment="1"/>
    <xf numFmtId="0" fontId="34" fillId="0" borderId="8" xfId="0" applyFont="1" applyBorder="1" applyAlignment="1"/>
    <xf numFmtId="0" fontId="34" fillId="9" borderId="7" xfId="0" applyFont="1" applyFill="1" applyBorder="1" applyAlignment="1"/>
    <xf numFmtId="0" fontId="34" fillId="9" borderId="8" xfId="0" applyFont="1" applyFill="1" applyBorder="1" applyAlignment="1"/>
    <xf numFmtId="0" fontId="34" fillId="8" borderId="7" xfId="0" applyFont="1" applyFill="1" applyBorder="1" applyAlignment="1"/>
    <xf numFmtId="0" fontId="34" fillId="8" borderId="0" xfId="0" applyFont="1" applyFill="1" applyAlignment="1">
      <alignment horizontal="right"/>
    </xf>
    <xf numFmtId="0" fontId="34" fillId="8" borderId="8" xfId="0" applyFont="1" applyFill="1" applyBorder="1" applyAlignment="1"/>
    <xf numFmtId="0" fontId="34" fillId="14" borderId="7" xfId="0" applyFont="1" applyFill="1" applyBorder="1" applyAlignment="1"/>
    <xf numFmtId="0" fontId="2" fillId="14" borderId="0" xfId="0" applyFont="1" applyFill="1" applyAlignment="1"/>
    <xf numFmtId="0" fontId="34" fillId="14" borderId="8" xfId="0" applyFont="1" applyFill="1" applyBorder="1" applyAlignment="1"/>
    <xf numFmtId="0" fontId="34" fillId="0" borderId="7" xfId="0" applyFont="1" applyBorder="1" applyAlignment="1"/>
    <xf numFmtId="0" fontId="34" fillId="0" borderId="0" xfId="0" applyFont="1" applyAlignment="1">
      <alignment horizontal="right"/>
    </xf>
    <xf numFmtId="0" fontId="34" fillId="0" borderId="8" xfId="0" applyFont="1" applyBorder="1" applyAlignment="1">
      <alignment horizontal="right"/>
    </xf>
    <xf numFmtId="0" fontId="9" fillId="9" borderId="7" xfId="0" applyFont="1" applyFill="1" applyBorder="1" applyAlignment="1"/>
    <xf numFmtId="0" fontId="9" fillId="9" borderId="8" xfId="0" applyFont="1" applyFill="1" applyBorder="1"/>
    <xf numFmtId="0" fontId="34" fillId="9" borderId="8" xfId="0" applyFont="1" applyFill="1" applyBorder="1" applyAlignment="1">
      <alignment horizontal="right"/>
    </xf>
    <xf numFmtId="0" fontId="34" fillId="0" borderId="27" xfId="0" applyFont="1" applyBorder="1" applyAlignment="1"/>
    <xf numFmtId="0" fontId="34" fillId="0" borderId="28" xfId="0" applyFont="1" applyBorder="1" applyAlignment="1">
      <alignment horizontal="right"/>
    </xf>
    <xf numFmtId="0" fontId="34" fillId="0" borderId="29" xfId="0" applyFont="1" applyBorder="1" applyAlignment="1">
      <alignment horizontal="right"/>
    </xf>
    <xf numFmtId="0" fontId="34" fillId="0" borderId="7" xfId="0" applyFont="1" applyBorder="1" applyAlignment="1"/>
    <xf numFmtId="0" fontId="34" fillId="0" borderId="27" xfId="0" applyFont="1" applyBorder="1" applyAlignment="1"/>
    <xf numFmtId="0" fontId="34" fillId="0" borderId="28" xfId="0" applyFont="1" applyBorder="1" applyAlignment="1"/>
    <xf numFmtId="0" fontId="9" fillId="0" borderId="29" xfId="0" applyFont="1" applyBorder="1" applyAlignment="1"/>
    <xf numFmtId="0" fontId="9" fillId="0" borderId="64" xfId="0" applyFont="1" applyBorder="1" applyAlignment="1"/>
    <xf numFmtId="0" fontId="34" fillId="9" borderId="27" xfId="0" applyFont="1" applyFill="1" applyBorder="1" applyAlignment="1"/>
    <xf numFmtId="0" fontId="34" fillId="9" borderId="29" xfId="0" applyFont="1" applyFill="1" applyBorder="1" applyAlignment="1">
      <alignment horizontal="right"/>
    </xf>
    <xf numFmtId="0" fontId="34" fillId="7" borderId="20" xfId="0" applyFont="1" applyFill="1" applyBorder="1" applyAlignment="1"/>
    <xf numFmtId="0" fontId="9" fillId="7" borderId="21" xfId="0" applyFont="1" applyFill="1" applyBorder="1"/>
    <xf numFmtId="0" fontId="9" fillId="7" borderId="7" xfId="0" applyFont="1" applyFill="1" applyBorder="1" applyAlignment="1"/>
    <xf numFmtId="0" fontId="9" fillId="7" borderId="8" xfId="0" applyFont="1" applyFill="1" applyBorder="1" applyAlignment="1"/>
    <xf numFmtId="0" fontId="34" fillId="7" borderId="7" xfId="0" applyFont="1" applyFill="1" applyBorder="1" applyAlignment="1"/>
    <xf numFmtId="0" fontId="34" fillId="7" borderId="8" xfId="0" applyFont="1" applyFill="1" applyBorder="1" applyAlignment="1"/>
    <xf numFmtId="0" fontId="34" fillId="7" borderId="8" xfId="0" applyFont="1" applyFill="1" applyBorder="1" applyAlignment="1">
      <alignment horizontal="right"/>
    </xf>
    <xf numFmtId="0" fontId="2" fillId="0" borderId="64" xfId="0" applyFont="1" applyBorder="1" applyAlignment="1"/>
    <xf numFmtId="0" fontId="34" fillId="14" borderId="8" xfId="0" applyFont="1" applyFill="1" applyBorder="1" applyAlignment="1"/>
    <xf numFmtId="0" fontId="2" fillId="21" borderId="20" xfId="0" applyFont="1" applyFill="1" applyBorder="1" applyAlignment="1"/>
    <xf numFmtId="0" fontId="2" fillId="21" borderId="21" xfId="0" applyFont="1" applyFill="1" applyBorder="1"/>
    <xf numFmtId="0" fontId="38" fillId="21" borderId="3" xfId="0" applyFont="1" applyFill="1" applyBorder="1" applyAlignment="1">
      <alignment horizontal="left"/>
    </xf>
    <xf numFmtId="0" fontId="2" fillId="21" borderId="5" xfId="0" applyFont="1" applyFill="1" applyBorder="1" applyAlignment="1"/>
    <xf numFmtId="0" fontId="38" fillId="21" borderId="7" xfId="0" applyFont="1" applyFill="1" applyBorder="1" applyAlignment="1">
      <alignment horizontal="left"/>
    </xf>
    <xf numFmtId="0" fontId="9" fillId="21" borderId="8" xfId="0" applyFont="1" applyFill="1" applyBorder="1" applyAlignment="1"/>
    <xf numFmtId="0" fontId="38" fillId="21" borderId="7" xfId="0" applyFont="1" applyFill="1" applyBorder="1" applyAlignment="1">
      <alignment horizontal="left"/>
    </xf>
    <xf numFmtId="0" fontId="38" fillId="21" borderId="27" xfId="0" applyFont="1" applyFill="1" applyBorder="1" applyAlignment="1">
      <alignment horizontal="left"/>
    </xf>
    <xf numFmtId="0" fontId="9" fillId="21" borderId="29" xfId="0" applyFont="1" applyFill="1" applyBorder="1" applyAlignment="1"/>
    <xf numFmtId="0" fontId="34" fillId="8" borderId="27" xfId="0" applyFont="1" applyFill="1" applyBorder="1" applyAlignment="1"/>
    <xf numFmtId="0" fontId="34" fillId="8" borderId="28" xfId="0" applyFont="1" applyFill="1" applyBorder="1" applyAlignment="1">
      <alignment horizontal="right"/>
    </xf>
    <xf numFmtId="0" fontId="34" fillId="8" borderId="29" xfId="0" applyFont="1" applyFill="1" applyBorder="1" applyAlignment="1"/>
    <xf numFmtId="0" fontId="34" fillId="14" borderId="27" xfId="0" applyFont="1" applyFill="1" applyBorder="1" applyAlignment="1"/>
    <xf numFmtId="0" fontId="2" fillId="14" borderId="28" xfId="0" applyFont="1" applyFill="1" applyBorder="1" applyAlignment="1"/>
    <xf numFmtId="0" fontId="34" fillId="14" borderId="29" xfId="0" applyFont="1" applyFill="1" applyBorder="1" applyAlignment="1"/>
    <xf numFmtId="0" fontId="9" fillId="35" borderId="0" xfId="0" applyFont="1" applyFill="1" applyAlignment="1"/>
    <xf numFmtId="0" fontId="9" fillId="35" borderId="0" xfId="0" applyFont="1" applyFill="1" applyAlignment="1"/>
    <xf numFmtId="0" fontId="75" fillId="0" borderId="0" xfId="0" applyFont="1" applyAlignment="1">
      <alignment horizontal="left"/>
    </xf>
    <xf numFmtId="0" fontId="76" fillId="0" borderId="0" xfId="0" applyFont="1" applyAlignment="1">
      <alignment horizontal="left"/>
    </xf>
    <xf numFmtId="0" fontId="79" fillId="0" borderId="0" xfId="0" applyFont="1" applyAlignment="1">
      <alignment horizontal="left"/>
    </xf>
    <xf numFmtId="0" fontId="80" fillId="0" borderId="0" xfId="0" applyFont="1"/>
    <xf numFmtId="0" fontId="81" fillId="0" borderId="0" xfId="0" applyFont="1" applyAlignment="1"/>
    <xf numFmtId="170" fontId="9" fillId="0" borderId="28" xfId="0" applyNumberFormat="1" applyFont="1" applyBorder="1" applyAlignment="1"/>
    <xf numFmtId="3" fontId="9" fillId="0" borderId="28" xfId="0" applyNumberFormat="1" applyFont="1" applyBorder="1" applyAlignment="1"/>
    <xf numFmtId="0" fontId="9" fillId="0" borderId="8" xfId="0" applyFont="1" applyBorder="1" applyAlignment="1"/>
    <xf numFmtId="3" fontId="9" fillId="22" borderId="64" xfId="0" applyNumberFormat="1" applyFont="1" applyFill="1" applyBorder="1" applyAlignment="1"/>
    <xf numFmtId="0" fontId="9" fillId="22" borderId="64" xfId="0" applyFont="1" applyFill="1" applyBorder="1" applyAlignment="1"/>
    <xf numFmtId="0" fontId="2" fillId="22" borderId="64" xfId="0" applyFont="1" applyFill="1" applyBorder="1" applyAlignment="1"/>
    <xf numFmtId="166" fontId="9" fillId="22" borderId="64" xfId="0" applyNumberFormat="1" applyFont="1" applyFill="1" applyBorder="1" applyAlignment="1"/>
    <xf numFmtId="3" fontId="9" fillId="0" borderId="0" xfId="0" applyNumberFormat="1" applyFont="1" applyAlignment="1"/>
    <xf numFmtId="166" fontId="9" fillId="0" borderId="0" xfId="0" applyNumberFormat="1" applyFont="1" applyAlignment="1"/>
    <xf numFmtId="3" fontId="82" fillId="25" borderId="64" xfId="0" applyNumberFormat="1" applyFont="1" applyFill="1" applyBorder="1" applyAlignment="1">
      <alignment horizontal="center"/>
    </xf>
    <xf numFmtId="3" fontId="13" fillId="25" borderId="64" xfId="0" applyNumberFormat="1" applyFont="1" applyFill="1" applyBorder="1" applyAlignment="1">
      <alignment horizontal="center"/>
    </xf>
    <xf numFmtId="10" fontId="9" fillId="25" borderId="64" xfId="0" applyNumberFormat="1" applyFont="1" applyFill="1" applyBorder="1" applyAlignment="1">
      <alignment horizontal="center"/>
    </xf>
    <xf numFmtId="3" fontId="9" fillId="25" borderId="64" xfId="0" applyNumberFormat="1" applyFont="1" applyFill="1" applyBorder="1" applyAlignment="1">
      <alignment horizontal="center"/>
    </xf>
    <xf numFmtId="0" fontId="9" fillId="25" borderId="64" xfId="0" applyFont="1" applyFill="1" applyBorder="1" applyAlignment="1">
      <alignment horizontal="center"/>
    </xf>
    <xf numFmtId="0" fontId="9" fillId="25" borderId="64" xfId="0" applyFont="1" applyFill="1" applyBorder="1" applyAlignment="1">
      <alignment horizontal="center"/>
    </xf>
    <xf numFmtId="0" fontId="9" fillId="25" borderId="64" xfId="0" applyFont="1" applyFill="1" applyBorder="1" applyAlignment="1">
      <alignment horizontal="center"/>
    </xf>
    <xf numFmtId="0" fontId="9" fillId="25" borderId="64" xfId="0" applyFont="1" applyFill="1" applyBorder="1" applyAlignment="1">
      <alignment horizontal="center"/>
    </xf>
    <xf numFmtId="3" fontId="9" fillId="25" borderId="64" xfId="0" applyNumberFormat="1" applyFont="1" applyFill="1" applyBorder="1" applyAlignment="1">
      <alignment horizontal="center"/>
    </xf>
    <xf numFmtId="0" fontId="8" fillId="25" borderId="64" xfId="0" applyFont="1" applyFill="1" applyBorder="1" applyAlignment="1"/>
    <xf numFmtId="171" fontId="9" fillId="25" borderId="64" xfId="0" applyNumberFormat="1" applyFont="1" applyFill="1" applyBorder="1" applyAlignment="1">
      <alignment horizontal="center"/>
    </xf>
    <xf numFmtId="0" fontId="85" fillId="34" borderId="29" xfId="0" applyFont="1" applyFill="1" applyBorder="1" applyAlignment="1">
      <alignment horizontal="center" vertical="center"/>
    </xf>
    <xf numFmtId="0" fontId="86" fillId="34" borderId="29" xfId="0" applyFont="1" applyFill="1" applyBorder="1" applyAlignment="1">
      <alignment horizontal="center" vertical="center" wrapText="1"/>
    </xf>
    <xf numFmtId="0" fontId="87" fillId="34" borderId="29" xfId="0" applyFont="1" applyFill="1" applyBorder="1" applyAlignment="1">
      <alignment horizontal="center" vertical="center"/>
    </xf>
    <xf numFmtId="0" fontId="2" fillId="13" borderId="29" xfId="0" applyFont="1" applyFill="1" applyBorder="1" applyAlignment="1">
      <alignment horizontal="center"/>
    </xf>
    <xf numFmtId="2" fontId="2" fillId="9" borderId="29" xfId="0" applyNumberFormat="1" applyFont="1" applyFill="1" applyBorder="1" applyAlignment="1">
      <alignment horizontal="center"/>
    </xf>
    <xf numFmtId="2" fontId="2" fillId="9" borderId="29" xfId="0" applyNumberFormat="1" applyFont="1" applyFill="1" applyBorder="1" applyAlignment="1">
      <alignment horizontal="center"/>
    </xf>
    <xf numFmtId="0" fontId="2" fillId="13" borderId="29" xfId="0" applyFont="1" applyFill="1" applyBorder="1" applyAlignment="1">
      <alignment horizontal="center"/>
    </xf>
    <xf numFmtId="4" fontId="2" fillId="13" borderId="29" xfId="0" applyNumberFormat="1" applyFont="1" applyFill="1" applyBorder="1" applyAlignment="1">
      <alignment horizontal="center"/>
    </xf>
    <xf numFmtId="4" fontId="2" fillId="9" borderId="29" xfId="0" applyNumberFormat="1" applyFont="1" applyFill="1" applyBorder="1" applyAlignment="1">
      <alignment horizontal="center"/>
    </xf>
    <xf numFmtId="4" fontId="2" fillId="8" borderId="29" xfId="0" applyNumberFormat="1" applyFont="1" applyFill="1" applyBorder="1" applyAlignment="1">
      <alignment horizontal="center"/>
    </xf>
    <xf numFmtId="168" fontId="9" fillId="0" borderId="8" xfId="0" applyNumberFormat="1" applyFont="1" applyBorder="1" applyAlignment="1"/>
    <xf numFmtId="4" fontId="2" fillId="7" borderId="29" xfId="0" applyNumberFormat="1" applyFont="1" applyFill="1" applyBorder="1" applyAlignment="1">
      <alignment horizontal="center"/>
    </xf>
    <xf numFmtId="2" fontId="2" fillId="7" borderId="29" xfId="0" applyNumberFormat="1" applyFont="1" applyFill="1" applyBorder="1" applyAlignment="1">
      <alignment horizontal="center"/>
    </xf>
    <xf numFmtId="0" fontId="89" fillId="0" borderId="29" xfId="0" applyFont="1" applyBorder="1" applyAlignment="1">
      <alignment horizontal="center"/>
    </xf>
    <xf numFmtId="0" fontId="90" fillId="0" borderId="29" xfId="0" applyFont="1" applyBorder="1" applyAlignment="1">
      <alignment horizontal="center"/>
    </xf>
    <xf numFmtId="0" fontId="91" fillId="8" borderId="29" xfId="0" applyFont="1" applyFill="1" applyBorder="1" applyAlignment="1">
      <alignment horizontal="center"/>
    </xf>
    <xf numFmtId="0" fontId="34" fillId="0" borderId="29" xfId="0" applyFont="1" applyBorder="1" applyAlignment="1">
      <alignment horizontal="center"/>
    </xf>
    <xf numFmtId="3" fontId="9" fillId="0" borderId="29" xfId="0" applyNumberFormat="1" applyFont="1" applyBorder="1" applyAlignment="1">
      <alignment horizontal="center"/>
    </xf>
    <xf numFmtId="3" fontId="34" fillId="0" borderId="29" xfId="0" applyNumberFormat="1" applyFont="1" applyBorder="1" applyAlignment="1">
      <alignment horizontal="center"/>
    </xf>
    <xf numFmtId="3" fontId="92" fillId="8" borderId="29" xfId="0" applyNumberFormat="1" applyFont="1" applyFill="1" applyBorder="1" applyAlignment="1">
      <alignment horizontal="center"/>
    </xf>
    <xf numFmtId="0" fontId="93" fillId="0" borderId="0" xfId="0" applyFont="1" applyAlignment="1">
      <alignment horizontal="left"/>
    </xf>
    <xf numFmtId="3" fontId="45" fillId="8" borderId="29" xfId="0" applyNumberFormat="1" applyFont="1" applyFill="1" applyBorder="1" applyAlignment="1">
      <alignment horizontal="center"/>
    </xf>
    <xf numFmtId="0" fontId="34" fillId="0" borderId="0" xfId="0" applyFont="1"/>
    <xf numFmtId="0" fontId="94" fillId="0" borderId="0" xfId="0" applyFont="1" applyAlignment="1"/>
    <xf numFmtId="0" fontId="34" fillId="0" borderId="29" xfId="0" applyFont="1" applyBorder="1" applyAlignment="1">
      <alignment horizontal="center"/>
    </xf>
    <xf numFmtId="0" fontId="95" fillId="0" borderId="0" xfId="0" applyFont="1" applyAlignment="1"/>
    <xf numFmtId="0" fontId="34" fillId="0" borderId="29" xfId="0" applyFont="1" applyBorder="1" applyAlignment="1">
      <alignment horizontal="center"/>
    </xf>
    <xf numFmtId="3" fontId="9" fillId="0" borderId="29" xfId="0" applyNumberFormat="1" applyFont="1" applyBorder="1" applyAlignment="1">
      <alignment horizontal="center"/>
    </xf>
    <xf numFmtId="3" fontId="45" fillId="8" borderId="29" xfId="0" applyNumberFormat="1" applyFont="1" applyFill="1" applyBorder="1" applyAlignment="1">
      <alignment horizontal="center"/>
    </xf>
    <xf numFmtId="3" fontId="34" fillId="0" borderId="29" xfId="0" applyNumberFormat="1" applyFont="1" applyBorder="1" applyAlignment="1">
      <alignment horizontal="center"/>
    </xf>
    <xf numFmtId="3" fontId="92" fillId="8" borderId="29" xfId="0" applyNumberFormat="1" applyFont="1" applyFill="1" applyBorder="1" applyAlignment="1">
      <alignment horizontal="center"/>
    </xf>
    <xf numFmtId="0" fontId="11" fillId="14" borderId="29" xfId="0" applyFont="1" applyFill="1" applyBorder="1" applyAlignment="1">
      <alignment horizontal="center"/>
    </xf>
    <xf numFmtId="3" fontId="11" fillId="14" borderId="29" xfId="0" applyNumberFormat="1" applyFont="1" applyFill="1" applyBorder="1" applyAlignment="1">
      <alignment horizontal="center"/>
    </xf>
    <xf numFmtId="3" fontId="96" fillId="14" borderId="29" xfId="0" applyNumberFormat="1" applyFont="1" applyFill="1" applyBorder="1" applyAlignment="1">
      <alignment horizontal="center"/>
    </xf>
    <xf numFmtId="0" fontId="9" fillId="0" borderId="29" xfId="0" applyFont="1" applyBorder="1" applyAlignment="1"/>
    <xf numFmtId="0" fontId="34" fillId="8" borderId="29" xfId="0" applyFont="1" applyFill="1" applyBorder="1" applyAlignment="1">
      <alignment horizontal="center"/>
    </xf>
    <xf numFmtId="10" fontId="34" fillId="0" borderId="29" xfId="0" applyNumberFormat="1" applyFont="1" applyBorder="1" applyAlignment="1">
      <alignment horizontal="center"/>
    </xf>
    <xf numFmtId="10" fontId="34" fillId="8" borderId="29" xfId="0" applyNumberFormat="1" applyFont="1" applyFill="1" applyBorder="1" applyAlignment="1">
      <alignment horizontal="center"/>
    </xf>
    <xf numFmtId="10" fontId="34" fillId="15" borderId="29" xfId="0" applyNumberFormat="1" applyFont="1" applyFill="1" applyBorder="1" applyAlignment="1">
      <alignment horizontal="center"/>
    </xf>
    <xf numFmtId="172" fontId="34" fillId="0" borderId="29" xfId="0" applyNumberFormat="1" applyFont="1" applyBorder="1" applyAlignment="1">
      <alignment horizontal="center"/>
    </xf>
    <xf numFmtId="0" fontId="20" fillId="0" borderId="0" xfId="0" applyFont="1" applyAlignment="1"/>
    <xf numFmtId="0" fontId="2" fillId="0" borderId="0" xfId="0" applyFont="1" applyAlignment="1">
      <alignment horizontal="center"/>
    </xf>
    <xf numFmtId="0" fontId="2" fillId="14" borderId="64" xfId="0" applyFont="1" applyFill="1" applyBorder="1" applyAlignment="1">
      <alignment horizontal="center"/>
    </xf>
    <xf numFmtId="0" fontId="2" fillId="14" borderId="20" xfId="0" applyFont="1" applyFill="1" applyBorder="1" applyAlignment="1">
      <alignment horizontal="center"/>
    </xf>
    <xf numFmtId="0" fontId="2" fillId="34" borderId="66" xfId="0" applyFont="1" applyFill="1" applyBorder="1" applyAlignment="1">
      <alignment horizontal="center" vertical="center" wrapText="1"/>
    </xf>
    <xf numFmtId="0" fontId="2" fillId="34" borderId="6" xfId="0" applyFont="1" applyFill="1" applyBorder="1" applyAlignment="1">
      <alignment horizontal="center" vertical="center" wrapText="1"/>
    </xf>
    <xf numFmtId="0" fontId="2" fillId="34" borderId="65" xfId="0" applyFont="1" applyFill="1" applyBorder="1" applyAlignment="1">
      <alignment horizontal="center" vertical="center" wrapText="1"/>
    </xf>
    <xf numFmtId="0" fontId="2" fillId="14" borderId="6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14" borderId="65" xfId="0" applyFont="1" applyFill="1" applyBorder="1" applyAlignment="1">
      <alignment horizontal="center" vertical="center" wrapText="1"/>
    </xf>
    <xf numFmtId="0" fontId="2" fillId="3" borderId="64" xfId="0" applyFont="1" applyFill="1" applyBorder="1" applyAlignment="1">
      <alignment horizontal="center" vertical="center" wrapText="1"/>
    </xf>
    <xf numFmtId="0" fontId="2" fillId="3" borderId="65" xfId="0" applyFont="1" applyFill="1" applyBorder="1" applyAlignment="1">
      <alignment horizontal="center" vertical="center" wrapText="1"/>
    </xf>
    <xf numFmtId="0" fontId="98" fillId="0" borderId="0" xfId="0" applyFont="1" applyAlignment="1"/>
    <xf numFmtId="0" fontId="99" fillId="0" borderId="0" xfId="0" applyFont="1" applyAlignment="1"/>
    <xf numFmtId="0" fontId="35" fillId="0" borderId="64" xfId="0" applyFont="1" applyBorder="1" applyAlignment="1">
      <alignment horizontal="center"/>
    </xf>
    <xf numFmtId="0" fontId="38" fillId="0" borderId="7" xfId="0" applyFont="1" applyBorder="1" applyAlignment="1">
      <alignment horizontal="center"/>
    </xf>
    <xf numFmtId="171" fontId="38" fillId="0" borderId="0" xfId="0" applyNumberFormat="1" applyFont="1" applyAlignment="1">
      <alignment horizontal="center"/>
    </xf>
    <xf numFmtId="171" fontId="38" fillId="0" borderId="8" xfId="0" applyNumberFormat="1" applyFont="1" applyBorder="1" applyAlignment="1">
      <alignment horizontal="center"/>
    </xf>
    <xf numFmtId="166" fontId="38" fillId="0" borderId="7" xfId="0" applyNumberFormat="1" applyFont="1" applyBorder="1" applyAlignment="1">
      <alignment horizontal="center"/>
    </xf>
    <xf numFmtId="10" fontId="38" fillId="0" borderId="0" xfId="0" applyNumberFormat="1" applyFont="1" applyAlignment="1">
      <alignment horizontal="center"/>
    </xf>
    <xf numFmtId="10" fontId="38" fillId="0" borderId="8" xfId="0" applyNumberFormat="1" applyFont="1" applyBorder="1" applyAlignment="1">
      <alignment horizontal="center"/>
    </xf>
    <xf numFmtId="166" fontId="38" fillId="0" borderId="0" xfId="0" applyNumberFormat="1" applyFont="1" applyAlignment="1">
      <alignment horizontal="center"/>
    </xf>
    <xf numFmtId="0" fontId="38" fillId="0" borderId="27" xfId="0" applyFont="1" applyBorder="1" applyAlignment="1">
      <alignment horizontal="center"/>
    </xf>
    <xf numFmtId="171" fontId="38" fillId="0" borderId="28" xfId="0" applyNumberFormat="1" applyFont="1" applyBorder="1" applyAlignment="1">
      <alignment horizontal="center"/>
    </xf>
    <xf numFmtId="171" fontId="38" fillId="0" borderId="29" xfId="0" applyNumberFormat="1" applyFont="1" applyBorder="1" applyAlignment="1">
      <alignment horizontal="center"/>
    </xf>
    <xf numFmtId="166" fontId="38" fillId="0" borderId="27" xfId="0" applyNumberFormat="1" applyFont="1" applyBorder="1" applyAlignment="1">
      <alignment horizontal="center"/>
    </xf>
    <xf numFmtId="10" fontId="38" fillId="0" borderId="28" xfId="0" applyNumberFormat="1" applyFont="1" applyBorder="1" applyAlignment="1">
      <alignment horizontal="center"/>
    </xf>
    <xf numFmtId="10" fontId="38" fillId="0" borderId="29" xfId="0" applyNumberFormat="1" applyFont="1" applyBorder="1" applyAlignment="1">
      <alignment horizontal="center"/>
    </xf>
    <xf numFmtId="166" fontId="38" fillId="0" borderId="28" xfId="0" applyNumberFormat="1" applyFont="1" applyBorder="1" applyAlignment="1">
      <alignment horizontal="center"/>
    </xf>
    <xf numFmtId="0" fontId="2" fillId="35" borderId="0" xfId="0" applyFont="1" applyFill="1"/>
    <xf numFmtId="0" fontId="11" fillId="0" borderId="20" xfId="0" applyFont="1" applyBorder="1" applyAlignment="1">
      <alignment horizontal="center"/>
    </xf>
    <xf numFmtId="0" fontId="11" fillId="0" borderId="63" xfId="0" applyFont="1" applyBorder="1" applyAlignment="1">
      <alignment horizontal="center"/>
    </xf>
    <xf numFmtId="171" fontId="11" fillId="0" borderId="63" xfId="0" applyNumberFormat="1" applyFont="1" applyBorder="1" applyAlignment="1">
      <alignment horizontal="center"/>
    </xf>
    <xf numFmtId="171" fontId="11" fillId="0" borderId="63" xfId="0" applyNumberFormat="1" applyFont="1" applyBorder="1" applyAlignment="1">
      <alignment horizontal="center"/>
    </xf>
    <xf numFmtId="10" fontId="11" fillId="0" borderId="63" xfId="0" applyNumberFormat="1" applyFont="1" applyBorder="1" applyAlignment="1">
      <alignment horizontal="center"/>
    </xf>
    <xf numFmtId="10" fontId="11" fillId="0" borderId="21" xfId="0" applyNumberFormat="1" applyFont="1" applyBorder="1" applyAlignment="1">
      <alignment horizontal="center"/>
    </xf>
    <xf numFmtId="0" fontId="38" fillId="0" borderId="7" xfId="0" applyFont="1" applyBorder="1" applyAlignment="1">
      <alignment horizontal="center"/>
    </xf>
    <xf numFmtId="0" fontId="38" fillId="0" borderId="28" xfId="0" applyFont="1" applyBorder="1" applyAlignment="1">
      <alignment horizontal="center"/>
    </xf>
    <xf numFmtId="0" fontId="11" fillId="0" borderId="63" xfId="0" applyFont="1" applyBorder="1" applyAlignment="1">
      <alignment horizontal="center"/>
    </xf>
    <xf numFmtId="0" fontId="4" fillId="4" borderId="11" xfId="0" applyFont="1" applyFill="1" applyBorder="1" applyAlignment="1">
      <alignment horizontal="center" vertical="center" wrapText="1"/>
    </xf>
    <xf numFmtId="0" fontId="2" fillId="0" borderId="13" xfId="0" applyFont="1" applyBorder="1"/>
    <xf numFmtId="0" fontId="6" fillId="4" borderId="9" xfId="0" applyFont="1" applyFill="1" applyBorder="1" applyAlignment="1">
      <alignment horizontal="center" vertical="center" wrapText="1"/>
    </xf>
    <xf numFmtId="0" fontId="2" fillId="0" borderId="10" xfId="0" applyFont="1" applyBorder="1"/>
    <xf numFmtId="0" fontId="2" fillId="0" borderId="12" xfId="0" applyFont="1" applyBorder="1"/>
    <xf numFmtId="0" fontId="0" fillId="0" borderId="0" xfId="0" applyFont="1" applyAlignment="1"/>
    <xf numFmtId="0" fontId="4" fillId="2" borderId="1" xfId="0" applyFont="1" applyFill="1" applyBorder="1" applyAlignment="1">
      <alignment horizontal="center" vertical="center" wrapText="1"/>
    </xf>
    <xf numFmtId="0" fontId="2" fillId="0" borderId="2" xfId="0" applyFont="1" applyBorder="1"/>
    <xf numFmtId="0" fontId="7" fillId="4" borderId="9"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2" fillId="0" borderId="4" xfId="0" applyFont="1" applyBorder="1"/>
    <xf numFmtId="0" fontId="2" fillId="12" borderId="3" xfId="0" applyFont="1" applyFill="1" applyBorder="1" applyAlignment="1">
      <alignment horizontal="center" vertical="center" wrapText="1"/>
    </xf>
    <xf numFmtId="0" fontId="2" fillId="0" borderId="5" xfId="0" applyFont="1" applyBorder="1"/>
    <xf numFmtId="0" fontId="2" fillId="0" borderId="27" xfId="0" applyFont="1" applyBorder="1"/>
    <xf numFmtId="0" fontId="2" fillId="0" borderId="29" xfId="0" applyFont="1" applyBorder="1"/>
    <xf numFmtId="0" fontId="10" fillId="14" borderId="33" xfId="0" applyFont="1" applyFill="1" applyBorder="1" applyAlignment="1"/>
    <xf numFmtId="0" fontId="2" fillId="0" borderId="34" xfId="0" applyFont="1" applyBorder="1"/>
    <xf numFmtId="0" fontId="10" fillId="14" borderId="35" xfId="0" applyFont="1" applyFill="1" applyBorder="1" applyAlignment="1"/>
    <xf numFmtId="0" fontId="2" fillId="0" borderId="36" xfId="0" applyFont="1" applyBorder="1"/>
    <xf numFmtId="0" fontId="2" fillId="0" borderId="37" xfId="0" applyFont="1" applyBorder="1"/>
    <xf numFmtId="0" fontId="18" fillId="13" borderId="30" xfId="0" applyFont="1" applyFill="1" applyBorder="1" applyAlignment="1">
      <alignment horizontal="left" vertical="center"/>
    </xf>
    <xf numFmtId="0" fontId="2" fillId="0" borderId="31" xfId="0" applyFont="1" applyBorder="1"/>
    <xf numFmtId="0" fontId="2" fillId="0" borderId="32" xfId="0" applyFont="1" applyBorder="1"/>
    <xf numFmtId="0" fontId="2" fillId="5" borderId="11" xfId="0" applyFont="1" applyFill="1" applyBorder="1" applyAlignment="1">
      <alignment horizontal="center" vertical="center" wrapText="1"/>
    </xf>
    <xf numFmtId="0" fontId="11" fillId="5" borderId="9" xfId="0" applyFont="1" applyFill="1" applyBorder="1" applyAlignment="1">
      <alignment horizontal="center" vertical="center" wrapText="1"/>
    </xf>
    <xf numFmtId="3" fontId="2" fillId="5" borderId="20" xfId="0" applyNumberFormat="1" applyFont="1" applyFill="1" applyBorder="1" applyAlignment="1">
      <alignment horizontal="center"/>
    </xf>
    <xf numFmtId="0" fontId="2" fillId="0" borderId="21" xfId="0" applyFont="1" applyBorder="1"/>
    <xf numFmtId="10" fontId="11" fillId="6" borderId="22" xfId="0" applyNumberFormat="1" applyFont="1" applyFill="1" applyBorder="1" applyAlignment="1">
      <alignment horizontal="center"/>
    </xf>
    <xf numFmtId="0" fontId="2" fillId="0" borderId="23" xfId="0" applyFont="1" applyBorder="1"/>
    <xf numFmtId="0" fontId="2" fillId="5" borderId="4" xfId="0" applyFont="1" applyFill="1" applyBorder="1" applyAlignment="1">
      <alignment horizontal="center" vertical="center" wrapText="1"/>
    </xf>
    <xf numFmtId="0" fontId="2" fillId="0" borderId="28" xfId="0" applyFont="1" applyBorder="1"/>
    <xf numFmtId="0" fontId="2" fillId="5" borderId="3"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2" fillId="0" borderId="7" xfId="0" applyFont="1" applyBorder="1"/>
    <xf numFmtId="0" fontId="2" fillId="0" borderId="8" xfId="0" applyFont="1" applyBorder="1"/>
    <xf numFmtId="0" fontId="2" fillId="7" borderId="4"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6" fillId="4" borderId="20" xfId="0" applyFont="1" applyFill="1" applyBorder="1" applyAlignment="1">
      <alignment horizontal="center"/>
    </xf>
    <xf numFmtId="0" fontId="2" fillId="6" borderId="11" xfId="0" applyFont="1" applyFill="1" applyBorder="1" applyAlignment="1">
      <alignment horizontal="center" vertical="center" wrapText="1"/>
    </xf>
    <xf numFmtId="0" fontId="11" fillId="6" borderId="9" xfId="0" applyFont="1" applyFill="1" applyBorder="1" applyAlignment="1">
      <alignment horizontal="center" vertical="center" wrapText="1"/>
    </xf>
    <xf numFmtId="0" fontId="15" fillId="5" borderId="24" xfId="0" applyFont="1" applyFill="1" applyBorder="1" applyAlignment="1">
      <alignment horizontal="center"/>
    </xf>
    <xf numFmtId="0" fontId="2" fillId="0" borderId="25" xfId="0" applyFont="1" applyBorder="1"/>
    <xf numFmtId="0" fontId="2" fillId="0" borderId="26" xfId="0" applyFont="1" applyBorder="1"/>
    <xf numFmtId="165" fontId="10" fillId="6" borderId="16" xfId="0" applyNumberFormat="1" applyFont="1" applyFill="1" applyBorder="1" applyAlignment="1">
      <alignment horizontal="center" vertical="center" wrapText="1"/>
    </xf>
    <xf numFmtId="0" fontId="2" fillId="0" borderId="18" xfId="0" applyFont="1" applyBorder="1"/>
    <xf numFmtId="3" fontId="9" fillId="6" borderId="17" xfId="0" applyNumberFormat="1" applyFont="1" applyFill="1" applyBorder="1" applyAlignment="1">
      <alignment horizontal="center" vertical="center" wrapText="1"/>
    </xf>
    <xf numFmtId="0" fontId="2" fillId="0" borderId="19" xfId="0" applyFont="1" applyBorder="1"/>
    <xf numFmtId="0" fontId="5" fillId="0" borderId="3" xfId="0" applyFont="1" applyBorder="1" applyAlignment="1">
      <alignment horizontal="center" vertical="center" wrapText="1"/>
    </xf>
    <xf numFmtId="0" fontId="14" fillId="6" borderId="9"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2" fillId="11" borderId="3" xfId="0" applyFont="1" applyFill="1" applyBorder="1" applyAlignment="1">
      <alignment horizontal="center" vertical="center" wrapText="1"/>
    </xf>
    <xf numFmtId="0" fontId="2" fillId="10" borderId="4" xfId="0" applyFont="1" applyFill="1" applyBorder="1" applyAlignment="1">
      <alignment horizontal="center" vertical="center" wrapText="1"/>
    </xf>
    <xf numFmtId="0" fontId="2" fillId="12" borderId="4"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2" fillId="9" borderId="4"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6" fillId="11" borderId="20" xfId="0" applyFont="1" applyFill="1" applyBorder="1" applyAlignment="1">
      <alignment horizontal="center"/>
    </xf>
    <xf numFmtId="0" fontId="2" fillId="8" borderId="20" xfId="0" applyFont="1" applyFill="1" applyBorder="1" applyAlignment="1"/>
    <xf numFmtId="0" fontId="2" fillId="32" borderId="20" xfId="0" applyFont="1" applyFill="1" applyBorder="1" applyAlignment="1"/>
    <xf numFmtId="3" fontId="9" fillId="32" borderId="28" xfId="0" applyNumberFormat="1" applyFont="1" applyFill="1" applyBorder="1" applyAlignment="1">
      <alignment horizontal="center" vertical="center"/>
    </xf>
    <xf numFmtId="165" fontId="13" fillId="8" borderId="20" xfId="0" applyNumberFormat="1" applyFont="1" applyFill="1" applyBorder="1" applyAlignment="1">
      <alignment horizontal="center" vertical="center" wrapText="1"/>
    </xf>
    <xf numFmtId="3" fontId="13" fillId="8" borderId="28" xfId="0" applyNumberFormat="1" applyFont="1" applyFill="1" applyBorder="1" applyAlignment="1">
      <alignment horizontal="center" vertical="center"/>
    </xf>
    <xf numFmtId="165" fontId="9" fillId="8" borderId="20" xfId="0" applyNumberFormat="1" applyFont="1" applyFill="1" applyBorder="1" applyAlignment="1">
      <alignment horizontal="center" wrapText="1"/>
    </xf>
    <xf numFmtId="3" fontId="9" fillId="8" borderId="20" xfId="0" applyNumberFormat="1" applyFont="1" applyFill="1" applyBorder="1" applyAlignment="1">
      <alignment horizontal="center" wrapText="1"/>
    </xf>
    <xf numFmtId="3" fontId="9" fillId="8" borderId="28" xfId="0" applyNumberFormat="1" applyFont="1" applyFill="1" applyBorder="1" applyAlignment="1">
      <alignment horizontal="center" vertical="center"/>
    </xf>
    <xf numFmtId="165" fontId="9" fillId="32" borderId="20" xfId="0" applyNumberFormat="1" applyFont="1" applyFill="1" applyBorder="1" applyAlignment="1">
      <alignment horizontal="center" wrapText="1"/>
    </xf>
    <xf numFmtId="165" fontId="13" fillId="32" borderId="20" xfId="0" applyNumberFormat="1" applyFont="1" applyFill="1" applyBorder="1" applyAlignment="1">
      <alignment horizontal="center" wrapText="1"/>
    </xf>
    <xf numFmtId="3" fontId="13" fillId="32" borderId="20" xfId="0" applyNumberFormat="1" applyFont="1" applyFill="1" applyBorder="1" applyAlignment="1">
      <alignment horizontal="center" wrapText="1"/>
    </xf>
    <xf numFmtId="3" fontId="9" fillId="32" borderId="20" xfId="0" applyNumberFormat="1" applyFont="1" applyFill="1" applyBorder="1" applyAlignment="1">
      <alignment horizontal="center" wrapText="1"/>
    </xf>
    <xf numFmtId="165" fontId="9" fillId="8" borderId="20" xfId="0" applyNumberFormat="1" applyFont="1" applyFill="1" applyBorder="1" applyAlignment="1">
      <alignment horizontal="center" vertical="center" wrapText="1"/>
    </xf>
    <xf numFmtId="165" fontId="9" fillId="32" borderId="20" xfId="0" applyNumberFormat="1" applyFont="1" applyFill="1" applyBorder="1" applyAlignment="1">
      <alignment horizontal="center" vertical="center" wrapText="1"/>
    </xf>
    <xf numFmtId="165" fontId="32" fillId="32" borderId="20" xfId="0" applyNumberFormat="1" applyFont="1" applyFill="1" applyBorder="1" applyAlignment="1">
      <alignment horizontal="center" vertical="center" wrapText="1"/>
    </xf>
    <xf numFmtId="165" fontId="13" fillId="29" borderId="60" xfId="0" applyNumberFormat="1" applyFont="1" applyFill="1" applyBorder="1" applyAlignment="1">
      <alignment horizontal="center" vertical="center"/>
    </xf>
    <xf numFmtId="0" fontId="2" fillId="0" borderId="61" xfId="0" applyFont="1" applyBorder="1"/>
    <xf numFmtId="168" fontId="13" fillId="29" borderId="61" xfId="0" applyNumberFormat="1" applyFont="1" applyFill="1" applyBorder="1" applyAlignment="1">
      <alignment horizontal="center" vertical="center"/>
    </xf>
    <xf numFmtId="0" fontId="2" fillId="0" borderId="62" xfId="0" applyFont="1" applyBorder="1"/>
    <xf numFmtId="165" fontId="31" fillId="30" borderId="61" xfId="0" applyNumberFormat="1" applyFont="1" applyFill="1" applyBorder="1" applyAlignment="1">
      <alignment horizontal="left" vertical="center"/>
    </xf>
    <xf numFmtId="0" fontId="7" fillId="17" borderId="46" xfId="0" applyFont="1" applyFill="1" applyBorder="1" applyAlignment="1">
      <alignment horizontal="center"/>
    </xf>
    <xf numFmtId="0" fontId="2" fillId="0" borderId="47" xfId="0" applyFont="1" applyBorder="1"/>
    <xf numFmtId="0" fontId="2" fillId="0" borderId="48" xfId="0" applyFont="1" applyBorder="1"/>
    <xf numFmtId="0" fontId="7" fillId="16" borderId="42" xfId="0" applyFont="1" applyFill="1" applyBorder="1" applyAlignment="1">
      <alignment horizontal="center"/>
    </xf>
    <xf numFmtId="0" fontId="2" fillId="0" borderId="43" xfId="0" applyFont="1" applyBorder="1"/>
    <xf numFmtId="0" fontId="2" fillId="0" borderId="44" xfId="0" applyFont="1" applyBorder="1"/>
    <xf numFmtId="2" fontId="9" fillId="30" borderId="60" xfId="0" applyNumberFormat="1" applyFont="1" applyFill="1" applyBorder="1" applyAlignment="1">
      <alignment horizontal="right" vertical="center"/>
    </xf>
    <xf numFmtId="3" fontId="9" fillId="30" borderId="61" xfId="0" applyNumberFormat="1" applyFont="1" applyFill="1" applyBorder="1" applyAlignment="1">
      <alignment horizontal="right" vertical="center"/>
    </xf>
    <xf numFmtId="2" fontId="9" fillId="7" borderId="56" xfId="0" applyNumberFormat="1" applyFont="1" applyFill="1" applyBorder="1" applyAlignment="1">
      <alignment horizontal="center"/>
    </xf>
    <xf numFmtId="0" fontId="2" fillId="0" borderId="58" xfId="0" applyFont="1" applyBorder="1"/>
    <xf numFmtId="2" fontId="9" fillId="26" borderId="56" xfId="0" applyNumberFormat="1" applyFont="1" applyFill="1" applyBorder="1" applyAlignment="1">
      <alignment horizontal="center"/>
    </xf>
    <xf numFmtId="165" fontId="31" fillId="29" borderId="61" xfId="0" applyNumberFormat="1" applyFont="1" applyFill="1" applyBorder="1" applyAlignment="1">
      <alignment horizontal="left" vertical="center"/>
    </xf>
    <xf numFmtId="165" fontId="7" fillId="28" borderId="60" xfId="0" applyNumberFormat="1" applyFont="1" applyFill="1" applyBorder="1" applyAlignment="1">
      <alignment horizontal="center" vertical="center"/>
    </xf>
    <xf numFmtId="167" fontId="9" fillId="29" borderId="60" xfId="0" applyNumberFormat="1" applyFont="1" applyFill="1" applyBorder="1" applyAlignment="1">
      <alignment horizontal="right" vertical="center"/>
    </xf>
    <xf numFmtId="165" fontId="30" fillId="28" borderId="61" xfId="0" applyNumberFormat="1" applyFont="1" applyFill="1" applyBorder="1" applyAlignment="1">
      <alignment horizontal="center" vertical="center"/>
    </xf>
    <xf numFmtId="165" fontId="7" fillId="28" borderId="61" xfId="0" applyNumberFormat="1" applyFont="1" applyFill="1" applyBorder="1" applyAlignment="1">
      <alignment horizontal="center" vertical="center"/>
    </xf>
    <xf numFmtId="0" fontId="7" fillId="28" borderId="60" xfId="0" applyFont="1" applyFill="1" applyBorder="1" applyAlignment="1">
      <alignment horizontal="center" vertical="center"/>
    </xf>
    <xf numFmtId="0" fontId="7" fillId="27" borderId="60" xfId="0" applyFont="1" applyFill="1" applyBorder="1" applyAlignment="1">
      <alignment horizontal="center" vertical="center"/>
    </xf>
    <xf numFmtId="0" fontId="27" fillId="31" borderId="20" xfId="0" applyFont="1" applyFill="1" applyBorder="1" applyAlignment="1">
      <alignment horizontal="center"/>
    </xf>
    <xf numFmtId="0" fontId="2" fillId="0" borderId="63" xfId="0" applyFont="1" applyBorder="1"/>
    <xf numFmtId="0" fontId="4" fillId="31" borderId="3" xfId="0" applyFont="1" applyFill="1" applyBorder="1" applyAlignment="1">
      <alignment horizontal="center" vertical="center" wrapText="1"/>
    </xf>
    <xf numFmtId="0" fontId="7" fillId="31" borderId="3" xfId="0" applyFont="1" applyFill="1" applyBorder="1" applyAlignment="1">
      <alignment horizontal="center" vertical="center" wrapText="1"/>
    </xf>
    <xf numFmtId="166" fontId="9" fillId="7" borderId="56" xfId="0" applyNumberFormat="1" applyFont="1" applyFill="1" applyBorder="1" applyAlignment="1">
      <alignment horizontal="center"/>
    </xf>
    <xf numFmtId="10" fontId="20" fillId="23" borderId="57" xfId="0" applyNumberFormat="1" applyFont="1" applyFill="1" applyBorder="1" applyAlignment="1">
      <alignment horizontal="center"/>
    </xf>
    <xf numFmtId="0" fontId="2" fillId="0" borderId="57" xfId="0" applyFont="1" applyBorder="1"/>
    <xf numFmtId="166" fontId="9" fillId="26" borderId="56" xfId="0" applyNumberFormat="1" applyFont="1" applyFill="1" applyBorder="1" applyAlignment="1">
      <alignment horizontal="center"/>
    </xf>
    <xf numFmtId="0" fontId="9" fillId="7" borderId="56" xfId="0" applyFont="1" applyFill="1" applyBorder="1" applyAlignment="1">
      <alignment horizontal="center"/>
    </xf>
    <xf numFmtId="0" fontId="9" fillId="26" borderId="56" xfId="0" applyFont="1" applyFill="1" applyBorder="1" applyAlignment="1">
      <alignment horizontal="center"/>
    </xf>
    <xf numFmtId="168" fontId="9" fillId="30" borderId="61" xfId="0" applyNumberFormat="1" applyFont="1" applyFill="1" applyBorder="1" applyAlignment="1">
      <alignment horizontal="right" vertical="center"/>
    </xf>
    <xf numFmtId="3" fontId="9" fillId="29" borderId="61" xfId="0" applyNumberFormat="1" applyFont="1" applyFill="1" applyBorder="1" applyAlignment="1">
      <alignment horizontal="right" vertical="center"/>
    </xf>
    <xf numFmtId="2" fontId="9" fillId="29" borderId="60" xfId="0" applyNumberFormat="1" applyFont="1" applyFill="1" applyBorder="1" applyAlignment="1">
      <alignment horizontal="right" vertical="center"/>
    </xf>
    <xf numFmtId="169" fontId="9" fillId="30" borderId="60" xfId="0" applyNumberFormat="1" applyFont="1" applyFill="1" applyBorder="1" applyAlignment="1">
      <alignment horizontal="right" vertical="center"/>
    </xf>
    <xf numFmtId="10" fontId="27" fillId="23" borderId="56" xfId="0" applyNumberFormat="1" applyFont="1" applyFill="1" applyBorder="1" applyAlignment="1">
      <alignment horizontal="center"/>
    </xf>
    <xf numFmtId="0" fontId="24" fillId="18" borderId="49" xfId="0" applyFont="1" applyFill="1" applyBorder="1" applyAlignment="1">
      <alignment horizontal="center" vertical="center" wrapText="1"/>
    </xf>
    <xf numFmtId="0" fontId="2" fillId="0" borderId="50" xfId="0" applyFont="1" applyBorder="1"/>
    <xf numFmtId="0" fontId="2" fillId="0" borderId="52" xfId="0" applyFont="1" applyBorder="1"/>
    <xf numFmtId="164" fontId="27" fillId="23" borderId="57" xfId="0" applyNumberFormat="1" applyFont="1" applyFill="1" applyBorder="1" applyAlignment="1">
      <alignment horizontal="center"/>
    </xf>
    <xf numFmtId="10" fontId="27" fillId="23" borderId="57" xfId="0" applyNumberFormat="1" applyFont="1" applyFill="1" applyBorder="1" applyAlignment="1">
      <alignment horizontal="center"/>
    </xf>
    <xf numFmtId="0" fontId="27" fillId="23" borderId="57" xfId="0" applyFont="1" applyFill="1" applyBorder="1" applyAlignment="1">
      <alignment horizontal="center"/>
    </xf>
    <xf numFmtId="0" fontId="24" fillId="18" borderId="49" xfId="0" applyFont="1" applyFill="1" applyBorder="1" applyAlignment="1">
      <alignment horizontal="center" vertical="center"/>
    </xf>
    <xf numFmtId="0" fontId="2" fillId="0" borderId="51" xfId="0" applyFont="1" applyBorder="1"/>
    <xf numFmtId="0" fontId="2" fillId="0" borderId="54" xfId="0" applyFont="1" applyBorder="1"/>
    <xf numFmtId="0" fontId="2" fillId="0" borderId="53" xfId="0" applyFont="1" applyBorder="1"/>
    <xf numFmtId="0" fontId="2" fillId="0" borderId="55" xfId="0" applyFont="1" applyBorder="1"/>
    <xf numFmtId="0" fontId="29" fillId="23" borderId="56" xfId="0" applyFont="1" applyFill="1" applyBorder="1" applyAlignment="1">
      <alignment horizontal="center"/>
    </xf>
    <xf numFmtId="0" fontId="29" fillId="23" borderId="57" xfId="0" applyFont="1" applyFill="1" applyBorder="1" applyAlignment="1">
      <alignment horizontal="center"/>
    </xf>
    <xf numFmtId="0" fontId="23" fillId="2" borderId="1" xfId="0" applyFont="1" applyFill="1" applyBorder="1" applyAlignment="1">
      <alignment horizontal="center" vertical="center" wrapText="1"/>
    </xf>
    <xf numFmtId="0" fontId="2" fillId="0" borderId="40" xfId="0" applyFont="1" applyBorder="1"/>
    <xf numFmtId="0" fontId="21" fillId="2" borderId="1" xfId="0" applyFont="1" applyFill="1" applyBorder="1" applyAlignment="1">
      <alignment horizontal="center" vertical="center" wrapText="1"/>
    </xf>
    <xf numFmtId="0" fontId="26" fillId="2" borderId="1" xfId="0" applyFont="1" applyFill="1" applyBorder="1" applyAlignment="1">
      <alignment horizontal="center" vertical="center" wrapText="1"/>
    </xf>
    <xf numFmtId="0" fontId="13" fillId="36" borderId="20" xfId="0" applyFont="1" applyFill="1" applyBorder="1" applyAlignment="1">
      <alignment horizontal="center"/>
    </xf>
    <xf numFmtId="0" fontId="46" fillId="35" borderId="20" xfId="0" applyFont="1" applyFill="1" applyBorder="1" applyAlignment="1">
      <alignment horizontal="center"/>
    </xf>
    <xf numFmtId="0" fontId="13" fillId="36" borderId="63" xfId="0" applyFont="1" applyFill="1" applyBorder="1" applyAlignment="1">
      <alignment horizontal="center"/>
    </xf>
    <xf numFmtId="0" fontId="13" fillId="0" borderId="0" xfId="0" applyFont="1" applyAlignment="1">
      <alignment horizontal="center"/>
    </xf>
    <xf numFmtId="0" fontId="2" fillId="13" borderId="7" xfId="0" applyFont="1" applyFill="1" applyBorder="1" applyAlignment="1"/>
    <xf numFmtId="0" fontId="41" fillId="13" borderId="3" xfId="0" applyFont="1" applyFill="1" applyBorder="1" applyAlignment="1"/>
    <xf numFmtId="0" fontId="9" fillId="6" borderId="0" xfId="0" applyFont="1" applyFill="1" applyAlignment="1">
      <alignment horizontal="center"/>
    </xf>
    <xf numFmtId="0" fontId="9" fillId="25" borderId="0" xfId="0" applyFont="1" applyFill="1" applyAlignment="1">
      <alignment horizontal="center"/>
    </xf>
    <xf numFmtId="0" fontId="9" fillId="24" borderId="0" xfId="0" applyFont="1" applyFill="1" applyAlignment="1">
      <alignment horizontal="center"/>
    </xf>
    <xf numFmtId="0" fontId="9" fillId="0" borderId="0" xfId="0" applyFont="1" applyAlignment="1">
      <alignment horizontal="center"/>
    </xf>
    <xf numFmtId="0" fontId="9" fillId="24" borderId="28" xfId="0" applyFont="1" applyFill="1" applyBorder="1" applyAlignment="1">
      <alignment horizontal="center"/>
    </xf>
    <xf numFmtId="0" fontId="2" fillId="13" borderId="3" xfId="0" applyFont="1" applyFill="1" applyBorder="1" applyAlignment="1">
      <alignment vertical="center" wrapText="1"/>
    </xf>
    <xf numFmtId="0" fontId="11" fillId="13" borderId="20" xfId="0" applyFont="1" applyFill="1" applyBorder="1" applyAlignment="1"/>
    <xf numFmtId="0" fontId="2" fillId="13" borderId="27" xfId="0" applyFont="1" applyFill="1" applyBorder="1" applyAlignment="1"/>
    <xf numFmtId="0" fontId="13" fillId="13" borderId="20" xfId="0" applyFont="1" applyFill="1" applyBorder="1" applyAlignment="1"/>
    <xf numFmtId="0" fontId="11" fillId="13" borderId="7" xfId="0" applyFont="1" applyFill="1" applyBorder="1" applyAlignment="1"/>
    <xf numFmtId="0" fontId="62" fillId="0" borderId="20" xfId="0" applyFont="1" applyBorder="1" applyAlignment="1">
      <alignment horizontal="center"/>
    </xf>
    <xf numFmtId="0" fontId="13" fillId="9" borderId="20" xfId="0" applyFont="1" applyFill="1" applyBorder="1" applyAlignment="1">
      <alignment horizontal="center"/>
    </xf>
    <xf numFmtId="0" fontId="13" fillId="22" borderId="20" xfId="0" applyFont="1" applyFill="1" applyBorder="1" applyAlignment="1">
      <alignment horizontal="center"/>
    </xf>
    <xf numFmtId="0" fontId="13" fillId="38" borderId="20" xfId="0" applyFont="1" applyFill="1" applyBorder="1" applyAlignment="1">
      <alignment horizontal="center"/>
    </xf>
    <xf numFmtId="0" fontId="13" fillId="5" borderId="20" xfId="0" applyFont="1" applyFill="1" applyBorder="1" applyAlignment="1">
      <alignment horizontal="center"/>
    </xf>
    <xf numFmtId="0" fontId="2" fillId="7" borderId="20" xfId="0" applyFont="1" applyFill="1" applyBorder="1"/>
    <xf numFmtId="0" fontId="13" fillId="7" borderId="20" xfId="0" applyFont="1" applyFill="1" applyBorder="1" applyAlignment="1">
      <alignment horizontal="center"/>
    </xf>
    <xf numFmtId="0" fontId="13" fillId="21" borderId="20" xfId="0" applyFont="1" applyFill="1" applyBorder="1" applyAlignment="1">
      <alignment horizontal="center"/>
    </xf>
    <xf numFmtId="0" fontId="13" fillId="15" borderId="20" xfId="0" applyFont="1" applyFill="1" applyBorder="1" applyAlignment="1">
      <alignment horizontal="center"/>
    </xf>
    <xf numFmtId="0" fontId="66" fillId="7" borderId="20" xfId="0" applyFont="1" applyFill="1" applyBorder="1" applyAlignment="1">
      <alignment horizontal="center"/>
    </xf>
    <xf numFmtId="0" fontId="7" fillId="39" borderId="20" xfId="0" applyFont="1" applyFill="1" applyBorder="1"/>
    <xf numFmtId="0" fontId="64" fillId="15" borderId="20" xfId="0" applyFont="1" applyFill="1" applyBorder="1" applyAlignment="1">
      <alignment horizontal="center"/>
    </xf>
    <xf numFmtId="0" fontId="36" fillId="7" borderId="20" xfId="0" applyFont="1" applyFill="1" applyBorder="1" applyAlignment="1">
      <alignment horizontal="center" vertical="center" wrapText="1"/>
    </xf>
    <xf numFmtId="0" fontId="13" fillId="8" borderId="0" xfId="0" applyFont="1" applyFill="1" applyAlignment="1">
      <alignment horizontal="center"/>
    </xf>
    <xf numFmtId="0" fontId="63" fillId="0" borderId="0" xfId="0" applyFont="1" applyAlignment="1">
      <alignment horizontal="center" vertical="center" wrapText="1"/>
    </xf>
    <xf numFmtId="0" fontId="7" fillId="39" borderId="0" xfId="0" applyFont="1" applyFill="1" applyAlignment="1">
      <alignment horizontal="center"/>
    </xf>
    <xf numFmtId="0" fontId="7" fillId="39" borderId="0" xfId="0" applyFont="1" applyFill="1" applyAlignment="1">
      <alignment horizontal="right"/>
    </xf>
    <xf numFmtId="0" fontId="7" fillId="39" borderId="28" xfId="0" applyFont="1" applyFill="1" applyBorder="1" applyAlignment="1">
      <alignment horizontal="right"/>
    </xf>
    <xf numFmtId="0" fontId="67" fillId="41" borderId="0" xfId="0" applyFont="1" applyFill="1" applyAlignment="1">
      <alignment horizontal="center" vertical="center"/>
    </xf>
    <xf numFmtId="0" fontId="63" fillId="13" borderId="0" xfId="0" applyFont="1" applyFill="1" applyAlignment="1">
      <alignment horizontal="center" vertical="center" wrapText="1"/>
    </xf>
    <xf numFmtId="0" fontId="9" fillId="0" borderId="66" xfId="0" applyFont="1" applyBorder="1" applyAlignment="1">
      <alignment horizontal="center" vertical="center" wrapText="1"/>
    </xf>
    <xf numFmtId="0" fontId="2" fillId="0" borderId="65" xfId="0" applyFont="1" applyBorder="1"/>
    <xf numFmtId="0" fontId="31" fillId="0" borderId="28" xfId="0" applyFont="1" applyBorder="1" applyAlignment="1">
      <alignment horizontal="left" vertical="center" wrapText="1"/>
    </xf>
    <xf numFmtId="0" fontId="13" fillId="0" borderId="20" xfId="0" applyFont="1" applyBorder="1" applyAlignment="1">
      <alignment horizontal="left" vertical="center" wrapText="1"/>
    </xf>
    <xf numFmtId="0" fontId="9" fillId="0" borderId="0" xfId="0" applyFont="1" applyAlignment="1">
      <alignment horizontal="left" vertical="center" wrapText="1"/>
    </xf>
    <xf numFmtId="0" fontId="71" fillId="0" borderId="6" xfId="0" applyFont="1" applyBorder="1" applyAlignment="1">
      <alignment horizontal="center" vertical="center" wrapText="1"/>
    </xf>
    <xf numFmtId="0" fontId="2" fillId="0" borderId="6" xfId="0" applyFont="1" applyBorder="1"/>
    <xf numFmtId="0" fontId="17" fillId="0" borderId="3" xfId="0" applyFont="1" applyBorder="1" applyAlignment="1">
      <alignment horizontal="left" vertical="center" wrapText="1"/>
    </xf>
    <xf numFmtId="4" fontId="69" fillId="0" borderId="20" xfId="0" applyNumberFormat="1" applyFont="1" applyBorder="1" applyAlignment="1">
      <alignment horizontal="center"/>
    </xf>
    <xf numFmtId="0" fontId="13" fillId="0" borderId="0" xfId="0" applyFont="1" applyAlignment="1">
      <alignment horizontal="left" vertical="center" wrapText="1"/>
    </xf>
    <xf numFmtId="0" fontId="31" fillId="0" borderId="0" xfId="0" applyFont="1" applyAlignment="1">
      <alignment horizontal="left" vertical="center" wrapText="1"/>
    </xf>
    <xf numFmtId="4" fontId="71" fillId="0" borderId="0" xfId="0" applyNumberFormat="1" applyFont="1" applyAlignment="1">
      <alignment horizontal="left" vertical="center" wrapText="1"/>
    </xf>
    <xf numFmtId="0" fontId="71" fillId="0" borderId="7" xfId="0" applyFont="1" applyBorder="1" applyAlignment="1">
      <alignment horizontal="center" vertical="center" wrapText="1"/>
    </xf>
    <xf numFmtId="0" fontId="68" fillId="0" borderId="20" xfId="0" applyFont="1" applyBorder="1" applyAlignment="1">
      <alignment horizontal="center"/>
    </xf>
    <xf numFmtId="4" fontId="70" fillId="0" borderId="63" xfId="0" applyNumberFormat="1" applyFont="1" applyBorder="1" applyAlignment="1">
      <alignment horizontal="center" vertical="center" wrapText="1"/>
    </xf>
    <xf numFmtId="4" fontId="67" fillId="0" borderId="66" xfId="0" applyNumberFormat="1" applyFont="1" applyBorder="1" applyAlignment="1">
      <alignment horizontal="center" vertical="center" wrapText="1"/>
    </xf>
    <xf numFmtId="4" fontId="71" fillId="0" borderId="66" xfId="0" applyNumberFormat="1" applyFont="1" applyBorder="1" applyAlignment="1">
      <alignment horizontal="center" vertical="center"/>
    </xf>
    <xf numFmtId="4" fontId="65" fillId="0" borderId="66" xfId="0" applyNumberFormat="1" applyFont="1" applyBorder="1" applyAlignment="1">
      <alignment horizontal="center" vertical="center"/>
    </xf>
    <xf numFmtId="14" fontId="9" fillId="0" borderId="66" xfId="0" applyNumberFormat="1" applyFont="1" applyBorder="1" applyAlignment="1">
      <alignment horizontal="center" vertical="center"/>
    </xf>
    <xf numFmtId="0" fontId="9" fillId="0" borderId="3" xfId="0" applyFont="1" applyBorder="1" applyAlignment="1">
      <alignment horizontal="center" vertical="center" wrapText="1"/>
    </xf>
    <xf numFmtId="0" fontId="10" fillId="0" borderId="3" xfId="0" applyFont="1" applyBorder="1" applyAlignment="1">
      <alignment horizontal="center" vertical="center" wrapText="1"/>
    </xf>
    <xf numFmtId="0" fontId="2" fillId="0" borderId="3" xfId="0" applyFont="1" applyBorder="1" applyAlignment="1">
      <alignment horizontal="center" vertical="center" wrapText="1"/>
    </xf>
    <xf numFmtId="0" fontId="72" fillId="0" borderId="3" xfId="0" applyFont="1" applyBorder="1" applyAlignment="1">
      <alignment horizontal="center" vertical="center" wrapText="1"/>
    </xf>
    <xf numFmtId="14" fontId="9" fillId="0" borderId="3" xfId="0" applyNumberFormat="1" applyFont="1" applyBorder="1" applyAlignment="1">
      <alignment horizontal="center" vertical="center"/>
    </xf>
    <xf numFmtId="0" fontId="2" fillId="0" borderId="7" xfId="0" applyFont="1" applyBorder="1" applyAlignment="1">
      <alignment horizontal="center" vertical="center" wrapText="1"/>
    </xf>
    <xf numFmtId="0" fontId="9" fillId="0" borderId="66" xfId="0" applyFont="1" applyBorder="1" applyAlignment="1">
      <alignment horizontal="center" vertical="center"/>
    </xf>
    <xf numFmtId="0" fontId="10" fillId="0" borderId="20" xfId="0" applyFont="1" applyBorder="1" applyAlignment="1">
      <alignment horizontal="center" vertical="center" wrapText="1"/>
    </xf>
    <xf numFmtId="0" fontId="69" fillId="0" borderId="20" xfId="0" applyFont="1" applyBorder="1" applyAlignment="1">
      <alignment horizontal="center" vertical="center"/>
    </xf>
    <xf numFmtId="0" fontId="34" fillId="0" borderId="3" xfId="0" applyFont="1" applyBorder="1" applyAlignment="1">
      <alignment horizontal="center"/>
    </xf>
    <xf numFmtId="0" fontId="34" fillId="9" borderId="20" xfId="0" applyFont="1" applyFill="1" applyBorder="1" applyAlignment="1">
      <alignment horizontal="center"/>
    </xf>
    <xf numFmtId="0" fontId="9" fillId="25" borderId="20" xfId="0" applyFont="1" applyFill="1" applyBorder="1" applyAlignment="1">
      <alignment horizontal="left"/>
    </xf>
    <xf numFmtId="3" fontId="9" fillId="25" borderId="20" xfId="0" applyNumberFormat="1" applyFont="1" applyFill="1" applyBorder="1" applyAlignment="1">
      <alignment horizontal="left"/>
    </xf>
    <xf numFmtId="0" fontId="2" fillId="34" borderId="66" xfId="0" applyFont="1" applyFill="1" applyBorder="1" applyAlignment="1">
      <alignment horizontal="center" vertical="center" wrapText="1"/>
    </xf>
    <xf numFmtId="0" fontId="2" fillId="14" borderId="66" xfId="0" applyFont="1" applyFill="1" applyBorder="1" applyAlignment="1">
      <alignment horizontal="center" vertical="center" wrapText="1"/>
    </xf>
    <xf numFmtId="0" fontId="84" fillId="42" borderId="28" xfId="0" applyFont="1" applyFill="1" applyBorder="1" applyAlignment="1">
      <alignment horizontal="center"/>
    </xf>
    <xf numFmtId="0" fontId="88" fillId="0" borderId="28" xfId="0" applyFont="1" applyBorder="1" applyAlignment="1">
      <alignment horizontal="center"/>
    </xf>
    <xf numFmtId="0" fontId="73" fillId="35" borderId="0" xfId="0" applyFont="1" applyFill="1" applyAlignment="1">
      <alignment horizontal="center"/>
    </xf>
    <xf numFmtId="0" fontId="74" fillId="0" borderId="0" xfId="0" applyFont="1" applyAlignment="1"/>
    <xf numFmtId="3" fontId="83" fillId="25" borderId="20" xfId="0" applyNumberFormat="1" applyFont="1" applyFill="1" applyBorder="1" applyAlignment="1">
      <alignment horizontal="left"/>
    </xf>
    <xf numFmtId="0" fontId="78" fillId="0" borderId="0" xfId="0" applyFont="1"/>
    <xf numFmtId="0" fontId="77" fillId="0" borderId="0" xfId="0" applyFont="1"/>
    <xf numFmtId="3" fontId="82" fillId="25" borderId="20" xfId="0" applyNumberFormat="1" applyFont="1" applyFill="1" applyBorder="1" applyAlignment="1">
      <alignment horizontal="center"/>
    </xf>
    <xf numFmtId="3" fontId="13" fillId="22" borderId="20" xfId="0" applyNumberFormat="1" applyFont="1" applyFill="1" applyBorder="1" applyAlignment="1">
      <alignment horizontal="center"/>
    </xf>
    <xf numFmtId="0" fontId="97" fillId="14" borderId="7" xfId="0" applyFont="1" applyFill="1" applyBorder="1" applyAlignment="1">
      <alignment horizontal="left" vertical="center" wrapText="1"/>
    </xf>
    <xf numFmtId="0" fontId="97" fillId="14" borderId="3" xfId="0" applyFont="1" applyFill="1" applyBorder="1" applyAlignment="1">
      <alignment horizontal="left" vertical="center" wrapText="1"/>
    </xf>
    <xf numFmtId="0" fontId="97" fillId="14" borderId="27" xfId="0" applyFont="1" applyFill="1" applyBorder="1" applyAlignment="1">
      <alignment horizontal="left" vertical="center" wrapText="1"/>
    </xf>
    <xf numFmtId="0" fontId="97" fillId="34" borderId="3" xfId="0" applyFont="1" applyFill="1" applyBorder="1" applyAlignment="1">
      <alignment horizontal="left" vertical="center" wrapText="1"/>
    </xf>
    <xf numFmtId="0" fontId="97" fillId="34" borderId="7" xfId="0" applyFont="1" applyFill="1" applyBorder="1" applyAlignment="1">
      <alignment horizontal="left" vertical="center" wrapText="1"/>
    </xf>
    <xf numFmtId="0" fontId="35" fillId="0" borderId="20" xfId="0" applyFont="1" applyBorder="1" applyAlignment="1">
      <alignment horizontal="center"/>
    </xf>
    <xf numFmtId="0" fontId="97" fillId="3" borderId="20" xfId="0" applyFont="1" applyFill="1" applyBorder="1" applyAlignment="1">
      <alignment horizontal="left" vertical="center" wrapText="1"/>
    </xf>
    <xf numFmtId="0" fontId="97" fillId="34" borderId="27" xfId="0" applyFont="1" applyFill="1" applyBorder="1" applyAlignment="1">
      <alignment horizontal="left" vertical="center" wrapText="1"/>
    </xf>
    <xf numFmtId="0" fontId="2" fillId="0" borderId="0" xfId="0" applyFont="1" applyAlignment="1"/>
    <xf numFmtId="0" fontId="25" fillId="43" borderId="20" xfId="0" applyFont="1" applyFill="1" applyBorder="1" applyAlignment="1">
      <alignment horizontal="center"/>
    </xf>
    <xf numFmtId="0" fontId="40" fillId="34" borderId="28" xfId="0" applyFont="1" applyFill="1" applyBorder="1" applyAlignment="1">
      <alignment horizontal="center"/>
    </xf>
    <xf numFmtId="0" fontId="2" fillId="14" borderId="20" xfId="0" applyFont="1" applyFill="1" applyBorder="1" applyAlignment="1">
      <alignment horizontal="center"/>
    </xf>
    <xf numFmtId="0" fontId="34" fillId="0" borderId="28" xfId="0" applyFont="1" applyBorder="1" applyAlignment="1">
      <alignment horizontal="center"/>
    </xf>
  </cellXfs>
  <cellStyles count="1">
    <cellStyle name="Normal" xfId="0" builtinId="0"/>
  </cellStyles>
  <dxfs count="16">
    <dxf>
      <font>
        <b/>
        <i val="0"/>
      </font>
      <fill>
        <patternFill>
          <bgColor rgb="FFD7D7D7"/>
        </patternFill>
      </fill>
    </dxf>
    <dxf>
      <font>
        <b val="0"/>
        <i val="0"/>
      </font>
      <fill>
        <patternFill patternType="none">
          <bgColor indexed="65"/>
        </patternFill>
      </fill>
    </dxf>
    <dxf>
      <fill>
        <patternFill patternType="solid">
          <fgColor rgb="FFB7E1CD"/>
          <bgColor rgb="FFB7E1CD"/>
        </patternFill>
      </fill>
      <border>
        <left/>
        <right/>
        <top/>
        <bottom/>
      </border>
    </dxf>
    <dxf>
      <font>
        <color rgb="FF0B8043"/>
      </font>
      <fill>
        <patternFill patternType="none"/>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ont>
        <color rgb="FF9900FF"/>
      </font>
      <fill>
        <patternFill patternType="none"/>
      </fill>
      <border>
        <left/>
        <right/>
        <top/>
        <bottom/>
      </border>
    </dxf>
    <dxf>
      <fill>
        <patternFill patternType="solid">
          <fgColor rgb="FFB7E1CD"/>
          <bgColor rgb="FFB7E1CD"/>
        </patternFill>
      </fill>
      <border>
        <left/>
        <right/>
        <top/>
        <bottom/>
      </border>
    </dxf>
    <dxf>
      <font>
        <color rgb="FF7F6000"/>
      </font>
      <fill>
        <patternFill patternType="none"/>
      </fill>
      <border>
        <left/>
        <right/>
        <top/>
        <bottom/>
      </border>
    </dxf>
    <dxf>
      <font>
        <color rgb="FFFF9900"/>
      </font>
      <fill>
        <patternFill patternType="none"/>
      </fill>
      <border>
        <left/>
        <right/>
        <top/>
        <bottom/>
      </border>
    </dxf>
    <dxf>
      <font>
        <b/>
        <color rgb="FF000000"/>
      </font>
      <fill>
        <patternFill patternType="solid">
          <fgColor rgb="FFFFFFFF"/>
          <bgColor rgb="FFFFFFFF"/>
        </patternFill>
      </fill>
      <border>
        <left/>
        <right/>
        <top/>
        <bottom/>
      </border>
    </dxf>
    <dxf>
      <font>
        <color rgb="FF38761D"/>
      </font>
      <fill>
        <patternFill patternType="none"/>
      </fill>
      <border>
        <left/>
        <right/>
        <top/>
        <bottom/>
      </border>
    </dxf>
    <dxf>
      <font>
        <color rgb="FF351C75"/>
      </font>
      <fill>
        <patternFill patternType="none"/>
      </fill>
      <border>
        <left/>
        <right/>
        <top/>
        <bottom/>
      </border>
    </dxf>
    <dxf>
      <font>
        <color rgb="FFCC0000"/>
      </font>
      <fill>
        <patternFill patternType="none"/>
      </fill>
      <border>
        <left/>
        <right/>
        <top/>
        <bottom/>
      </border>
    </dxf>
    <dxf>
      <font>
        <color rgb="FF0B5394"/>
      </font>
      <fill>
        <patternFill patternType="none"/>
      </fill>
      <border>
        <left/>
        <right/>
        <top/>
        <bottom/>
      </border>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theme/theme1.xml" Type="http://schemas.openxmlformats.org/officeDocument/2006/relationships/theme"/>
<Relationship Id="rId12" Target="styles.xml" Type="http://schemas.openxmlformats.org/officeDocument/2006/relationships/styles"/>
<Relationship Id="rId13" Target="sharedStrings.xml" Type="http://schemas.openxmlformats.org/officeDocument/2006/relationships/sharedStrings"/>
<Relationship Id="rId14"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247650</xdr:colOff>
      <xdr:row>53</xdr:row>
      <xdr:rowOff>28575</xdr:rowOff>
    </xdr:to>
    <xdr:sp macro="" textlink="">
      <xdr:nvSpPr>
        <xdr:cNvPr id="1036" name="Rectangle 1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47625</xdr:colOff>
      <xdr:row>53</xdr:row>
      <xdr:rowOff>114300</xdr:rowOff>
    </xdr:to>
    <xdr:sp macro="" textlink="">
      <xdr:nvSpPr>
        <xdr:cNvPr id="2083" name="Rectangle 3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43</xdr:col>
      <xdr:colOff>57150</xdr:colOff>
      <xdr:row>48</xdr:row>
      <xdr:rowOff>38100</xdr:rowOff>
    </xdr:to>
    <xdr:sp macro="" textlink="">
      <xdr:nvSpPr>
        <xdr:cNvPr id="3090" name="Rectangle 1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2019300</xdr:colOff>
      <xdr:row>58</xdr:row>
      <xdr:rowOff>57150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666750</xdr:colOff>
      <xdr:row>71</xdr:row>
      <xdr:rowOff>133350</xdr:rowOff>
    </xdr:to>
    <xdr:sp macro="" textlink="">
      <xdr:nvSpPr>
        <xdr:cNvPr id="5173" name="Rectangle 5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9525</xdr:colOff>
      <xdr:row>49</xdr:row>
      <xdr:rowOff>66675</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https://docs.google.com/spreadsheets/d/1tYuukT1O3qdvbSfpUAbJMJLYkusXclc-Rivd-uMy6g0/edit" TargetMode="External" Type="http://schemas.openxmlformats.org/officeDocument/2006/relationships/hyperlink"/>
<Relationship Id="rId2" Target="https://docs.google.com/spreadsheets/d/1YlTLlpn0WUa5YBjwuNEOkag8AZ3KO2A7Su068aGky3A/edit" TargetMode="External" Type="http://schemas.openxmlformats.org/officeDocument/2006/relationships/hyperlink"/>
<Relationship Id="rId3" Target="https://docs.google.com/spreadsheets/d/1tYuukT1O3qdvbSfpUAbJMJLYkusXclc-Rivd-uMy6g0/edit" TargetMode="External" Type="http://schemas.openxmlformats.org/officeDocument/2006/relationships/hyperlink"/>
<Relationship Id="rId4" Target="http://pitytracker.com/" TargetMode="External" Type="http://schemas.openxmlformats.org/officeDocument/2006/relationships/hyperlink"/>
<Relationship Id="rId5" Target="../drawings/drawing1.xml" Type="http://schemas.openxmlformats.org/officeDocument/2006/relationships/drawing"/>
<Relationship Id="rId6" Target="../drawings/vmlDrawing1.vml" Type="http://schemas.openxmlformats.org/officeDocument/2006/relationships/vmlDrawing"/>
<Relationship Id="rId7" Target="../comments1.xml" Type="http://schemas.openxmlformats.org/officeDocument/2006/relationships/comments"/>
</Relationships>

</file>

<file path=xl/worksheets/_rels/sheet10.xml.rels><?xml version="1.0" encoding="UTF-8" standalone="no"?>
<Relationships xmlns="http://schemas.openxmlformats.org/package/2006/relationships">
<Relationship Id="rId1" Target="http://www.reddit.com/r/hearthstone/comments/1ua5c9/hearthstone_for_beginners_guide_and_resource/" TargetMode="External" Type="http://schemas.openxmlformats.org/officeDocument/2006/relationships/hyperlink"/>
<Relationship Id="rId10" Target="http://pitytracker.com/packs/stats" TargetMode="External" Type="http://schemas.openxmlformats.org/officeDocument/2006/relationships/hyperlink"/>
<Relationship Id="rId11" Target="http://www.hearthhead.com/quests" TargetMode="External" Type="http://schemas.openxmlformats.org/officeDocument/2006/relationships/hyperlink"/>
<Relationship Id="rId12" Target="https://www.youtube.com/watch?v=LJI7flPanOQ" TargetMode="External" Type="http://schemas.openxmlformats.org/officeDocument/2006/relationships/hyperlink"/>
<Relationship Id="rId13" Target="https://www.youtube.com/watch?v=QGRznD8WGE8" TargetMode="External" Type="http://schemas.openxmlformats.org/officeDocument/2006/relationships/hyperlink"/>
<Relationship Id="rId14" Target="https://www.youtube.com/watch?v=sWOIy9GBEjM" TargetMode="External" Type="http://schemas.openxmlformats.org/officeDocument/2006/relationships/hyperlink"/>
<Relationship Id="rId15" Target="https://www.youtube.com/watch?v=INt4jkKRmqc" TargetMode="External" Type="http://schemas.openxmlformats.org/officeDocument/2006/relationships/hyperlink"/>
<Relationship Id="rId16" Target="https://www.youtube.com/watch?v=JpdSxC2psLI" TargetMode="External" Type="http://schemas.openxmlformats.org/officeDocument/2006/relationships/hyperlink"/>
<Relationship Id="rId17" Target="https://www.youtube.com/watch?v=icaRjiLPit8" TargetMode="External" Type="http://schemas.openxmlformats.org/officeDocument/2006/relationships/hyperlink"/>
<Relationship Id="rId18" Target="https://www.youtube.com/watch?v=x7BXBuyYNjE" TargetMode="External" Type="http://schemas.openxmlformats.org/officeDocument/2006/relationships/hyperlink"/>
<Relationship Id="rId19" Target="https://www.twitch.tv/reynad27/c/3540266" TargetMode="External" Type="http://schemas.openxmlformats.org/officeDocument/2006/relationships/hyperlink"/>
<Relationship Id="rId2" Target="http://www.reddit.com/r/hearthstone/comments/2kd0zr/hearthstone_intermediate_guide/" TargetMode="External" Type="http://schemas.openxmlformats.org/officeDocument/2006/relationships/hyperlink"/>
<Relationship Id="rId20" Target="https://www.reddit.com/r/hearthstone/comments/1wn50k/til_for_a_full_collection_you_need_to_open_497/cf47bnf" TargetMode="External" Type="http://schemas.openxmlformats.org/officeDocument/2006/relationships/hyperlink"/>
<Relationship Id="rId21" Target="https://www.reddit.com/r/hearthstone/comments/2zuu3q/stats_on_250_gvg_packs_opened/" TargetMode="External" Type="http://schemas.openxmlformats.org/officeDocument/2006/relationships/hyperlink"/>
<Relationship Id="rId22" Target="https://www.reddit.com/r/hearthpacks/comments/2x5jl2/unintelligiblemess_40_packs_december_18_2014/" TargetMode="External" Type="http://schemas.openxmlformats.org/officeDocument/2006/relationships/hyperlink"/>
<Relationship Id="rId23" Target="https://www.reddit.com/r/hearthpacks/comments/2x5mgm/amaz_400_packs_february_12_2015/" TargetMode="External" Type="http://schemas.openxmlformats.org/officeDocument/2006/relationships/hyperlink"/>
<Relationship Id="rId24" Target="https://www.reddit.com/r/hearthpacks/comments/2x5tqa/alicronygo_67_packs_february_25_2015/" TargetMode="External" Type="http://schemas.openxmlformats.org/officeDocument/2006/relationships/hyperlink"/>
<Relationship Id="rId25" Target="https://www.reddit.com/r/hearthpacks/comments/2x6v68/ayroflux_40_packs_january_26_2015/" TargetMode="External" Type="http://schemas.openxmlformats.org/officeDocument/2006/relationships/hyperlink"/>
<Relationship Id="rId26" Target="https://www.reddit.com/r/hearthpacks/comments/2x6ll9/matiasuk_40_packs_february_25_2015/" TargetMode="External" Type="http://schemas.openxmlformats.org/officeDocument/2006/relationships/hyperlink"/>
<Relationship Id="rId27" Target="https://www.reddit.com/r/hearthpacks/comments/2x7hod/amaz_421_packs_december_9_2014/" TargetMode="External" Type="http://schemas.openxmlformats.org/officeDocument/2006/relationships/hyperlink"/>
<Relationship Id="rId28" Target="https://www.reddit.com/r/hearthpacks/comments/2x9x29/hammerbro_172_packs/" TargetMode="External" Type="http://schemas.openxmlformats.org/officeDocument/2006/relationships/hyperlink"/>
<Relationship Id="rId29" Target="https://www.reddit.com/r/hearthpacks/comments/2zwryw/marcdvl_250_packs_march_21_2015/" TargetMode="External" Type="http://schemas.openxmlformats.org/officeDocument/2006/relationships/hyperlink"/>
<Relationship Id="rId3" Target="http://hearthstone.gamepedia.com/Advanced_rulebook" TargetMode="External" Type="http://schemas.openxmlformats.org/officeDocument/2006/relationships/hyperlink"/>
<Relationship Id="rId30" Target="https://www.reddit.com/r/hearthpacks/comments/2zws85/barsknos_665_packs_march_22_2015/" TargetMode="External" Type="http://schemas.openxmlformats.org/officeDocument/2006/relationships/hyperlink"/>
<Relationship Id="rId31" Target="https://www.reddit.com/r/hearthstone/comments/2ovtd6/so_i_opened_1340_packs_and_this_is_what_happened/" TargetMode="External" Type="http://schemas.openxmlformats.org/officeDocument/2006/relationships/hyperlink"/>
<Relationship Id="rId32" Target="https://www.reddit.com/r/hearthstone/comments/3gp7nh/average_dust_per_pack_test_470_packs_analysed/cu08q9y" TargetMode="External" Type="http://schemas.openxmlformats.org/officeDocument/2006/relationships/hyperlink"/>
<Relationship Id="rId33" Target="https://www.reddit.com/r/hearthpacks/comments/3gryrr/ahornyewok_470_packs_august_12_2015/" TargetMode="External" Type="http://schemas.openxmlformats.org/officeDocument/2006/relationships/hyperlink"/>
<Relationship Id="rId34" Target="https://www.reddit.com/r/hearthpacks/comments/3hk39w/me_306_packs_aug_19_2015/" TargetMode="External" Type="http://schemas.openxmlformats.org/officeDocument/2006/relationships/hyperlink"/>
<Relationship Id="rId35" Target="https://www.reddit.com/r/hearthpacks/comments/3i8583/hearthnoob_50_tgt_packs_august_24th_2015/" TargetMode="External" Type="http://schemas.openxmlformats.org/officeDocument/2006/relationships/hyperlink"/>
<Relationship Id="rId36" Target="https://www.reddit.com/r/hearthpacks/comments/3iv4ha/hearthsim_15109_packs_august_29th_2015/" TargetMode="External" Type="http://schemas.openxmlformats.org/officeDocument/2006/relationships/hyperlink"/>
<Relationship Id="rId37" Target="https://www.reddit.com/r/hearthstone/comments/3rap1o/drop_rates_of_1100_packs/" TargetMode="External" Type="http://schemas.openxmlformats.org/officeDocument/2006/relationships/hyperlink"/>
<Relationship Id="rId38" Target="../drawings/drawing6.xml" Type="http://schemas.openxmlformats.org/officeDocument/2006/relationships/drawing"/>
<Relationship Id="rId39" Target="../drawings/vmlDrawing6.vml" Type="http://schemas.openxmlformats.org/officeDocument/2006/relationships/vmlDrawing"/>
<Relationship Id="rId4" Target="http://www.reddit.com/r/hearthstone/comments/2fn4r3/can_anyone_do_a_tldr_of_deck_types/ckavcwc" TargetMode="External" Type="http://schemas.openxmlformats.org/officeDocument/2006/relationships/hyperlink"/>
<Relationship Id="rId40" Target="../comments6.xml" Type="http://schemas.openxmlformats.org/officeDocument/2006/relationships/comments"/>
<Relationship Id="rId5" Target="https://www.elie.net/blog/hearthstone/how-to-find-automatically-hearthstone-undervalued-cards" TargetMode="External" Type="http://schemas.openxmlformats.org/officeDocument/2006/relationships/hyperlink"/>
<Relationship Id="rId6" Target="https://docs.google.com/spreadsheet/ccc?key=0AgQbrkzdzBU4dG9NbmtXakRpRHJrd19QNFZJM3VmWkE&amp;usp=sharing" TargetMode="External" Type="http://schemas.openxmlformats.org/officeDocument/2006/relationships/hyperlink"/>
<Relationship Id="rId7" Target="http://hearthstonejson.com/" TargetMode="External" Type="http://schemas.openxmlformats.org/officeDocument/2006/relationships/hyperlink"/>
<Relationship Id="rId8" Target="https://docs.google.com/spreadsheets/d/1cImiE5AFmVvPdtvzbufIDVGwPbu2YMX9vuz-Kfkkq7Y/edit" TargetMode="External" Type="http://schemas.openxmlformats.org/officeDocument/2006/relationships/hyperlink"/>
<Relationship Id="rId9" Target="https://github.com/Epix37/Hearthstone-Deck-Tracker/releases" TargetMode="External" Type="http://schemas.openxmlformats.org/officeDocument/2006/relationships/hyperlink"/>
</Relationships>

</file>

<file path=xl/worksheets/_rels/sheet2.xml.rels><?xml version="1.0" encoding="UTF-8" standalone="no"?>
<Relationships xmlns="http://schemas.openxmlformats.org/package/2006/relationships">
<Relationship Id="rId1" Target="https://docs.google.com/spreadsheets/d/1tYuukT1O3qdvbSfpUAbJMJLYkusXclc-Rivd-uMy6g0/edit" TargetMode="External" Type="http://schemas.openxmlformats.org/officeDocument/2006/relationships/hyperlink"/>
<Relationship Id="rId2" Target="https://docs.google.com/spreadsheets/d/1YlTLlpn0WUa5YBjwuNEOkag8AZ3KO2A7Su068aGky3A/edit" TargetMode="External" Type="http://schemas.openxmlformats.org/officeDocument/2006/relationships/hyperlink"/>
<Relationship Id="rId3" Target="https://docs.google.com/spreadsheets/d/1tYuukT1O3qdvbSfpUAbJMJLYkusXclc-Rivd-uMy6g0/edit" TargetMode="External" Type="http://schemas.openxmlformats.org/officeDocument/2006/relationships/hyperlink"/>
<Relationship Id="rId4" Target="../drawings/drawing2.xml" Type="http://schemas.openxmlformats.org/officeDocument/2006/relationships/drawing"/>
<Relationship Id="rId5" Target="../drawings/vmlDrawing2.vml" Type="http://schemas.openxmlformats.org/officeDocument/2006/relationships/vmlDrawing"/>
<Relationship Id="rId6" Target="../comments2.xml" Type="http://schemas.openxmlformats.org/officeDocument/2006/relationships/comments"/>
</Relationships>

</file>

<file path=xl/worksheets/_rels/sheet3.xml.rels><?xml version="1.0" encoding="UTF-8" standalone="no"?>
<Relationships xmlns="http://schemas.openxmlformats.org/package/2006/relationships">
<Relationship Id="rId1" Target="../drawings/drawing3.xml" Type="http://schemas.openxmlformats.org/officeDocument/2006/relationships/drawing"/>
<Relationship Id="rId2" Target="../drawings/vmlDrawing3.vml" Type="http://schemas.openxmlformats.org/officeDocument/2006/relationships/vmlDrawing"/>
<Relationship Id="rId3" Target="../comments3.xml" Type="http://schemas.openxmlformats.org/officeDocument/2006/relationships/comments"/>
</Relationships>

</file>

<file path=xl/worksheets/_rels/sheet4.xml.rels><?xml version="1.0" encoding="UTF-8" standalone="no"?>
<Relationships xmlns="http://schemas.openxmlformats.org/package/2006/relationships">
<Relationship Id="rId1" Target="../drawings/drawing4.xml" Type="http://schemas.openxmlformats.org/officeDocument/2006/relationships/drawing"/>
<Relationship Id="rId2" Target="../drawings/vmlDrawing4.vml" Type="http://schemas.openxmlformats.org/officeDocument/2006/relationships/vmlDrawing"/>
<Relationship Id="rId3" Target="../comments4.xml" Type="http://schemas.openxmlformats.org/officeDocument/2006/relationships/comments"/>
</Relationships>

</file>

<file path=xl/worksheets/_rels/sheet5.xml.rels><?xml version="1.0" encoding="UTF-8" standalone="no"?>
<Relationships xmlns="http://schemas.openxmlformats.org/package/2006/relationships">
<Relationship Id="rId1" Target="../drawings/drawing5.xml" Type="http://schemas.openxmlformats.org/officeDocument/2006/relationships/drawing"/>
<Relationship Id="rId2" Target="../drawings/vmlDrawing5.vml" Type="http://schemas.openxmlformats.org/officeDocument/2006/relationships/vmlDrawing"/>
<Relationship Id="rId3" Target="../comments5.xml" Type="http://schemas.openxmlformats.org/officeDocument/2006/relationships/comments"/>
</Relationships>

</file>

<file path=xl/worksheets/_rels/sheet7.xml.rels><?xml version="1.0" encoding="UTF-8" standalone="no"?>
<Relationships xmlns="http://schemas.openxmlformats.org/package/2006/relationships">
<Relationship Id="rId1" Target="https://www.reddit.com/r/hearthstone/comments/4gezzw/hearthstone_master_collection_710_the_old_gods/" TargetMode="External" Type="http://schemas.openxmlformats.org/officeDocument/2006/relationships/hyperlink"/>
</Relationships>

</file>

<file path=xl/worksheets/_rels/sheet8.xml.rels><?xml version="1.0" encoding="UTF-8" standalone="no"?>
<Relationships xmlns="http://schemas.openxmlformats.org/package/2006/relationships">
<Relationship Id="rId1" Target="https://www.reddit.com/r/hearthstone/comments/3h2tws/which_pack_to_buy_a_spreadsheet_that_takes_into/"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51C75"/>
  </sheetPr>
  <dimension ref="A1:S42"/>
  <sheetViews>
    <sheetView workbookViewId="0">
      <selection activeCell="U14" sqref="U14"/>
    </sheetView>
  </sheetViews>
  <sheetFormatPr defaultColWidth="14.42578125" defaultRowHeight="15.75" customHeight="1"/>
  <cols>
    <col min="1" max="1" width="2.85546875" customWidth="1"/>
    <col min="2" max="2" width="3.28515625" customWidth="1"/>
    <col min="3" max="4" width="9.85546875" customWidth="1"/>
    <col min="5" max="5" width="3.85546875" customWidth="1"/>
    <col min="6" max="7" width="8.7109375" customWidth="1"/>
    <col min="8" max="8" width="3.42578125" customWidth="1"/>
    <col min="9" max="10" width="10.28515625" customWidth="1"/>
    <col min="11" max="11" width="3.28515625" customWidth="1"/>
    <col min="12" max="13" width="8.7109375" customWidth="1"/>
    <col min="14" max="14" width="9.85546875" customWidth="1"/>
    <col min="15" max="15" width="3" customWidth="1"/>
    <col min="16" max="16" width="2.42578125" customWidth="1"/>
    <col min="19" max="19" width="3.140625" customWidth="1"/>
  </cols>
  <sheetData>
    <row r="1" spans="1:19" ht="27.75" customHeight="1">
      <c r="A1" s="1012" t="str">
        <f>HYPERLINK("https://docs.google.com/spreadsheets/d/1tYuukT1O3qdvbSfpUAbJMJLYkusXclc-Rivd-uMy6g0/edit#gid=1086662798","Created by /u/cgmcnama")</f>
        <v>Created by /u/cgmcnama</v>
      </c>
      <c r="B1" s="1009"/>
      <c r="C1" s="1009"/>
      <c r="D1" s="1011" t="str">
        <f>HYPERLINK("https://docs.google.com/spreadsheets/d/1YlTLlpn0WUa5YBjwuNEOkag8AZ3KO2A7Su068aGky3A/edit#gid=1086662798","Blank Sheet - 7.20")</f>
        <v>Blank Sheet - 7.20</v>
      </c>
      <c r="E1" s="1009"/>
      <c r="F1" s="1009"/>
      <c r="G1" s="1009"/>
      <c r="H1" s="1008" t="s">
        <v>0</v>
      </c>
      <c r="I1" s="1009"/>
      <c r="J1" s="1009"/>
      <c r="K1" s="1009"/>
      <c r="L1" s="1009"/>
      <c r="M1" s="1008" t="str">
        <f>HYPERLINK("https://docs.google.com/spreadsheets/d/1tYuukT1O3qdvbSfpUAbJMJLYkusXclc-Rivd-uMy6g0/edit#gid=1086662798","Instructions on how to use the sheet are on the ""Setup"" Tab")</f>
        <v>Instructions on how to use the sheet are on the "Setup" Tab</v>
      </c>
      <c r="N1" s="1009"/>
      <c r="O1" s="1009"/>
      <c r="P1" s="1009"/>
      <c r="Q1" s="1009"/>
      <c r="R1" s="1009"/>
      <c r="S1" s="1009"/>
    </row>
    <row r="2" spans="1:19" ht="6.75" customHeight="1"/>
    <row r="3" spans="1:19" ht="12.75">
      <c r="B3" s="1"/>
      <c r="C3" s="2"/>
      <c r="D3" s="2"/>
      <c r="E3" s="2"/>
      <c r="F3" s="2"/>
      <c r="G3" s="2"/>
      <c r="H3" s="2"/>
      <c r="I3" s="2"/>
      <c r="J3" s="2"/>
      <c r="K3" s="2"/>
      <c r="L3" s="2"/>
      <c r="M3" s="2"/>
      <c r="N3" s="2"/>
      <c r="O3" s="3"/>
      <c r="Q3" s="1051" t="s">
        <v>1</v>
      </c>
      <c r="R3" s="1016"/>
    </row>
    <row r="4" spans="1:19" ht="12.75">
      <c r="B4" s="5"/>
      <c r="C4" s="1013" t="s">
        <v>2</v>
      </c>
      <c r="D4" s="1014"/>
      <c r="E4" s="1014"/>
      <c r="F4" s="1014"/>
      <c r="G4" s="1014"/>
      <c r="H4" s="1014"/>
      <c r="I4" s="1014"/>
      <c r="J4" s="1014"/>
      <c r="K4" s="1014"/>
      <c r="L4" s="1014"/>
      <c r="M4" s="1014"/>
      <c r="N4" s="1014"/>
      <c r="O4" s="5"/>
      <c r="Q4" s="1037"/>
      <c r="R4" s="1038"/>
    </row>
    <row r="5" spans="1:19" ht="12.75">
      <c r="B5" s="7"/>
      <c r="C5" s="1007"/>
      <c r="D5" s="1007"/>
      <c r="E5" s="1007"/>
      <c r="F5" s="1007"/>
      <c r="G5" s="1007"/>
      <c r="H5" s="1007"/>
      <c r="I5" s="1007"/>
      <c r="J5" s="1007"/>
      <c r="K5" s="1007"/>
      <c r="L5" s="1007"/>
      <c r="M5" s="1007"/>
      <c r="N5" s="1007"/>
      <c r="O5" s="8"/>
      <c r="Q5" s="1037"/>
      <c r="R5" s="1038"/>
    </row>
    <row r="6" spans="1:19" ht="12.75">
      <c r="B6" s="7"/>
      <c r="C6" s="9"/>
      <c r="D6" s="9"/>
      <c r="E6" s="9"/>
      <c r="F6" s="9"/>
      <c r="G6" s="9"/>
      <c r="H6" s="9"/>
      <c r="I6" s="9"/>
      <c r="J6" s="9"/>
      <c r="K6" s="9"/>
      <c r="L6" s="9"/>
      <c r="M6" s="9"/>
      <c r="N6" s="9"/>
      <c r="O6" s="8"/>
      <c r="Q6" s="1037"/>
      <c r="R6" s="1038"/>
    </row>
    <row r="7" spans="1:19" ht="12.75">
      <c r="B7" s="7"/>
      <c r="C7" s="1010" t="s">
        <v>3</v>
      </c>
      <c r="D7" s="1005"/>
      <c r="E7" s="9"/>
      <c r="F7" s="1010" t="s">
        <v>4</v>
      </c>
      <c r="G7" s="1005"/>
      <c r="H7" s="9"/>
      <c r="I7" s="1010" t="s">
        <v>5</v>
      </c>
      <c r="J7" s="1005"/>
      <c r="K7" s="10"/>
      <c r="L7" s="1004" t="s">
        <v>6</v>
      </c>
      <c r="M7" s="1005"/>
      <c r="N7" s="1002" t="s">
        <v>7</v>
      </c>
      <c r="O7" s="8"/>
      <c r="Q7" s="1037"/>
      <c r="R7" s="1038"/>
    </row>
    <row r="8" spans="1:19" ht="12.75">
      <c r="B8" s="7"/>
      <c r="C8" s="1006"/>
      <c r="D8" s="1007"/>
      <c r="E8" s="9"/>
      <c r="F8" s="1006"/>
      <c r="G8" s="1007"/>
      <c r="H8" s="9"/>
      <c r="I8" s="1006"/>
      <c r="J8" s="1007"/>
      <c r="K8" s="10"/>
      <c r="L8" s="1006"/>
      <c r="M8" s="1007"/>
      <c r="N8" s="1003"/>
      <c r="O8" s="5"/>
      <c r="Q8" s="1037"/>
      <c r="R8" s="1038"/>
    </row>
    <row r="9" spans="1:19" ht="12.75">
      <c r="B9" s="7"/>
      <c r="C9" s="11" t="s">
        <v>8</v>
      </c>
      <c r="D9" s="12">
        <v>31</v>
      </c>
      <c r="E9" s="13"/>
      <c r="F9" s="11" t="s">
        <v>8</v>
      </c>
      <c r="G9" s="14">
        <v>500</v>
      </c>
      <c r="H9" s="9"/>
      <c r="I9" s="15" t="s">
        <v>9</v>
      </c>
      <c r="J9" s="16">
        <v>11405</v>
      </c>
      <c r="K9" s="17"/>
      <c r="L9" s="1028" t="s">
        <v>10</v>
      </c>
      <c r="M9" s="1005"/>
      <c r="N9" s="1027">
        <v>5</v>
      </c>
      <c r="O9" s="8"/>
      <c r="Q9" s="1037"/>
      <c r="R9" s="1038"/>
    </row>
    <row r="10" spans="1:19" ht="12.75">
      <c r="B10" s="7"/>
      <c r="C10" s="18" t="s">
        <v>11</v>
      </c>
      <c r="D10" s="19">
        <v>28</v>
      </c>
      <c r="E10" s="13"/>
      <c r="F10" s="18" t="s">
        <v>11</v>
      </c>
      <c r="G10" s="20">
        <v>500</v>
      </c>
      <c r="H10" s="9"/>
      <c r="I10" s="21" t="s">
        <v>12</v>
      </c>
      <c r="J10" s="22">
        <v>17120</v>
      </c>
      <c r="K10" s="17"/>
      <c r="L10" s="1006"/>
      <c r="M10" s="1007"/>
      <c r="N10" s="1003"/>
      <c r="O10" s="8"/>
      <c r="Q10" s="1037"/>
      <c r="R10" s="1038"/>
    </row>
    <row r="11" spans="1:19" ht="12.75">
      <c r="B11" s="7"/>
      <c r="C11" s="11" t="s">
        <v>13</v>
      </c>
      <c r="D11" s="12">
        <v>35</v>
      </c>
      <c r="E11" s="13"/>
      <c r="F11" s="11" t="s">
        <v>13</v>
      </c>
      <c r="G11" s="23">
        <v>500</v>
      </c>
      <c r="H11" s="9"/>
      <c r="I11" s="24" t="s">
        <v>14</v>
      </c>
      <c r="J11" s="16">
        <v>130</v>
      </c>
      <c r="K11" s="17"/>
      <c r="L11" s="1043" t="s">
        <v>15</v>
      </c>
      <c r="M11" s="1005"/>
      <c r="N11" s="1042">
        <v>5</v>
      </c>
      <c r="O11" s="8"/>
      <c r="Q11" s="1037"/>
      <c r="R11" s="1038"/>
    </row>
    <row r="12" spans="1:19" ht="12.75">
      <c r="B12" s="7"/>
      <c r="C12" s="18" t="s">
        <v>16</v>
      </c>
      <c r="D12" s="19">
        <v>15</v>
      </c>
      <c r="E12" s="13"/>
      <c r="F12" s="18" t="s">
        <v>16</v>
      </c>
      <c r="G12" s="20">
        <v>500</v>
      </c>
      <c r="H12" s="9"/>
      <c r="I12" s="1047" t="s">
        <v>17</v>
      </c>
      <c r="J12" s="1049">
        <f>SUM(Cards!Y2:Y44)</f>
        <v>0</v>
      </c>
      <c r="K12" s="17"/>
      <c r="L12" s="1006"/>
      <c r="M12" s="1007"/>
      <c r="N12" s="1003"/>
      <c r="O12" s="8"/>
      <c r="Q12" s="1037"/>
      <c r="R12" s="1038"/>
    </row>
    <row r="13" spans="1:19" ht="12.75">
      <c r="B13" s="7"/>
      <c r="C13" s="11" t="s">
        <v>18</v>
      </c>
      <c r="D13" s="12">
        <v>31</v>
      </c>
      <c r="E13" s="13"/>
      <c r="F13" s="11" t="s">
        <v>18</v>
      </c>
      <c r="G13" s="23">
        <v>500</v>
      </c>
      <c r="H13" s="9"/>
      <c r="I13" s="1048"/>
      <c r="J13" s="1050"/>
      <c r="K13" s="17"/>
      <c r="L13" s="1028" t="s">
        <v>19</v>
      </c>
      <c r="M13" s="1005"/>
      <c r="N13" s="1027">
        <v>4</v>
      </c>
      <c r="O13" s="8"/>
      <c r="Q13" s="1037"/>
      <c r="R13" s="1038"/>
    </row>
    <row r="14" spans="1:19" ht="12.75">
      <c r="B14" s="7"/>
      <c r="C14" s="18" t="s">
        <v>20</v>
      </c>
      <c r="D14" s="19">
        <v>26</v>
      </c>
      <c r="E14" s="13"/>
      <c r="F14" s="18" t="s">
        <v>20</v>
      </c>
      <c r="G14" s="20">
        <v>500</v>
      </c>
      <c r="H14" s="9"/>
      <c r="I14" s="1048"/>
      <c r="J14" s="1050"/>
      <c r="K14" s="17"/>
      <c r="L14" s="1006"/>
      <c r="M14" s="1007"/>
      <c r="N14" s="1003"/>
      <c r="O14" s="8"/>
      <c r="Q14" s="1037"/>
      <c r="R14" s="1038"/>
    </row>
    <row r="15" spans="1:19" ht="12.75">
      <c r="B15" s="7"/>
      <c r="C15" s="11" t="s">
        <v>21</v>
      </c>
      <c r="D15" s="12">
        <v>20</v>
      </c>
      <c r="E15" s="13"/>
      <c r="F15" s="11" t="s">
        <v>21</v>
      </c>
      <c r="G15" s="23">
        <v>500</v>
      </c>
      <c r="H15" s="9"/>
      <c r="I15" s="25" t="s">
        <v>22</v>
      </c>
      <c r="J15" s="26">
        <f>J9+J10+((J11*102.82)/100)+J12</f>
        <v>28658.666000000001</v>
      </c>
      <c r="K15" s="9"/>
      <c r="L15" s="1052" t="s">
        <v>23</v>
      </c>
      <c r="M15" s="1005"/>
      <c r="N15" s="1042" t="s">
        <v>24</v>
      </c>
      <c r="O15" s="8"/>
      <c r="Q15" s="1037"/>
      <c r="R15" s="1038"/>
    </row>
    <row r="16" spans="1:19" ht="12.75">
      <c r="B16" s="7"/>
      <c r="C16" s="18" t="s">
        <v>25</v>
      </c>
      <c r="D16" s="19">
        <v>31</v>
      </c>
      <c r="E16" s="13"/>
      <c r="F16" s="18" t="s">
        <v>25</v>
      </c>
      <c r="G16" s="27">
        <v>500</v>
      </c>
      <c r="H16" s="9"/>
      <c r="I16" s="9"/>
      <c r="J16" s="9"/>
      <c r="K16" s="9"/>
      <c r="L16" s="1006"/>
      <c r="M16" s="1007"/>
      <c r="N16" s="1003"/>
      <c r="O16" s="8"/>
      <c r="Q16" s="1037"/>
      <c r="R16" s="1038"/>
    </row>
    <row r="17" spans="2:18" ht="12.75">
      <c r="B17" s="7"/>
      <c r="C17" s="11" t="s">
        <v>26</v>
      </c>
      <c r="D17" s="12">
        <v>37</v>
      </c>
      <c r="E17" s="13"/>
      <c r="F17" s="11" t="s">
        <v>26</v>
      </c>
      <c r="G17" s="23">
        <v>500</v>
      </c>
      <c r="H17" s="9"/>
      <c r="I17" s="1041" t="s">
        <v>27</v>
      </c>
      <c r="J17" s="1030"/>
      <c r="K17" s="9"/>
      <c r="L17" s="9"/>
      <c r="M17" s="9"/>
      <c r="N17" s="9"/>
      <c r="O17" s="8"/>
      <c r="Q17" s="1037"/>
      <c r="R17" s="1038"/>
    </row>
    <row r="18" spans="2:18" ht="15">
      <c r="B18" s="7"/>
      <c r="C18" s="1031">
        <f>SUM(D9:D17)/540</f>
        <v>0.47037037037037038</v>
      </c>
      <c r="D18" s="1032"/>
      <c r="E18" s="13"/>
      <c r="F18" s="1031">
        <f>SUM(G9:G17)/4500</f>
        <v>1</v>
      </c>
      <c r="G18" s="1032"/>
      <c r="H18" s="9"/>
      <c r="I18" s="1029">
        <f>Summary!U36-J15</f>
        <v>104901.334</v>
      </c>
      <c r="J18" s="1030"/>
      <c r="K18" s="9"/>
      <c r="L18" s="1044" t="str">
        <f>HYPERLINK("http://pitytracker.com/","Pity Tracker")</f>
        <v>Pity Tracker</v>
      </c>
      <c r="M18" s="1045"/>
      <c r="N18" s="1046"/>
      <c r="O18" s="8"/>
      <c r="Q18" s="1037"/>
      <c r="R18" s="1038"/>
    </row>
    <row r="19" spans="2:18" ht="12.75">
      <c r="B19" s="29"/>
      <c r="C19" s="30"/>
      <c r="D19" s="30"/>
      <c r="E19" s="30"/>
      <c r="F19" s="30"/>
      <c r="G19" s="30"/>
      <c r="H19" s="30"/>
      <c r="I19" s="30"/>
      <c r="J19" s="30"/>
      <c r="K19" s="30"/>
      <c r="L19" s="30"/>
      <c r="M19" s="30"/>
      <c r="N19" s="30"/>
      <c r="O19" s="31"/>
      <c r="Q19" s="1017"/>
      <c r="R19" s="1018"/>
    </row>
    <row r="21" spans="2:18" ht="12.75">
      <c r="B21" s="1036" t="s">
        <v>28</v>
      </c>
      <c r="C21" s="1014"/>
      <c r="D21" s="1014"/>
      <c r="E21" s="1014"/>
      <c r="F21" s="1014"/>
      <c r="G21" s="1014"/>
      <c r="H21" s="1014"/>
      <c r="I21" s="1014"/>
      <c r="J21" s="1014"/>
      <c r="K21" s="1014"/>
      <c r="L21" s="1014"/>
      <c r="M21" s="1014"/>
      <c r="N21" s="1014"/>
      <c r="O21" s="1016"/>
      <c r="Q21" s="1051" t="s">
        <v>29</v>
      </c>
      <c r="R21" s="1016"/>
    </row>
    <row r="22" spans="2:18" ht="12.75">
      <c r="B22" s="1037"/>
      <c r="C22" s="1007"/>
      <c r="D22" s="1007"/>
      <c r="E22" s="1007"/>
      <c r="F22" s="1007"/>
      <c r="G22" s="1007"/>
      <c r="H22" s="1007"/>
      <c r="I22" s="1007"/>
      <c r="J22" s="1007"/>
      <c r="K22" s="1007"/>
      <c r="L22" s="1007"/>
      <c r="M22" s="1007"/>
      <c r="N22" s="1007"/>
      <c r="O22" s="1038"/>
      <c r="Q22" s="1037"/>
      <c r="R22" s="1038"/>
    </row>
    <row r="23" spans="2:18" ht="12.75">
      <c r="B23" s="1040" t="s">
        <v>30</v>
      </c>
      <c r="C23" s="1016"/>
      <c r="D23" s="1039" t="s">
        <v>31</v>
      </c>
      <c r="E23" s="1014"/>
      <c r="F23" s="1014"/>
      <c r="G23" s="1014"/>
      <c r="H23" s="1014"/>
      <c r="I23" s="1014"/>
      <c r="J23" s="1014"/>
      <c r="K23" s="1014"/>
      <c r="L23" s="1014"/>
      <c r="M23" s="1014"/>
      <c r="N23" s="1014"/>
      <c r="O23" s="1016"/>
      <c r="Q23" s="1037"/>
      <c r="R23" s="1038"/>
    </row>
    <row r="24" spans="2:18" ht="12.75">
      <c r="B24" s="1017"/>
      <c r="C24" s="1018"/>
      <c r="D24" s="1034"/>
      <c r="E24" s="1034"/>
      <c r="F24" s="1034"/>
      <c r="G24" s="1034"/>
      <c r="H24" s="1034"/>
      <c r="I24" s="1034"/>
      <c r="J24" s="1034"/>
      <c r="K24" s="1034"/>
      <c r="L24" s="1034"/>
      <c r="M24" s="1034"/>
      <c r="N24" s="1034"/>
      <c r="O24" s="1018"/>
      <c r="Q24" s="1037"/>
      <c r="R24" s="1038"/>
    </row>
    <row r="25" spans="2:18" ht="23.25" customHeight="1">
      <c r="B25" s="1035" t="s">
        <v>32</v>
      </c>
      <c r="C25" s="1016"/>
      <c r="D25" s="1033" t="s">
        <v>33</v>
      </c>
      <c r="E25" s="1014"/>
      <c r="F25" s="1014"/>
      <c r="G25" s="1014"/>
      <c r="H25" s="1014"/>
      <c r="I25" s="1014"/>
      <c r="J25" s="1014"/>
      <c r="K25" s="1014"/>
      <c r="L25" s="1014"/>
      <c r="M25" s="1014"/>
      <c r="N25" s="1014"/>
      <c r="O25" s="1016"/>
      <c r="Q25" s="1037"/>
      <c r="R25" s="1038"/>
    </row>
    <row r="26" spans="2:18" ht="23.25" customHeight="1">
      <c r="B26" s="1017"/>
      <c r="C26" s="1018"/>
      <c r="D26" s="1034"/>
      <c r="E26" s="1034"/>
      <c r="F26" s="1034"/>
      <c r="G26" s="1034"/>
      <c r="H26" s="1034"/>
      <c r="I26" s="1034"/>
      <c r="J26" s="1034"/>
      <c r="K26" s="1034"/>
      <c r="L26" s="1034"/>
      <c r="M26" s="1034"/>
      <c r="N26" s="1034"/>
      <c r="O26" s="1018"/>
      <c r="Q26" s="1037"/>
      <c r="R26" s="1038"/>
    </row>
    <row r="27" spans="2:18" ht="12.75">
      <c r="B27" s="1060" t="s">
        <v>34</v>
      </c>
      <c r="C27" s="1016"/>
      <c r="D27" s="1057" t="s">
        <v>35</v>
      </c>
      <c r="E27" s="1014"/>
      <c r="F27" s="1014"/>
      <c r="G27" s="1014"/>
      <c r="H27" s="1014"/>
      <c r="I27" s="1014"/>
      <c r="J27" s="1014"/>
      <c r="K27" s="1014"/>
      <c r="L27" s="1014"/>
      <c r="M27" s="1014"/>
      <c r="N27" s="1014"/>
      <c r="O27" s="1016"/>
      <c r="Q27" s="1037"/>
      <c r="R27" s="1038"/>
    </row>
    <row r="28" spans="2:18" ht="12.75">
      <c r="B28" s="1017"/>
      <c r="C28" s="1018"/>
      <c r="D28" s="1034"/>
      <c r="E28" s="1034"/>
      <c r="F28" s="1034"/>
      <c r="G28" s="1034"/>
      <c r="H28" s="1034"/>
      <c r="I28" s="1034"/>
      <c r="J28" s="1034"/>
      <c r="K28" s="1034"/>
      <c r="L28" s="1034"/>
      <c r="M28" s="1034"/>
      <c r="N28" s="1034"/>
      <c r="O28" s="1018"/>
      <c r="Q28" s="1037"/>
      <c r="R28" s="1038"/>
    </row>
    <row r="29" spans="2:18" ht="12.75">
      <c r="B29" s="1059" t="s">
        <v>36</v>
      </c>
      <c r="C29" s="1016"/>
      <c r="D29" s="1058" t="s">
        <v>37</v>
      </c>
      <c r="E29" s="1014"/>
      <c r="F29" s="1014"/>
      <c r="G29" s="1014"/>
      <c r="H29" s="1014"/>
      <c r="I29" s="1014"/>
      <c r="J29" s="1014"/>
      <c r="K29" s="1014"/>
      <c r="L29" s="1014"/>
      <c r="M29" s="1014"/>
      <c r="N29" s="1014"/>
      <c r="O29" s="1016"/>
      <c r="Q29" s="1037"/>
      <c r="R29" s="1038"/>
    </row>
    <row r="30" spans="2:18" ht="12.75">
      <c r="B30" s="1017"/>
      <c r="C30" s="1018"/>
      <c r="D30" s="1034"/>
      <c r="E30" s="1034"/>
      <c r="F30" s="1034"/>
      <c r="G30" s="1034"/>
      <c r="H30" s="1034"/>
      <c r="I30" s="1034"/>
      <c r="J30" s="1034"/>
      <c r="K30" s="1034"/>
      <c r="L30" s="1034"/>
      <c r="M30" s="1034"/>
      <c r="N30" s="1034"/>
      <c r="O30" s="1018"/>
      <c r="Q30" s="1037"/>
      <c r="R30" s="1038"/>
    </row>
    <row r="31" spans="2:18" ht="13.5" customHeight="1">
      <c r="B31" s="1061" t="s">
        <v>38</v>
      </c>
      <c r="C31" s="1016"/>
      <c r="D31" s="1055" t="s">
        <v>39</v>
      </c>
      <c r="E31" s="1014"/>
      <c r="F31" s="1014"/>
      <c r="G31" s="1014"/>
      <c r="H31" s="1014"/>
      <c r="I31" s="1014"/>
      <c r="J31" s="1014"/>
      <c r="K31" s="1014"/>
      <c r="L31" s="1014"/>
      <c r="M31" s="1014"/>
      <c r="N31" s="1014"/>
      <c r="O31" s="1016"/>
      <c r="Q31" s="1037"/>
      <c r="R31" s="1038"/>
    </row>
    <row r="32" spans="2:18" ht="13.5" customHeight="1">
      <c r="B32" s="1017"/>
      <c r="C32" s="1018"/>
      <c r="D32" s="1034"/>
      <c r="E32" s="1034"/>
      <c r="F32" s="1034"/>
      <c r="G32" s="1034"/>
      <c r="H32" s="1034"/>
      <c r="I32" s="1034"/>
      <c r="J32" s="1034"/>
      <c r="K32" s="1034"/>
      <c r="L32" s="1034"/>
      <c r="M32" s="1034"/>
      <c r="N32" s="1034"/>
      <c r="O32" s="1018"/>
      <c r="Q32" s="1037"/>
      <c r="R32" s="1038"/>
    </row>
    <row r="33" spans="2:18" ht="12.75">
      <c r="B33" s="1054" t="s">
        <v>40</v>
      </c>
      <c r="C33" s="1016"/>
      <c r="D33" s="1053" t="s">
        <v>41</v>
      </c>
      <c r="E33" s="1014"/>
      <c r="F33" s="1014"/>
      <c r="G33" s="1014"/>
      <c r="H33" s="1014"/>
      <c r="I33" s="1014"/>
      <c r="J33" s="1014"/>
      <c r="K33" s="1014"/>
      <c r="L33" s="1014"/>
      <c r="M33" s="1014"/>
      <c r="N33" s="1014"/>
      <c r="O33" s="1016"/>
      <c r="Q33" s="1037"/>
      <c r="R33" s="1038"/>
    </row>
    <row r="34" spans="2:18" ht="12.75">
      <c r="B34" s="1017"/>
      <c r="C34" s="1018"/>
      <c r="D34" s="1034"/>
      <c r="E34" s="1034"/>
      <c r="F34" s="1034"/>
      <c r="G34" s="1034"/>
      <c r="H34" s="1034"/>
      <c r="I34" s="1034"/>
      <c r="J34" s="1034"/>
      <c r="K34" s="1034"/>
      <c r="L34" s="1034"/>
      <c r="M34" s="1034"/>
      <c r="N34" s="1034"/>
      <c r="O34" s="1018"/>
      <c r="Q34" s="1037"/>
      <c r="R34" s="1038"/>
    </row>
    <row r="35" spans="2:18" ht="12.75">
      <c r="B35" s="1015" t="s">
        <v>42</v>
      </c>
      <c r="C35" s="1016"/>
      <c r="D35" s="1056" t="s">
        <v>43</v>
      </c>
      <c r="E35" s="1014"/>
      <c r="F35" s="1014"/>
      <c r="G35" s="1014"/>
      <c r="H35" s="1014"/>
      <c r="I35" s="1014"/>
      <c r="J35" s="1014"/>
      <c r="K35" s="1014"/>
      <c r="L35" s="1014"/>
      <c r="M35" s="1014"/>
      <c r="N35" s="1014"/>
      <c r="O35" s="1016"/>
      <c r="Q35" s="1037"/>
      <c r="R35" s="1038"/>
    </row>
    <row r="36" spans="2:18" ht="12.75">
      <c r="B36" s="1017"/>
      <c r="C36" s="1018"/>
      <c r="D36" s="1034"/>
      <c r="E36" s="1034"/>
      <c r="F36" s="1034"/>
      <c r="G36" s="1034"/>
      <c r="H36" s="1034"/>
      <c r="I36" s="1034"/>
      <c r="J36" s="1034"/>
      <c r="K36" s="1034"/>
      <c r="L36" s="1034"/>
      <c r="M36" s="1034"/>
      <c r="N36" s="1034"/>
      <c r="O36" s="1018"/>
      <c r="Q36" s="1017"/>
      <c r="R36" s="1018"/>
    </row>
    <row r="37" spans="2:18" ht="15">
      <c r="Q37" s="32"/>
      <c r="R37" s="32"/>
    </row>
    <row r="38" spans="2:18" ht="12.75">
      <c r="B38" s="1024" t="s">
        <v>44</v>
      </c>
      <c r="C38" s="1025"/>
      <c r="D38" s="1025"/>
      <c r="E38" s="1025"/>
      <c r="F38" s="1025"/>
      <c r="G38" s="1025"/>
      <c r="H38" s="1025"/>
      <c r="I38" s="1025"/>
      <c r="J38" s="1025"/>
      <c r="K38" s="1025"/>
      <c r="L38" s="1026"/>
    </row>
    <row r="39" spans="2:18" ht="12.75">
      <c r="B39" s="1019" t="s">
        <v>45</v>
      </c>
      <c r="C39" s="1007"/>
      <c r="D39" s="1007"/>
      <c r="E39" s="1007"/>
      <c r="F39" s="1007"/>
      <c r="G39" s="1007"/>
      <c r="H39" s="1007"/>
      <c r="I39" s="1007"/>
      <c r="J39" s="1007"/>
      <c r="K39" s="1007"/>
      <c r="L39" s="1020"/>
    </row>
    <row r="40" spans="2:18" ht="12.75">
      <c r="B40" s="1019" t="s">
        <v>46</v>
      </c>
      <c r="C40" s="1007"/>
      <c r="D40" s="1007"/>
      <c r="E40" s="1007"/>
      <c r="F40" s="1007"/>
      <c r="G40" s="1007"/>
      <c r="H40" s="1007"/>
      <c r="I40" s="1007"/>
      <c r="J40" s="1007"/>
      <c r="K40" s="1007"/>
      <c r="L40" s="1020"/>
    </row>
    <row r="41" spans="2:18" ht="12.75">
      <c r="B41" s="1019" t="s">
        <v>47</v>
      </c>
      <c r="C41" s="1007"/>
      <c r="D41" s="1007"/>
      <c r="E41" s="1007"/>
      <c r="F41" s="1007"/>
      <c r="G41" s="1007"/>
      <c r="H41" s="1007"/>
      <c r="I41" s="1007"/>
      <c r="J41" s="1007"/>
      <c r="K41" s="1007"/>
      <c r="L41" s="1020"/>
    </row>
    <row r="42" spans="2:18" ht="12.75">
      <c r="B42" s="1021" t="s">
        <v>48</v>
      </c>
      <c r="C42" s="1022"/>
      <c r="D42" s="1022"/>
      <c r="E42" s="1022"/>
      <c r="F42" s="1022"/>
      <c r="G42" s="1022"/>
      <c r="H42" s="1022"/>
      <c r="I42" s="1022"/>
      <c r="J42" s="1022"/>
      <c r="K42" s="1022"/>
      <c r="L42" s="1023"/>
    </row>
  </sheetData>
  <mergeCells count="47">
    <mergeCell ref="Q21:R36"/>
    <mergeCell ref="B31:C32"/>
    <mergeCell ref="D33:O34"/>
    <mergeCell ref="B33:C34"/>
    <mergeCell ref="D31:O32"/>
    <mergeCell ref="D35:O36"/>
    <mergeCell ref="D27:O28"/>
    <mergeCell ref="D29:O30"/>
    <mergeCell ref="B29:C30"/>
    <mergeCell ref="B27:C28"/>
    <mergeCell ref="N11:N12"/>
    <mergeCell ref="L11:M12"/>
    <mergeCell ref="L18:N18"/>
    <mergeCell ref="N15:N16"/>
    <mergeCell ref="N9:N10"/>
    <mergeCell ref="L15:M16"/>
    <mergeCell ref="L9:M10"/>
    <mergeCell ref="B25:C26"/>
    <mergeCell ref="B21:O22"/>
    <mergeCell ref="D23:O24"/>
    <mergeCell ref="B23:C24"/>
    <mergeCell ref="I17:J17"/>
    <mergeCell ref="C18:D18"/>
    <mergeCell ref="N13:N14"/>
    <mergeCell ref="L13:M14"/>
    <mergeCell ref="I18:J18"/>
    <mergeCell ref="F18:G18"/>
    <mergeCell ref="D25:O26"/>
    <mergeCell ref="I12:I14"/>
    <mergeCell ref="J12:J14"/>
    <mergeCell ref="B35:C36"/>
    <mergeCell ref="B41:L41"/>
    <mergeCell ref="B42:L42"/>
    <mergeCell ref="B40:L40"/>
    <mergeCell ref="B39:L39"/>
    <mergeCell ref="B38:L38"/>
    <mergeCell ref="F7:G8"/>
    <mergeCell ref="D1:G1"/>
    <mergeCell ref="A1:C1"/>
    <mergeCell ref="C7:D8"/>
    <mergeCell ref="C4:N5"/>
    <mergeCell ref="N7:N8"/>
    <mergeCell ref="L7:M8"/>
    <mergeCell ref="H1:L1"/>
    <mergeCell ref="M1:S1"/>
    <mergeCell ref="I7:J8"/>
    <mergeCell ref="Q3:R19"/>
  </mergeCells>
  <hyperlinks>
    <hyperlink ref="A1" r:id="rId1" location="gid=1086662798" display="https://docs.google.com/spreadsheets/d/1tYuukT1O3qdvbSfpUAbJMJLYkusXclc-Rivd-uMy6g0/edit - gid=1086662798"/>
    <hyperlink ref="D1" r:id="rId2" location="gid=1086662798" display="https://docs.google.com/spreadsheets/d/1YlTLlpn0WUa5YBjwuNEOkag8AZ3KO2A7Su068aGky3A/edit - gid=1086662798"/>
    <hyperlink ref="M1" r:id="rId3" location="gid=1086662798" display="https://docs.google.com/spreadsheets/d/1tYuukT1O3qdvbSfpUAbJMJLYkusXclc-Rivd-uMy6g0/edit - gid=1086662798"/>
    <hyperlink ref="L18" r:id="rId4" display="http://pitytracker.com/"/>
  </hyperlinks>
  <pageMargins left="0.7" right="0.7" top="0.75" bottom="0.75" header="0.3" footer="0.3"/>
  <drawing r:id="rId5"/>
  <legacy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00"/>
  </sheetPr>
  <dimension ref="A1:BC390"/>
  <sheetViews>
    <sheetView workbookViewId="0"/>
  </sheetViews>
  <sheetFormatPr defaultColWidth="14.42578125" defaultRowHeight="15.75" customHeight="1"/>
  <cols>
    <col min="1" max="1" width="1.7109375" customWidth="1"/>
    <col min="9" max="9" width="11.140625" customWidth="1"/>
  </cols>
  <sheetData>
    <row r="1" spans="1:55" ht="15.75" customHeight="1">
      <c r="A1" s="896"/>
      <c r="B1" s="1205" t="s">
        <v>2053</v>
      </c>
      <c r="C1" s="1007"/>
      <c r="D1" s="1007"/>
      <c r="E1" s="1007"/>
      <c r="F1" s="1007"/>
      <c r="G1" s="1007"/>
      <c r="H1" s="1007"/>
      <c r="I1" s="1007"/>
      <c r="J1" s="1007"/>
      <c r="K1" s="1007"/>
      <c r="L1" s="897"/>
      <c r="M1" s="897"/>
      <c r="N1" s="897"/>
      <c r="O1" s="897"/>
      <c r="P1" s="897"/>
      <c r="Q1" s="897"/>
      <c r="R1" s="897"/>
      <c r="S1" s="34"/>
      <c r="T1" s="34"/>
      <c r="U1" s="34"/>
      <c r="V1" s="34"/>
      <c r="W1" s="34"/>
      <c r="X1" s="173"/>
      <c r="Y1" s="173"/>
      <c r="Z1" s="173"/>
      <c r="AA1" s="173"/>
      <c r="AB1" s="173"/>
      <c r="AC1" s="173"/>
      <c r="AD1" s="173"/>
      <c r="AE1" s="173"/>
      <c r="AF1" s="173"/>
      <c r="AG1" s="173"/>
      <c r="AH1" s="173"/>
      <c r="AI1" s="173"/>
      <c r="AJ1" s="173"/>
      <c r="AK1" s="173"/>
      <c r="AL1" s="173"/>
      <c r="AM1" s="173"/>
      <c r="AN1" s="173"/>
      <c r="AO1" s="173"/>
      <c r="AP1" s="173"/>
      <c r="AQ1" s="173"/>
      <c r="AR1" s="173"/>
      <c r="AS1" s="173"/>
      <c r="AT1" s="173"/>
      <c r="AU1" s="173"/>
      <c r="AV1" s="173"/>
      <c r="AW1" s="173"/>
      <c r="AX1" s="173"/>
      <c r="AY1" s="173"/>
      <c r="AZ1" s="173"/>
      <c r="BA1" s="173"/>
      <c r="BB1" s="173"/>
      <c r="BC1" s="173"/>
    </row>
    <row r="2" spans="1:55" ht="15.75" customHeight="1">
      <c r="A2" s="278"/>
      <c r="B2" s="34"/>
      <c r="C2" s="34"/>
      <c r="D2" s="34"/>
      <c r="E2" s="34"/>
      <c r="F2" s="34"/>
      <c r="G2" s="34"/>
      <c r="H2" s="278"/>
      <c r="I2" s="278"/>
      <c r="J2" s="278"/>
      <c r="K2" s="34"/>
      <c r="L2" s="34"/>
      <c r="M2" s="34"/>
      <c r="N2" s="34"/>
      <c r="O2" s="34"/>
      <c r="P2" s="34"/>
      <c r="Q2" s="34"/>
      <c r="R2" s="34"/>
      <c r="S2" s="34"/>
      <c r="T2" s="34"/>
      <c r="U2" s="34"/>
      <c r="V2" s="34"/>
      <c r="W2" s="34"/>
      <c r="X2" s="173"/>
      <c r="Y2" s="173"/>
      <c r="Z2" s="173"/>
      <c r="AA2" s="173"/>
      <c r="AB2" s="173"/>
      <c r="AC2" s="173"/>
      <c r="AD2" s="173"/>
      <c r="AE2" s="173"/>
      <c r="AF2" s="173"/>
      <c r="AG2" s="173"/>
      <c r="AH2" s="173"/>
      <c r="AI2" s="173"/>
      <c r="AJ2" s="173"/>
      <c r="AK2" s="173"/>
      <c r="AL2" s="173"/>
      <c r="AM2" s="173"/>
      <c r="AN2" s="173"/>
      <c r="AO2" s="173"/>
      <c r="AP2" s="173"/>
      <c r="AQ2" s="173"/>
      <c r="AR2" s="173"/>
      <c r="AS2" s="173"/>
      <c r="AT2" s="173"/>
      <c r="AU2" s="173"/>
      <c r="AV2" s="173"/>
      <c r="AW2" s="173"/>
      <c r="AX2" s="173"/>
      <c r="AY2" s="173"/>
      <c r="AZ2" s="173"/>
      <c r="BA2" s="173"/>
      <c r="BB2" s="173"/>
      <c r="BC2" s="173"/>
    </row>
    <row r="3" spans="1:55" ht="15.75" customHeight="1">
      <c r="A3" s="278"/>
      <c r="B3" s="1206" t="s">
        <v>2054</v>
      </c>
      <c r="C3" s="1007"/>
      <c r="D3" s="1007"/>
      <c r="E3" s="1007"/>
      <c r="F3" s="1007"/>
      <c r="G3" s="1007"/>
      <c r="H3" s="1007"/>
      <c r="I3" s="278"/>
      <c r="J3" s="278"/>
      <c r="K3" s="34"/>
      <c r="L3" s="34"/>
      <c r="M3" s="34"/>
      <c r="N3" s="34"/>
      <c r="O3" s="34"/>
      <c r="P3" s="34"/>
      <c r="Q3" s="34"/>
      <c r="R3" s="34"/>
      <c r="S3" s="34"/>
      <c r="T3" s="34"/>
      <c r="U3" s="34"/>
      <c r="V3" s="34"/>
      <c r="W3" s="34"/>
      <c r="X3" s="173"/>
      <c r="Y3" s="173"/>
      <c r="Z3" s="173"/>
      <c r="AA3" s="173"/>
      <c r="AB3" s="173"/>
      <c r="AC3" s="173"/>
      <c r="AD3" s="173"/>
      <c r="AE3" s="173"/>
      <c r="AF3" s="173"/>
      <c r="AG3" s="173"/>
      <c r="AH3" s="173"/>
      <c r="AI3" s="173"/>
      <c r="AJ3" s="173"/>
      <c r="AK3" s="173"/>
      <c r="AL3" s="173"/>
      <c r="AM3" s="173"/>
      <c r="AN3" s="173"/>
      <c r="AO3" s="173"/>
      <c r="AP3" s="173"/>
      <c r="AQ3" s="173"/>
      <c r="AR3" s="173"/>
      <c r="AS3" s="173"/>
      <c r="AT3" s="173"/>
      <c r="AU3" s="173"/>
      <c r="AV3" s="173"/>
      <c r="AW3" s="173"/>
      <c r="AX3" s="173"/>
      <c r="AY3" s="173"/>
      <c r="AZ3" s="173"/>
      <c r="BA3" s="173"/>
      <c r="BB3" s="173"/>
      <c r="BC3" s="173"/>
    </row>
    <row r="4" spans="1:55" ht="15.75" customHeight="1">
      <c r="A4" s="278"/>
      <c r="B4" s="898" t="str">
        <f>HYPERLINK("http://www.reddit.com/r/hearthstone/comments/1ua5c9/hearthstone_for_beginners_guide_and_resource/","Hearthstone Beginners Guide")</f>
        <v>Hearthstone Beginners Guide</v>
      </c>
      <c r="C4" s="34"/>
      <c r="D4" s="34"/>
      <c r="E4" s="34"/>
      <c r="F4" s="34"/>
      <c r="G4" s="34"/>
      <c r="H4" s="34"/>
      <c r="I4" s="278"/>
      <c r="J4" s="278"/>
      <c r="K4" s="34"/>
      <c r="L4" s="34"/>
      <c r="M4" s="34"/>
      <c r="N4" s="34"/>
      <c r="O4" s="34"/>
      <c r="P4" s="34"/>
      <c r="Q4" s="34"/>
      <c r="R4" s="34"/>
      <c r="S4" s="34"/>
      <c r="T4" s="34"/>
      <c r="U4" s="34"/>
      <c r="V4" s="34"/>
      <c r="W4" s="34"/>
      <c r="X4" s="173"/>
      <c r="Y4" s="173"/>
      <c r="Z4" s="173"/>
      <c r="AA4" s="173"/>
      <c r="AB4" s="173"/>
      <c r="AC4" s="173"/>
      <c r="AD4" s="173"/>
      <c r="AE4" s="173"/>
      <c r="AF4" s="173"/>
      <c r="AG4" s="173"/>
      <c r="AH4" s="173"/>
      <c r="AI4" s="173"/>
      <c r="AJ4" s="173"/>
      <c r="AK4" s="173"/>
      <c r="AL4" s="173"/>
      <c r="AM4" s="173"/>
      <c r="AN4" s="173"/>
      <c r="AO4" s="173"/>
      <c r="AP4" s="173"/>
      <c r="AQ4" s="173"/>
      <c r="AR4" s="173"/>
      <c r="AS4" s="173"/>
      <c r="AT4" s="173"/>
      <c r="AU4" s="173"/>
      <c r="AV4" s="173"/>
      <c r="AW4" s="173"/>
      <c r="AX4" s="173"/>
      <c r="AY4" s="173"/>
      <c r="AZ4" s="173"/>
      <c r="BA4" s="173"/>
      <c r="BB4" s="173"/>
      <c r="BC4" s="173"/>
    </row>
    <row r="5" spans="1:55" ht="15.75" customHeight="1">
      <c r="A5" s="278"/>
      <c r="B5" s="898" t="str">
        <f>HYPERLINK("http://www.reddit.com/r/hearthstone/comments/2kd0zr/hearthstone_intermediate_guide/","Hearthstone Intermediate Guide")</f>
        <v>Hearthstone Intermediate Guide</v>
      </c>
      <c r="C5" s="34"/>
      <c r="D5" s="34"/>
      <c r="E5" s="34"/>
      <c r="F5" s="34"/>
      <c r="G5" s="34"/>
      <c r="H5" s="34"/>
      <c r="I5" s="278"/>
      <c r="J5" s="278"/>
      <c r="K5" s="34"/>
      <c r="L5" s="34"/>
      <c r="M5" s="34"/>
      <c r="N5" s="34"/>
      <c r="O5" s="34"/>
      <c r="P5" s="34"/>
      <c r="Q5" s="34"/>
      <c r="R5" s="34"/>
      <c r="S5" s="34"/>
      <c r="T5" s="34"/>
      <c r="U5" s="34"/>
      <c r="V5" s="34"/>
      <c r="W5" s="34"/>
      <c r="X5" s="173"/>
      <c r="Y5" s="173"/>
      <c r="Z5" s="173"/>
      <c r="AA5" s="173"/>
      <c r="AB5" s="173"/>
      <c r="AC5" s="173"/>
      <c r="AD5" s="173"/>
      <c r="AE5" s="173"/>
      <c r="AF5" s="173"/>
      <c r="AG5" s="173"/>
      <c r="AH5" s="173"/>
      <c r="AI5" s="173"/>
      <c r="AJ5" s="173"/>
      <c r="AK5" s="173"/>
      <c r="AL5" s="173"/>
      <c r="AM5" s="173"/>
      <c r="AN5" s="173"/>
      <c r="AO5" s="173"/>
      <c r="AP5" s="173"/>
      <c r="AQ5" s="173"/>
      <c r="AR5" s="173"/>
      <c r="AS5" s="173"/>
      <c r="AT5" s="173"/>
      <c r="AU5" s="173"/>
      <c r="AV5" s="173"/>
      <c r="AW5" s="173"/>
      <c r="AX5" s="173"/>
      <c r="AY5" s="173"/>
      <c r="AZ5" s="173"/>
      <c r="BA5" s="173"/>
      <c r="BB5" s="173"/>
      <c r="BC5" s="173"/>
    </row>
    <row r="6" spans="1:55" ht="15.75" customHeight="1">
      <c r="A6" s="278"/>
      <c r="B6" s="899" t="str">
        <f>HYPERLINK("http://hearthstone.gamepedia.com/Advanced_rulebook#Health.2C_buffs_and_taking_damage","Advanced Card Interaction Rules")</f>
        <v>Advanced Card Interaction Rules</v>
      </c>
      <c r="C6" s="278"/>
      <c r="D6" s="278"/>
      <c r="E6" s="278"/>
      <c r="F6" s="278"/>
      <c r="G6" s="278"/>
      <c r="H6" s="278"/>
      <c r="I6" s="278"/>
      <c r="J6" s="278"/>
      <c r="K6" s="34"/>
      <c r="L6" s="34"/>
      <c r="M6" s="34"/>
      <c r="N6" s="34"/>
      <c r="O6" s="34"/>
      <c r="P6" s="34"/>
      <c r="Q6" s="34"/>
      <c r="R6" s="34"/>
      <c r="S6" s="34"/>
      <c r="T6" s="34"/>
      <c r="U6" s="34"/>
      <c r="V6" s="34"/>
      <c r="W6" s="34"/>
      <c r="X6" s="173"/>
      <c r="Y6" s="173"/>
      <c r="Z6" s="173"/>
      <c r="AA6" s="173"/>
      <c r="AB6" s="173"/>
      <c r="AC6" s="173"/>
      <c r="AD6" s="173"/>
      <c r="AE6" s="173"/>
      <c r="AF6" s="173"/>
      <c r="AG6" s="173"/>
      <c r="AH6" s="173"/>
      <c r="AI6" s="173"/>
      <c r="AJ6" s="173"/>
      <c r="AK6" s="173"/>
      <c r="AL6" s="173"/>
      <c r="AM6" s="173"/>
      <c r="AN6" s="173"/>
      <c r="AO6" s="173"/>
      <c r="AP6" s="173"/>
      <c r="AQ6" s="173"/>
      <c r="AR6" s="173"/>
      <c r="AS6" s="173"/>
      <c r="AT6" s="173"/>
      <c r="AU6" s="173"/>
      <c r="AV6" s="173"/>
      <c r="AW6" s="173"/>
      <c r="AX6" s="173"/>
      <c r="AY6" s="173"/>
      <c r="AZ6" s="173"/>
      <c r="BA6" s="173"/>
      <c r="BB6" s="173"/>
      <c r="BC6" s="173"/>
    </row>
    <row r="7" spans="1:55" ht="15.75" customHeight="1">
      <c r="A7" s="278"/>
      <c r="B7" s="899" t="str">
        <f>HYPERLINK("http://www.reddit.com/r/hearthstone/comments/2fn4r3/can_anyone_do_a_tldr_of_deck_types/ckavcwc","Deck Archtypes Explained")</f>
        <v>Deck Archtypes Explained</v>
      </c>
      <c r="C7" s="278"/>
      <c r="D7" s="278"/>
      <c r="E7" s="278"/>
      <c r="F7" s="278"/>
      <c r="G7" s="278"/>
      <c r="H7" s="278"/>
      <c r="I7" s="278"/>
      <c r="J7" s="278"/>
      <c r="K7" s="34"/>
      <c r="L7" s="34"/>
      <c r="M7" s="34"/>
      <c r="N7" s="34"/>
      <c r="O7" s="34"/>
      <c r="P7" s="34"/>
      <c r="Q7" s="34"/>
      <c r="R7" s="34"/>
      <c r="S7" s="34"/>
      <c r="T7" s="34"/>
      <c r="U7" s="34"/>
      <c r="V7" s="34"/>
      <c r="W7" s="34"/>
      <c r="X7" s="173"/>
      <c r="Y7" s="173"/>
      <c r="Z7" s="173"/>
      <c r="AA7" s="173"/>
      <c r="AB7" s="173"/>
      <c r="AC7" s="173"/>
      <c r="AD7" s="173"/>
      <c r="AE7" s="173"/>
      <c r="AF7" s="173"/>
      <c r="AG7" s="173"/>
      <c r="AH7" s="173"/>
      <c r="AI7" s="173"/>
      <c r="AJ7" s="173"/>
      <c r="AK7" s="173"/>
      <c r="AL7" s="173"/>
      <c r="AM7" s="173"/>
      <c r="AN7" s="173"/>
      <c r="AO7" s="173"/>
      <c r="AP7" s="173"/>
      <c r="AQ7" s="173"/>
      <c r="AR7" s="173"/>
      <c r="AS7" s="173"/>
      <c r="AT7" s="173"/>
      <c r="AU7" s="173"/>
      <c r="AV7" s="173"/>
      <c r="AW7" s="173"/>
      <c r="AX7" s="173"/>
      <c r="AY7" s="173"/>
      <c r="AZ7" s="173"/>
      <c r="BA7" s="173"/>
      <c r="BB7" s="173"/>
      <c r="BC7" s="173"/>
    </row>
    <row r="8" spans="1:55" ht="15.75" customHeight="1">
      <c r="A8" s="278"/>
      <c r="B8" s="1209" t="str">
        <f>HYPERLINK("https://www.elie.net/blog/hearthstone/how-to-find-automatically-hearthstone-undervalued-cards","Hearthstone Card Appraisal Methodology (By Elie Burszsein)")</f>
        <v>Hearthstone Card Appraisal Methodology (By Elie Burszsein)</v>
      </c>
      <c r="C8" s="1007"/>
      <c r="D8" s="1007"/>
      <c r="E8" s="1007"/>
      <c r="F8" s="1007"/>
      <c r="G8" s="1007"/>
      <c r="H8" s="1007"/>
      <c r="I8" s="278"/>
      <c r="J8" s="278"/>
      <c r="K8" s="34"/>
      <c r="L8" s="34"/>
      <c r="M8" s="34"/>
      <c r="N8" s="34"/>
      <c r="O8" s="34"/>
      <c r="P8" s="34"/>
      <c r="Q8" s="34"/>
      <c r="R8" s="34"/>
      <c r="S8" s="34"/>
      <c r="T8" s="34"/>
      <c r="U8" s="34"/>
      <c r="V8" s="34"/>
      <c r="W8" s="34"/>
      <c r="X8" s="173"/>
      <c r="Y8" s="173"/>
      <c r="Z8" s="173"/>
      <c r="AA8" s="173"/>
      <c r="AB8" s="173"/>
      <c r="AC8" s="173"/>
      <c r="AD8" s="173"/>
      <c r="AE8" s="173"/>
      <c r="AF8" s="173"/>
      <c r="AG8" s="173"/>
      <c r="AH8" s="173"/>
      <c r="AI8" s="173"/>
      <c r="AJ8" s="173"/>
      <c r="AK8" s="173"/>
      <c r="AL8" s="173"/>
      <c r="AM8" s="173"/>
      <c r="AN8" s="173"/>
      <c r="AO8" s="173"/>
      <c r="AP8" s="173"/>
      <c r="AQ8" s="173"/>
      <c r="AR8" s="173"/>
      <c r="AS8" s="173"/>
      <c r="AT8" s="173"/>
      <c r="AU8" s="173"/>
      <c r="AV8" s="173"/>
      <c r="AW8" s="173"/>
      <c r="AX8" s="173"/>
      <c r="AY8" s="173"/>
      <c r="AZ8" s="173"/>
      <c r="BA8" s="173"/>
      <c r="BB8" s="173"/>
      <c r="BC8" s="173"/>
    </row>
    <row r="9" spans="1:55" ht="15.75" customHeight="1">
      <c r="A9" s="278"/>
      <c r="B9" s="1208" t="str">
        <f>HYPERLINK("https://docs.google.com/spreadsheet/ccc?key=0AgQbrkzdzBU4dG9NbmtXakRpRHJrd19QNFZJM3VmWkE&amp;usp=sharing#gid=8","All Card Data in Spreadsheet Form")</f>
        <v>All Card Data in Spreadsheet Form</v>
      </c>
      <c r="C9" s="1007"/>
      <c r="D9" s="1007"/>
      <c r="E9" s="1007"/>
      <c r="F9" s="1007"/>
      <c r="G9" s="1007"/>
      <c r="H9" s="1007"/>
      <c r="I9" s="278"/>
      <c r="J9" s="278"/>
      <c r="K9" s="34"/>
      <c r="L9" s="34"/>
      <c r="M9" s="34"/>
      <c r="N9" s="34"/>
      <c r="O9" s="34"/>
      <c r="P9" s="34"/>
      <c r="Q9" s="34"/>
      <c r="R9" s="34"/>
      <c r="S9" s="34"/>
      <c r="T9" s="34"/>
      <c r="U9" s="34"/>
      <c r="V9" s="34"/>
      <c r="W9" s="34"/>
      <c r="X9" s="173"/>
      <c r="Y9" s="173"/>
      <c r="Z9" s="173"/>
      <c r="AA9" s="173"/>
      <c r="AB9" s="173"/>
      <c r="AC9" s="173"/>
      <c r="AD9" s="173"/>
      <c r="AE9" s="173"/>
      <c r="AF9" s="173"/>
      <c r="AG9" s="173"/>
      <c r="AH9" s="173"/>
      <c r="AI9" s="173"/>
      <c r="AJ9" s="173"/>
      <c r="AK9" s="173"/>
      <c r="AL9" s="173"/>
      <c r="AM9" s="173"/>
      <c r="AN9" s="173"/>
      <c r="AO9" s="173"/>
      <c r="AP9" s="173"/>
      <c r="AQ9" s="173"/>
      <c r="AR9" s="173"/>
      <c r="AS9" s="173"/>
      <c r="AT9" s="173"/>
      <c r="AU9" s="173"/>
      <c r="AV9" s="173"/>
      <c r="AW9" s="173"/>
      <c r="AX9" s="173"/>
      <c r="AY9" s="173"/>
      <c r="AZ9" s="173"/>
      <c r="BA9" s="173"/>
      <c r="BB9" s="173"/>
      <c r="BC9" s="173"/>
    </row>
    <row r="10" spans="1:55" ht="15.75" customHeight="1">
      <c r="A10" s="34"/>
      <c r="B10" s="1209" t="str">
        <f>HYPERLINK("http://hearthstonejson.com/","All Card Data in JSON Form")</f>
        <v>All Card Data in JSON Form</v>
      </c>
      <c r="C10" s="1007"/>
      <c r="D10" s="1007"/>
      <c r="E10" s="1007"/>
      <c r="F10" s="1007"/>
      <c r="G10" s="1007"/>
      <c r="H10" s="1007"/>
      <c r="I10" s="278"/>
      <c r="J10" s="278"/>
      <c r="K10" s="34"/>
      <c r="L10" s="34"/>
      <c r="M10" s="34"/>
      <c r="N10" s="34"/>
      <c r="O10" s="34"/>
      <c r="P10" s="34"/>
      <c r="Q10" s="34"/>
      <c r="R10" s="34"/>
      <c r="S10" s="34"/>
      <c r="T10" s="34"/>
      <c r="U10" s="34"/>
      <c r="V10" s="34"/>
      <c r="W10" s="34"/>
      <c r="X10" s="173"/>
      <c r="Y10" s="173"/>
      <c r="Z10" s="173"/>
      <c r="AA10" s="173"/>
      <c r="AB10" s="173"/>
      <c r="AC10" s="173"/>
      <c r="AD10" s="173"/>
      <c r="AE10" s="173"/>
      <c r="AF10" s="173"/>
      <c r="AG10" s="173"/>
      <c r="AH10" s="173"/>
      <c r="AI10" s="173"/>
      <c r="AJ10" s="173"/>
      <c r="AK10" s="173"/>
      <c r="AL10" s="173"/>
      <c r="AM10" s="173"/>
      <c r="AN10" s="173"/>
      <c r="AO10" s="173"/>
      <c r="AP10" s="173"/>
      <c r="AQ10" s="173"/>
      <c r="AR10" s="173"/>
      <c r="AS10" s="173"/>
      <c r="AT10" s="173"/>
      <c r="AU10" s="173"/>
      <c r="AV10" s="173"/>
      <c r="AW10" s="173"/>
      <c r="AX10" s="173"/>
      <c r="AY10" s="173"/>
      <c r="AZ10" s="173"/>
      <c r="BA10" s="173"/>
      <c r="BB10" s="173"/>
      <c r="BC10" s="173"/>
    </row>
    <row r="11" spans="1:55" ht="15.75" customHeight="1">
      <c r="A11" s="34"/>
      <c r="B11" s="900" t="str">
        <f>HYPERLINK("https://docs.google.com/spreadsheets/d/1cImiE5AFmVvPdtvzbufIDVGwPbu2YMX9vuz-Kfkkq7Y/edit#gid=1932012075","All 3 Shredders Drop Guide Analysis")</f>
        <v>All 3 Shredders Drop Guide Analysis</v>
      </c>
      <c r="C11" s="278"/>
      <c r="D11" s="278"/>
      <c r="E11" s="278"/>
      <c r="F11" s="278"/>
      <c r="G11" s="278"/>
      <c r="H11" s="278"/>
      <c r="I11" s="278"/>
      <c r="J11" s="278"/>
      <c r="K11" s="34"/>
      <c r="L11" s="34"/>
      <c r="M11" s="34"/>
      <c r="N11" s="34"/>
      <c r="O11" s="34"/>
      <c r="P11" s="34"/>
      <c r="Q11" s="34"/>
      <c r="R11" s="34"/>
      <c r="S11" s="34"/>
      <c r="T11" s="34"/>
      <c r="U11" s="34"/>
      <c r="V11" s="34"/>
      <c r="W11" s="34"/>
      <c r="X11" s="173"/>
      <c r="Y11" s="173"/>
      <c r="Z11" s="173"/>
      <c r="AA11" s="173"/>
      <c r="AB11" s="173"/>
      <c r="AC11" s="173"/>
      <c r="AD11" s="173"/>
      <c r="AE11" s="173"/>
      <c r="AF11" s="173"/>
      <c r="AG11" s="173"/>
      <c r="AH11" s="173"/>
      <c r="AI11" s="173"/>
      <c r="AJ11" s="173"/>
      <c r="AK11" s="173"/>
      <c r="AL11" s="173"/>
      <c r="AM11" s="173"/>
      <c r="AN11" s="173"/>
      <c r="AO11" s="173"/>
      <c r="AP11" s="173"/>
      <c r="AQ11" s="173"/>
      <c r="AR11" s="173"/>
      <c r="AS11" s="173"/>
      <c r="AT11" s="173"/>
      <c r="AU11" s="173"/>
      <c r="AV11" s="173"/>
      <c r="AW11" s="173"/>
      <c r="AX11" s="173"/>
      <c r="AY11" s="173"/>
      <c r="AZ11" s="173"/>
      <c r="BA11" s="173"/>
      <c r="BB11" s="173"/>
      <c r="BC11" s="173"/>
    </row>
    <row r="12" spans="1:55" ht="15.75" customHeight="1">
      <c r="A12" s="34"/>
      <c r="B12" s="901" t="str">
        <f>HYPERLINK("https://github.com/Epix37/Hearthstone-Deck-Tracker/releases","Hearthstone Deck Tracker")</f>
        <v>Hearthstone Deck Tracker</v>
      </c>
      <c r="C12" s="278"/>
      <c r="D12" s="278"/>
      <c r="E12" s="278"/>
      <c r="F12" s="278"/>
      <c r="G12" s="278"/>
      <c r="H12" s="278"/>
      <c r="I12" s="278"/>
      <c r="J12" s="278"/>
      <c r="K12" s="34"/>
      <c r="L12" s="34"/>
      <c r="M12" s="34"/>
      <c r="N12" s="34"/>
      <c r="O12" s="34"/>
      <c r="P12" s="34"/>
      <c r="Q12" s="34"/>
      <c r="R12" s="34"/>
      <c r="S12" s="34"/>
      <c r="T12" s="34"/>
      <c r="U12" s="34"/>
      <c r="V12" s="34"/>
      <c r="W12" s="34"/>
      <c r="X12" s="173"/>
      <c r="Y12" s="173"/>
      <c r="Z12" s="173"/>
      <c r="AA12" s="173"/>
      <c r="AB12" s="173"/>
      <c r="AC12" s="173"/>
      <c r="AD12" s="173"/>
      <c r="AE12" s="173"/>
      <c r="AF12" s="173"/>
      <c r="AG12" s="173"/>
      <c r="AH12" s="173"/>
      <c r="AI12" s="173"/>
      <c r="AJ12" s="173"/>
      <c r="AK12" s="173"/>
      <c r="AL12" s="173"/>
      <c r="AM12" s="173"/>
      <c r="AN12" s="173"/>
      <c r="AO12" s="173"/>
      <c r="AP12" s="173"/>
      <c r="AQ12" s="173"/>
      <c r="AR12" s="173"/>
      <c r="AS12" s="173"/>
      <c r="AT12" s="173"/>
      <c r="AU12" s="173"/>
      <c r="AV12" s="173"/>
      <c r="AW12" s="173"/>
      <c r="AX12" s="173"/>
      <c r="AY12" s="173"/>
      <c r="AZ12" s="173"/>
      <c r="BA12" s="173"/>
      <c r="BB12" s="173"/>
      <c r="BC12" s="173"/>
    </row>
    <row r="13" spans="1:55" ht="15.75" customHeight="1">
      <c r="A13" s="278"/>
      <c r="B13" s="902" t="str">
        <f>HYPERLINK("http://pitytracker.com/packs/stats","Pity Tracker")</f>
        <v>Pity Tracker</v>
      </c>
      <c r="C13" s="278"/>
      <c r="D13" s="278"/>
      <c r="E13" s="278"/>
      <c r="F13" s="278"/>
      <c r="G13" s="278"/>
      <c r="H13" s="278"/>
      <c r="I13" s="278"/>
      <c r="J13" s="278"/>
      <c r="K13" s="34"/>
      <c r="L13" s="34"/>
      <c r="M13" s="34"/>
      <c r="N13" s="34"/>
      <c r="O13" s="34"/>
      <c r="P13" s="34"/>
      <c r="Q13" s="34"/>
      <c r="R13" s="34"/>
      <c r="S13" s="34"/>
      <c r="T13" s="34"/>
      <c r="U13" s="34"/>
      <c r="V13" s="34"/>
      <c r="W13" s="34"/>
      <c r="X13" s="173"/>
      <c r="Y13" s="173"/>
      <c r="Z13" s="173"/>
      <c r="AA13" s="173"/>
      <c r="AB13" s="173"/>
      <c r="AC13" s="173"/>
      <c r="AD13" s="173"/>
      <c r="AE13" s="173"/>
      <c r="AF13" s="173"/>
      <c r="AG13" s="173"/>
      <c r="AH13" s="173"/>
      <c r="AI13" s="173"/>
      <c r="AJ13" s="173"/>
      <c r="AK13" s="173"/>
      <c r="AL13" s="173"/>
      <c r="AM13" s="173"/>
      <c r="AN13" s="173"/>
      <c r="AO13" s="173"/>
      <c r="AP13" s="173"/>
      <c r="AQ13" s="173"/>
      <c r="AR13" s="173"/>
      <c r="AS13" s="173"/>
      <c r="AT13" s="173"/>
      <c r="AU13" s="173"/>
      <c r="AV13" s="173"/>
      <c r="AW13" s="173"/>
      <c r="AX13" s="173"/>
      <c r="AY13" s="173"/>
      <c r="AZ13" s="173"/>
      <c r="BA13" s="173"/>
      <c r="BB13" s="173"/>
      <c r="BC13" s="173"/>
    </row>
    <row r="14" spans="1:55" ht="15.75" customHeight="1">
      <c r="A14" s="278"/>
      <c r="B14" s="278"/>
      <c r="C14" s="278"/>
      <c r="D14" s="278"/>
      <c r="E14" s="278"/>
      <c r="F14" s="278"/>
      <c r="G14" s="278"/>
      <c r="H14" s="278"/>
      <c r="I14" s="278"/>
      <c r="J14" s="278"/>
      <c r="K14" s="34"/>
      <c r="L14" s="34"/>
      <c r="M14" s="34"/>
      <c r="N14" s="34"/>
      <c r="O14" s="34"/>
      <c r="P14" s="34"/>
      <c r="Q14" s="34"/>
      <c r="R14" s="34"/>
      <c r="S14" s="34"/>
      <c r="T14" s="34"/>
      <c r="U14" s="34"/>
      <c r="V14" s="34"/>
      <c r="W14" s="34"/>
      <c r="X14" s="173"/>
      <c r="Y14" s="173"/>
      <c r="Z14" s="173"/>
      <c r="AA14" s="173"/>
      <c r="AB14" s="173"/>
      <c r="AC14" s="173"/>
      <c r="AD14" s="173"/>
      <c r="AE14" s="173"/>
      <c r="AF14" s="173"/>
      <c r="AG14" s="173"/>
      <c r="AH14" s="173"/>
      <c r="AI14" s="173"/>
      <c r="AJ14" s="173"/>
      <c r="AK14" s="173"/>
      <c r="AL14" s="173"/>
      <c r="AM14" s="173"/>
      <c r="AN14" s="173"/>
      <c r="AO14" s="173"/>
      <c r="AP14" s="173"/>
      <c r="AQ14" s="173"/>
      <c r="AR14" s="173"/>
      <c r="AS14" s="173"/>
      <c r="AT14" s="173"/>
      <c r="AU14" s="173"/>
      <c r="AV14" s="173"/>
      <c r="AW14" s="173"/>
      <c r="AX14" s="173"/>
      <c r="AY14" s="173"/>
      <c r="AZ14" s="173"/>
      <c r="BA14" s="173"/>
      <c r="BB14" s="173"/>
      <c r="BC14" s="173"/>
    </row>
    <row r="15" spans="1:55" ht="15.75" customHeight="1">
      <c r="A15" s="278"/>
      <c r="B15" s="778"/>
      <c r="C15" s="278"/>
      <c r="D15" s="278"/>
      <c r="E15" s="278"/>
      <c r="F15" s="278"/>
      <c r="G15" s="278"/>
      <c r="H15" s="278"/>
      <c r="I15" s="278"/>
      <c r="J15" s="278"/>
      <c r="K15" s="34"/>
      <c r="L15" s="34"/>
      <c r="M15" s="34"/>
      <c r="N15" s="34"/>
      <c r="O15" s="34"/>
      <c r="P15" s="34"/>
      <c r="Q15" s="34"/>
      <c r="R15" s="34"/>
      <c r="S15" s="34"/>
      <c r="T15" s="34"/>
      <c r="U15" s="34"/>
      <c r="V15" s="34"/>
      <c r="W15" s="34"/>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row>
    <row r="16" spans="1:55" ht="15.75" customHeight="1">
      <c r="A16" s="896"/>
      <c r="B16" s="1205" t="s">
        <v>2055</v>
      </c>
      <c r="C16" s="1007"/>
      <c r="D16" s="1007"/>
      <c r="E16" s="1007"/>
      <c r="F16" s="1007"/>
      <c r="G16" s="1007"/>
      <c r="H16" s="1007"/>
      <c r="I16" s="1007"/>
      <c r="J16" s="1007"/>
      <c r="K16" s="1007"/>
      <c r="L16" s="897"/>
      <c r="M16" s="897"/>
      <c r="N16" s="897"/>
      <c r="O16" s="897"/>
      <c r="P16" s="897"/>
      <c r="Q16" s="897"/>
      <c r="R16" s="897"/>
      <c r="S16" s="34"/>
      <c r="T16" s="34"/>
      <c r="U16" s="34"/>
      <c r="V16" s="34"/>
      <c r="W16" s="34"/>
      <c r="X16" s="173"/>
      <c r="Y16" s="173"/>
      <c r="Z16" s="173"/>
      <c r="AA16" s="173"/>
      <c r="AB16" s="173"/>
      <c r="AC16" s="173"/>
      <c r="AD16" s="173"/>
      <c r="AE16" s="173"/>
      <c r="AF16" s="173"/>
      <c r="AG16" s="173"/>
      <c r="AH16" s="173"/>
      <c r="AI16" s="173"/>
      <c r="AJ16" s="173"/>
      <c r="AK16" s="173"/>
      <c r="AL16" s="173"/>
      <c r="AM16" s="173"/>
      <c r="AN16" s="173"/>
      <c r="AO16" s="173"/>
      <c r="AP16" s="173"/>
      <c r="AQ16" s="173"/>
      <c r="AR16" s="173"/>
      <c r="AS16" s="173"/>
      <c r="AT16" s="173"/>
      <c r="AU16" s="173"/>
      <c r="AV16" s="173"/>
      <c r="AW16" s="173"/>
      <c r="AX16" s="173"/>
      <c r="AY16" s="173"/>
      <c r="AZ16" s="173"/>
      <c r="BA16" s="173"/>
      <c r="BB16" s="173"/>
      <c r="BC16" s="173"/>
    </row>
    <row r="17" spans="1:55" ht="15.75" customHeight="1">
      <c r="A17" s="278"/>
      <c r="B17" s="903"/>
      <c r="C17" s="904"/>
      <c r="D17" s="904"/>
      <c r="E17" s="904"/>
      <c r="F17" s="779"/>
      <c r="G17" s="779"/>
      <c r="H17" s="779"/>
      <c r="I17" s="779"/>
      <c r="J17" s="779"/>
      <c r="K17" s="278"/>
      <c r="L17" s="278"/>
      <c r="M17" s="278"/>
      <c r="N17" s="278"/>
      <c r="O17" s="278"/>
      <c r="P17" s="278"/>
      <c r="Q17" s="278"/>
      <c r="R17" s="278"/>
      <c r="S17" s="278"/>
      <c r="T17" s="278"/>
      <c r="U17" s="278"/>
      <c r="V17" s="278"/>
      <c r="W17" s="34"/>
      <c r="X17" s="173"/>
      <c r="Y17" s="173"/>
      <c r="Z17" s="173"/>
      <c r="AA17" s="173"/>
      <c r="AB17" s="173"/>
      <c r="AC17" s="173"/>
      <c r="AD17" s="173"/>
      <c r="AE17" s="173"/>
      <c r="AF17" s="173"/>
      <c r="AG17" s="173"/>
      <c r="AH17" s="173"/>
      <c r="AI17" s="173"/>
      <c r="AJ17" s="173"/>
      <c r="AK17" s="173"/>
      <c r="AL17" s="173"/>
      <c r="AM17" s="173"/>
      <c r="AN17" s="173"/>
      <c r="AO17" s="173"/>
      <c r="AP17" s="173"/>
      <c r="AQ17" s="173"/>
      <c r="AR17" s="173"/>
      <c r="AS17" s="173"/>
      <c r="AT17" s="173"/>
      <c r="AU17" s="173"/>
      <c r="AV17" s="173"/>
      <c r="AW17" s="173"/>
      <c r="AX17" s="173"/>
      <c r="AY17" s="173"/>
      <c r="AZ17" s="173"/>
      <c r="BA17" s="173"/>
      <c r="BB17" s="173"/>
      <c r="BC17" s="173"/>
    </row>
    <row r="18" spans="1:55" ht="15.75" customHeight="1">
      <c r="A18" s="905"/>
      <c r="B18" s="1211" t="s">
        <v>2056</v>
      </c>
      <c r="C18" s="1102"/>
      <c r="D18" s="1102"/>
      <c r="E18" s="1030"/>
      <c r="F18" s="6"/>
      <c r="I18" s="779"/>
      <c r="N18" s="278"/>
      <c r="O18" s="278"/>
      <c r="P18" s="278"/>
      <c r="Q18" s="278"/>
      <c r="R18" s="278"/>
      <c r="S18" s="278"/>
      <c r="T18" s="278"/>
      <c r="U18" s="278"/>
      <c r="V18" s="278"/>
      <c r="W18" s="34"/>
      <c r="X18" s="173"/>
      <c r="Y18" s="173"/>
      <c r="Z18" s="173"/>
      <c r="AA18" s="173"/>
      <c r="AB18" s="173"/>
      <c r="AC18" s="173"/>
      <c r="AD18" s="173"/>
      <c r="AE18" s="173"/>
      <c r="AF18" s="173"/>
      <c r="AG18" s="173"/>
      <c r="AH18" s="173"/>
      <c r="AI18" s="173"/>
      <c r="AJ18" s="173"/>
      <c r="AK18" s="173"/>
      <c r="AL18" s="173"/>
      <c r="AM18" s="173"/>
      <c r="AN18" s="173"/>
      <c r="AO18" s="173"/>
      <c r="AP18" s="173"/>
      <c r="AQ18" s="173"/>
      <c r="AR18" s="173"/>
      <c r="AS18" s="173"/>
      <c r="AT18" s="173"/>
      <c r="AU18" s="173"/>
      <c r="AV18" s="173"/>
      <c r="AW18" s="173"/>
      <c r="AX18" s="173"/>
      <c r="AY18" s="173"/>
      <c r="AZ18" s="173"/>
      <c r="BA18" s="173"/>
      <c r="BB18" s="173"/>
      <c r="BC18" s="173"/>
    </row>
    <row r="19" spans="1:55" ht="15.75" customHeight="1">
      <c r="A19" s="905"/>
      <c r="B19" s="906" t="s">
        <v>2057</v>
      </c>
      <c r="C19" s="907" t="s">
        <v>2058</v>
      </c>
      <c r="D19" s="908" t="s">
        <v>2059</v>
      </c>
      <c r="E19" s="907" t="s">
        <v>2060</v>
      </c>
      <c r="I19" s="779"/>
      <c r="N19" s="278"/>
      <c r="O19" s="278"/>
      <c r="P19" s="278"/>
      <c r="Q19" s="278"/>
      <c r="R19" s="278"/>
      <c r="S19" s="278"/>
      <c r="T19" s="278"/>
      <c r="U19" s="278"/>
      <c r="V19" s="278"/>
      <c r="W19" s="34"/>
      <c r="X19" s="173"/>
      <c r="Y19" s="173"/>
      <c r="Z19" s="173"/>
      <c r="AA19" s="173"/>
      <c r="AB19" s="173"/>
      <c r="AC19" s="173"/>
      <c r="AD19" s="173"/>
      <c r="AE19" s="173"/>
      <c r="AF19" s="173"/>
      <c r="AG19" s="173"/>
      <c r="AH19" s="173"/>
      <c r="AI19" s="173"/>
      <c r="AJ19" s="173"/>
      <c r="AK19" s="173"/>
      <c r="AL19" s="173"/>
      <c r="AM19" s="173"/>
      <c r="AN19" s="173"/>
      <c r="AO19" s="173"/>
      <c r="AP19" s="173"/>
      <c r="AQ19" s="173"/>
      <c r="AR19" s="173"/>
      <c r="AS19" s="173"/>
      <c r="AT19" s="173"/>
      <c r="AU19" s="173"/>
      <c r="AV19" s="173"/>
      <c r="AW19" s="173"/>
      <c r="AX19" s="173"/>
      <c r="AY19" s="173"/>
      <c r="AZ19" s="173"/>
      <c r="BA19" s="173"/>
      <c r="BB19" s="173"/>
      <c r="BC19" s="173"/>
    </row>
    <row r="20" spans="1:55" ht="15.75" customHeight="1">
      <c r="A20" s="905"/>
      <c r="B20" s="906" t="s">
        <v>2061</v>
      </c>
      <c r="C20" s="909">
        <f>21/36</f>
        <v>0.58333333333333337</v>
      </c>
      <c r="D20" s="909">
        <f>15/36</f>
        <v>0.41666666666666669</v>
      </c>
      <c r="E20" s="909">
        <f>0/36</f>
        <v>0</v>
      </c>
      <c r="I20" s="779"/>
      <c r="N20" s="278"/>
      <c r="O20" s="278"/>
      <c r="P20" s="278"/>
      <c r="Q20" s="278"/>
      <c r="R20" s="278"/>
      <c r="S20" s="278"/>
      <c r="T20" s="278"/>
      <c r="U20" s="278"/>
      <c r="V20" s="278"/>
      <c r="W20" s="34"/>
      <c r="X20" s="173"/>
      <c r="Y20" s="173"/>
      <c r="Z20" s="173"/>
      <c r="AA20" s="173"/>
      <c r="AB20" s="173"/>
      <c r="AC20" s="173"/>
      <c r="AD20" s="173"/>
      <c r="AE20" s="173"/>
      <c r="AF20" s="173"/>
      <c r="AG20" s="173"/>
      <c r="AH20" s="173"/>
      <c r="AI20" s="173"/>
      <c r="AJ20" s="173"/>
      <c r="AK20" s="173"/>
      <c r="AL20" s="173"/>
      <c r="AM20" s="173"/>
      <c r="AN20" s="173"/>
      <c r="AO20" s="173"/>
      <c r="AP20" s="173"/>
      <c r="AQ20" s="173"/>
      <c r="AR20" s="173"/>
      <c r="AS20" s="173"/>
      <c r="AT20" s="173"/>
      <c r="AU20" s="173"/>
      <c r="AV20" s="173"/>
      <c r="AW20" s="173"/>
      <c r="AX20" s="173"/>
      <c r="AY20" s="173"/>
      <c r="AZ20" s="173"/>
      <c r="BA20" s="173"/>
      <c r="BB20" s="173"/>
      <c r="BC20" s="173"/>
    </row>
    <row r="21" spans="1:55" ht="15.75" customHeight="1">
      <c r="A21" s="905"/>
      <c r="B21" s="906" t="s">
        <v>2062</v>
      </c>
      <c r="C21" s="909">
        <f>12/36</f>
        <v>0.33333333333333331</v>
      </c>
      <c r="D21" s="909">
        <f>9/36</f>
        <v>0.25</v>
      </c>
      <c r="E21" s="909">
        <f>15/36</f>
        <v>0.41666666666666669</v>
      </c>
      <c r="I21" s="779"/>
      <c r="N21" s="278"/>
      <c r="O21" s="278"/>
      <c r="P21" s="278"/>
      <c r="Q21" s="278"/>
      <c r="R21" s="278"/>
      <c r="S21" s="278"/>
      <c r="T21" s="278"/>
      <c r="U21" s="278"/>
      <c r="V21" s="278"/>
      <c r="W21" s="34"/>
      <c r="X21" s="173"/>
      <c r="Y21" s="173"/>
      <c r="Z21" s="173"/>
      <c r="AA21" s="173"/>
      <c r="AB21" s="173"/>
      <c r="AC21" s="173"/>
      <c r="AD21" s="173"/>
      <c r="AE21" s="173"/>
      <c r="AF21" s="173"/>
      <c r="AG21" s="173"/>
      <c r="AH21" s="173"/>
      <c r="AI21" s="173"/>
      <c r="AJ21" s="173"/>
      <c r="AK21" s="173"/>
      <c r="AL21" s="173"/>
      <c r="AM21" s="173"/>
      <c r="AN21" s="173"/>
      <c r="AO21" s="173"/>
      <c r="AP21" s="173"/>
      <c r="AQ21" s="173"/>
      <c r="AR21" s="173"/>
      <c r="AS21" s="173"/>
      <c r="AT21" s="173"/>
      <c r="AU21" s="173"/>
      <c r="AV21" s="173"/>
      <c r="AW21" s="173"/>
      <c r="AX21" s="173"/>
      <c r="AY21" s="173"/>
      <c r="AZ21" s="173"/>
      <c r="BA21" s="173"/>
      <c r="BB21" s="173"/>
      <c r="BC21" s="173"/>
    </row>
    <row r="22" spans="1:55" ht="15.75" customHeight="1">
      <c r="A22" s="905"/>
      <c r="B22" s="906" t="s">
        <v>2063</v>
      </c>
      <c r="C22" s="909">
        <f>2/36</f>
        <v>5.5555555555555552E-2</v>
      </c>
      <c r="D22" s="909">
        <f>10/36</f>
        <v>0.27777777777777779</v>
      </c>
      <c r="E22" s="909">
        <f>24/36</f>
        <v>0.66666666666666663</v>
      </c>
      <c r="I22" s="779"/>
      <c r="N22" s="278"/>
      <c r="O22" s="278"/>
      <c r="P22" s="278"/>
      <c r="Q22" s="278"/>
      <c r="R22" s="278"/>
      <c r="S22" s="278"/>
      <c r="T22" s="278"/>
      <c r="U22" s="278"/>
      <c r="V22" s="278"/>
      <c r="W22" s="34"/>
      <c r="X22" s="173"/>
      <c r="Y22" s="173"/>
      <c r="Z22" s="173"/>
      <c r="AA22" s="173"/>
      <c r="AB22" s="173"/>
      <c r="AC22" s="173"/>
      <c r="AD22" s="173"/>
      <c r="AE22" s="173"/>
      <c r="AF22" s="173"/>
      <c r="AG22" s="173"/>
      <c r="AH22" s="173"/>
      <c r="AI22" s="173"/>
      <c r="AJ22" s="173"/>
      <c r="AK22" s="173"/>
      <c r="AL22" s="173"/>
      <c r="AM22" s="173"/>
      <c r="AN22" s="173"/>
      <c r="AO22" s="173"/>
      <c r="AP22" s="173"/>
      <c r="AQ22" s="173"/>
      <c r="AR22" s="173"/>
      <c r="AS22" s="173"/>
      <c r="AT22" s="173"/>
      <c r="AU22" s="173"/>
      <c r="AV22" s="173"/>
      <c r="AW22" s="173"/>
      <c r="AX22" s="173"/>
      <c r="AY22" s="173"/>
      <c r="AZ22" s="173"/>
      <c r="BA22" s="173"/>
      <c r="BB22" s="173"/>
      <c r="BC22" s="173"/>
    </row>
    <row r="23" spans="1:55" ht="15.75" customHeight="1">
      <c r="A23" s="905"/>
      <c r="B23" s="906" t="s">
        <v>2064</v>
      </c>
      <c r="C23" s="909">
        <f>0/36</f>
        <v>0</v>
      </c>
      <c r="D23" s="909">
        <f>2/36</f>
        <v>5.5555555555555552E-2</v>
      </c>
      <c r="E23" s="909">
        <f>34/36</f>
        <v>0.94444444444444442</v>
      </c>
      <c r="I23" s="779"/>
      <c r="N23" s="278"/>
      <c r="O23" s="278"/>
      <c r="P23" s="278"/>
      <c r="Q23" s="278"/>
      <c r="R23" s="278"/>
      <c r="S23" s="278"/>
      <c r="T23" s="278"/>
      <c r="U23" s="278"/>
      <c r="V23" s="278"/>
      <c r="W23" s="34"/>
      <c r="X23" s="173"/>
      <c r="Y23" s="173"/>
      <c r="Z23" s="173"/>
      <c r="AA23" s="173"/>
      <c r="AB23" s="173"/>
      <c r="AC23" s="173"/>
      <c r="AD23" s="173"/>
      <c r="AE23" s="173"/>
      <c r="AF23" s="173"/>
      <c r="AG23" s="173"/>
      <c r="AH23" s="173"/>
      <c r="AI23" s="173"/>
      <c r="AJ23" s="173"/>
      <c r="AK23" s="173"/>
      <c r="AL23" s="173"/>
      <c r="AM23" s="173"/>
      <c r="AN23" s="173"/>
      <c r="AO23" s="173"/>
      <c r="AP23" s="173"/>
      <c r="AQ23" s="173"/>
      <c r="AR23" s="173"/>
      <c r="AS23" s="173"/>
      <c r="AT23" s="173"/>
      <c r="AU23" s="173"/>
      <c r="AV23" s="173"/>
      <c r="AW23" s="173"/>
      <c r="AX23" s="173"/>
      <c r="AY23" s="173"/>
      <c r="AZ23" s="173"/>
      <c r="BA23" s="173"/>
      <c r="BB23" s="173"/>
      <c r="BC23" s="173"/>
    </row>
    <row r="24" spans="1:55" ht="15.75" customHeight="1">
      <c r="A24" s="905"/>
      <c r="I24" s="779"/>
      <c r="J24" s="910"/>
      <c r="K24" s="911"/>
      <c r="L24" s="911"/>
      <c r="M24" s="911"/>
      <c r="N24" s="278"/>
      <c r="O24" s="278"/>
      <c r="P24" s="278"/>
      <c r="Q24" s="278"/>
      <c r="R24" s="278"/>
      <c r="S24" s="278"/>
      <c r="T24" s="278"/>
      <c r="U24" s="278"/>
      <c r="V24" s="278"/>
      <c r="W24" s="34"/>
      <c r="X24" s="173"/>
      <c r="Y24" s="173"/>
      <c r="Z24" s="173"/>
      <c r="AA24" s="173"/>
      <c r="AB24" s="173"/>
      <c r="AC24" s="173"/>
      <c r="AD24" s="173"/>
      <c r="AE24" s="173"/>
      <c r="AF24" s="173"/>
      <c r="AG24" s="173"/>
      <c r="AH24" s="173"/>
      <c r="AI24" s="173"/>
      <c r="AJ24" s="173"/>
      <c r="AK24" s="173"/>
      <c r="AL24" s="173"/>
      <c r="AM24" s="173"/>
      <c r="AN24" s="173"/>
      <c r="AO24" s="173"/>
      <c r="AP24" s="173"/>
      <c r="AQ24" s="173"/>
      <c r="AR24" s="173"/>
      <c r="AS24" s="173"/>
      <c r="AT24" s="173"/>
      <c r="AU24" s="173"/>
      <c r="AV24" s="173"/>
      <c r="AW24" s="173"/>
      <c r="AX24" s="173"/>
      <c r="AY24" s="173"/>
      <c r="AZ24" s="173"/>
      <c r="BA24" s="173"/>
      <c r="BB24" s="173"/>
      <c r="BC24" s="173"/>
    </row>
    <row r="25" spans="1:55">
      <c r="A25" s="905"/>
      <c r="B25" s="1210" t="s">
        <v>2065</v>
      </c>
      <c r="C25" s="1102"/>
      <c r="D25" s="1102"/>
      <c r="E25" s="1102"/>
      <c r="F25" s="1102"/>
      <c r="G25" s="1102"/>
      <c r="H25" s="1030"/>
      <c r="I25" s="779"/>
      <c r="J25" s="779"/>
      <c r="K25" s="278"/>
      <c r="L25" s="278"/>
      <c r="M25" s="278"/>
      <c r="N25" s="278"/>
      <c r="O25" s="278"/>
      <c r="P25" s="278"/>
      <c r="Q25" s="278"/>
      <c r="R25" s="278"/>
      <c r="S25" s="278"/>
      <c r="T25" s="278"/>
      <c r="U25" s="278"/>
      <c r="V25" s="278"/>
      <c r="W25" s="34"/>
      <c r="X25" s="173"/>
      <c r="Y25" s="173"/>
      <c r="Z25" s="173"/>
      <c r="AA25" s="173"/>
      <c r="AB25" s="173"/>
      <c r="AC25" s="173"/>
      <c r="AD25" s="173"/>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row>
    <row r="26" spans="1:55">
      <c r="A26" s="905"/>
      <c r="B26" s="1207" t="str">
        <f>HYPERLINK("http://www.hearthhead.com/quests","Source")</f>
        <v>Source</v>
      </c>
      <c r="C26" s="1102"/>
      <c r="D26" s="1102"/>
      <c r="E26" s="1030"/>
      <c r="F26" s="912" t="s">
        <v>2066</v>
      </c>
      <c r="G26" s="912" t="s">
        <v>2067</v>
      </c>
      <c r="H26" s="913" t="s">
        <v>2068</v>
      </c>
      <c r="I26" s="779"/>
      <c r="L26" s="34"/>
      <c r="M26" s="34"/>
      <c r="N26" s="34"/>
      <c r="O26" s="34"/>
      <c r="P26" s="34"/>
      <c r="Q26" s="34"/>
      <c r="R26" s="34"/>
      <c r="S26" s="278"/>
      <c r="T26" s="278"/>
      <c r="U26" s="278"/>
      <c r="V26" s="278"/>
      <c r="W26" s="34"/>
      <c r="X26" s="173"/>
      <c r="Y26" s="173"/>
      <c r="Z26" s="173"/>
      <c r="AA26" s="173"/>
      <c r="AB26" s="173"/>
      <c r="AC26" s="173"/>
      <c r="AD26" s="173"/>
      <c r="AE26" s="173"/>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row>
    <row r="27" spans="1:55" ht="15.75" customHeight="1">
      <c r="A27" s="905"/>
      <c r="B27" s="1200" t="s">
        <v>2069</v>
      </c>
      <c r="C27" s="1102"/>
      <c r="D27" s="1102"/>
      <c r="E27" s="1030"/>
      <c r="F27" s="914">
        <f t="shared" ref="F27:F62" si="0">1/36</f>
        <v>2.7777777777777776E-2</v>
      </c>
      <c r="G27" s="915">
        <v>40</v>
      </c>
      <c r="H27" s="916">
        <f t="shared" ref="H27:H62" si="1">F27*G27</f>
        <v>1.1111111111111112</v>
      </c>
      <c r="I27" s="34"/>
      <c r="J27" s="34"/>
      <c r="K27" s="34"/>
      <c r="L27" s="34"/>
      <c r="M27" s="34"/>
      <c r="N27" s="34"/>
      <c r="O27" s="34"/>
      <c r="P27" s="34"/>
      <c r="Q27" s="34"/>
      <c r="R27" s="34"/>
      <c r="S27" s="34"/>
      <c r="T27" s="34"/>
      <c r="U27" s="34"/>
      <c r="V27" s="34"/>
      <c r="W27" s="34"/>
      <c r="X27" s="173"/>
      <c r="Y27" s="173"/>
      <c r="Z27" s="173"/>
      <c r="AA27" s="173"/>
      <c r="AB27" s="173"/>
      <c r="AC27" s="173"/>
      <c r="AD27" s="173"/>
      <c r="AE27" s="173"/>
      <c r="AF27" s="173"/>
      <c r="AG27" s="173"/>
      <c r="AH27" s="173"/>
      <c r="AI27" s="173"/>
      <c r="AJ27" s="173"/>
      <c r="AK27" s="173"/>
      <c r="AL27" s="173"/>
      <c r="AM27" s="173"/>
      <c r="AN27" s="173"/>
      <c r="AO27" s="173"/>
      <c r="AP27" s="173"/>
      <c r="AQ27" s="173"/>
      <c r="AR27" s="173"/>
      <c r="AS27" s="173"/>
      <c r="AT27" s="173"/>
      <c r="AU27" s="173"/>
      <c r="AV27" s="173"/>
      <c r="AW27" s="173"/>
      <c r="AX27" s="173"/>
      <c r="AY27" s="173"/>
      <c r="AZ27" s="173"/>
      <c r="BA27" s="173"/>
      <c r="BB27" s="173"/>
      <c r="BC27" s="173"/>
    </row>
    <row r="28" spans="1:55" ht="15.75" customHeight="1">
      <c r="A28" s="781"/>
      <c r="B28" s="1200" t="s">
        <v>2070</v>
      </c>
      <c r="C28" s="1102"/>
      <c r="D28" s="1102"/>
      <c r="E28" s="1030"/>
      <c r="F28" s="914">
        <f t="shared" si="0"/>
        <v>2.7777777777777776E-2</v>
      </c>
      <c r="G28" s="915">
        <v>40</v>
      </c>
      <c r="H28" s="916">
        <f t="shared" si="1"/>
        <v>1.1111111111111112</v>
      </c>
      <c r="I28" s="34"/>
      <c r="J28" s="34"/>
      <c r="K28" s="34"/>
      <c r="L28" s="34"/>
      <c r="M28" s="34"/>
      <c r="N28" s="34"/>
      <c r="O28" s="34"/>
      <c r="P28" s="34"/>
      <c r="Q28" s="34"/>
      <c r="R28" s="34"/>
      <c r="S28" s="34"/>
      <c r="T28" s="34"/>
      <c r="U28" s="34"/>
      <c r="V28" s="34"/>
      <c r="W28" s="34"/>
      <c r="X28" s="173"/>
      <c r="Y28" s="173"/>
      <c r="Z28" s="173"/>
      <c r="AA28" s="173"/>
      <c r="AB28" s="173"/>
      <c r="AC28" s="173"/>
      <c r="AD28" s="173"/>
      <c r="AE28" s="173"/>
      <c r="AF28" s="173"/>
      <c r="AG28" s="173"/>
      <c r="AH28" s="173"/>
      <c r="AI28" s="173"/>
      <c r="AJ28" s="173"/>
      <c r="AK28" s="173"/>
      <c r="AL28" s="173"/>
      <c r="AM28" s="173"/>
      <c r="AN28" s="173"/>
      <c r="AO28" s="173"/>
      <c r="AP28" s="173"/>
      <c r="AQ28" s="173"/>
      <c r="AR28" s="173"/>
      <c r="AS28" s="173"/>
      <c r="AT28" s="173"/>
      <c r="AU28" s="173"/>
      <c r="AV28" s="173"/>
      <c r="AW28" s="173"/>
      <c r="AX28" s="173"/>
      <c r="AY28" s="173"/>
      <c r="AZ28" s="173"/>
      <c r="BA28" s="173"/>
      <c r="BB28" s="173"/>
      <c r="BC28" s="173"/>
    </row>
    <row r="29" spans="1:55" ht="15.75" customHeight="1">
      <c r="A29" s="781"/>
      <c r="B29" s="1200" t="s">
        <v>2071</v>
      </c>
      <c r="C29" s="1102"/>
      <c r="D29" s="1102"/>
      <c r="E29" s="1030"/>
      <c r="F29" s="914">
        <f t="shared" si="0"/>
        <v>2.7777777777777776E-2</v>
      </c>
      <c r="G29" s="915">
        <v>40</v>
      </c>
      <c r="H29" s="916">
        <f t="shared" si="1"/>
        <v>1.1111111111111112</v>
      </c>
      <c r="I29" s="34"/>
      <c r="J29" s="34"/>
      <c r="K29" s="34"/>
      <c r="L29" s="34"/>
      <c r="M29" s="34"/>
      <c r="N29" s="34"/>
      <c r="O29" s="34"/>
      <c r="P29" s="34"/>
      <c r="Q29" s="34"/>
      <c r="R29" s="34"/>
      <c r="S29" s="34"/>
      <c r="T29" s="34"/>
      <c r="U29" s="34"/>
      <c r="V29" s="34"/>
      <c r="W29" s="34"/>
      <c r="X29" s="173"/>
      <c r="Y29" s="173"/>
      <c r="Z29" s="173"/>
      <c r="AA29" s="173"/>
      <c r="AB29" s="173"/>
      <c r="AC29" s="173"/>
      <c r="AD29" s="173"/>
      <c r="AE29" s="173"/>
      <c r="AF29" s="173"/>
      <c r="AG29" s="173"/>
      <c r="AH29" s="173"/>
      <c r="AI29" s="173"/>
      <c r="AJ29" s="173"/>
      <c r="AK29" s="173"/>
      <c r="AL29" s="173"/>
      <c r="AM29" s="173"/>
      <c r="AN29" s="173"/>
      <c r="AO29" s="173"/>
      <c r="AP29" s="173"/>
      <c r="AQ29" s="173"/>
      <c r="AR29" s="173"/>
      <c r="AS29" s="173"/>
      <c r="AT29" s="173"/>
      <c r="AU29" s="173"/>
      <c r="AV29" s="173"/>
      <c r="AW29" s="173"/>
      <c r="AX29" s="173"/>
      <c r="AY29" s="173"/>
      <c r="AZ29" s="173"/>
      <c r="BA29" s="173"/>
      <c r="BB29" s="173"/>
      <c r="BC29" s="173"/>
    </row>
    <row r="30" spans="1:55" ht="15.75" customHeight="1">
      <c r="A30" s="781"/>
      <c r="B30" s="1200" t="s">
        <v>2072</v>
      </c>
      <c r="C30" s="1102"/>
      <c r="D30" s="1102"/>
      <c r="E30" s="1030"/>
      <c r="F30" s="914">
        <f t="shared" si="0"/>
        <v>2.7777777777777776E-2</v>
      </c>
      <c r="G30" s="915">
        <v>40</v>
      </c>
      <c r="H30" s="916">
        <f t="shared" si="1"/>
        <v>1.1111111111111112</v>
      </c>
      <c r="I30" s="278"/>
      <c r="J30" s="34"/>
      <c r="K30" s="34"/>
      <c r="L30" s="34"/>
      <c r="M30" s="34"/>
      <c r="N30" s="34"/>
      <c r="O30" s="34"/>
      <c r="P30" s="34"/>
      <c r="Q30" s="34"/>
      <c r="R30" s="34"/>
      <c r="S30" s="34"/>
      <c r="T30" s="34"/>
      <c r="U30" s="34"/>
      <c r="V30" s="34"/>
      <c r="W30" s="34"/>
      <c r="X30" s="173"/>
      <c r="Y30" s="173"/>
      <c r="Z30" s="173"/>
      <c r="AA30" s="173"/>
      <c r="AB30" s="173"/>
      <c r="AC30" s="173"/>
      <c r="AD30" s="173"/>
      <c r="AE30" s="173"/>
      <c r="AF30" s="173"/>
      <c r="AG30" s="173"/>
      <c r="AH30" s="173"/>
      <c r="AI30" s="173"/>
      <c r="AJ30" s="173"/>
      <c r="AK30" s="173"/>
      <c r="AL30" s="173"/>
      <c r="AM30" s="173"/>
      <c r="AN30" s="173"/>
      <c r="AO30" s="173"/>
      <c r="AP30" s="173"/>
      <c r="AQ30" s="173"/>
      <c r="AR30" s="173"/>
      <c r="AS30" s="173"/>
      <c r="AT30" s="173"/>
      <c r="AU30" s="173"/>
      <c r="AV30" s="173"/>
      <c r="AW30" s="173"/>
      <c r="AX30" s="173"/>
      <c r="AY30" s="173"/>
      <c r="AZ30" s="173"/>
      <c r="BA30" s="173"/>
      <c r="BB30" s="173"/>
      <c r="BC30" s="173"/>
    </row>
    <row r="31" spans="1:55" ht="15.75" customHeight="1">
      <c r="A31" s="781"/>
      <c r="B31" s="1200" t="s">
        <v>2073</v>
      </c>
      <c r="C31" s="1102"/>
      <c r="D31" s="1102"/>
      <c r="E31" s="1102"/>
      <c r="F31" s="914">
        <f t="shared" si="0"/>
        <v>2.7777777777777776E-2</v>
      </c>
      <c r="G31" s="915">
        <v>40</v>
      </c>
      <c r="H31" s="916">
        <f t="shared" si="1"/>
        <v>1.1111111111111112</v>
      </c>
      <c r="I31" s="278"/>
      <c r="J31" s="34"/>
      <c r="K31" s="34"/>
      <c r="L31" s="34"/>
      <c r="M31" s="34"/>
      <c r="N31" s="34"/>
      <c r="O31" s="34"/>
      <c r="P31" s="34"/>
      <c r="Q31" s="34"/>
      <c r="R31" s="34"/>
      <c r="S31" s="34"/>
      <c r="T31" s="34"/>
      <c r="U31" s="34"/>
      <c r="V31" s="34"/>
      <c r="W31" s="34"/>
      <c r="X31" s="173"/>
      <c r="Y31" s="173"/>
      <c r="Z31" s="173"/>
      <c r="AA31" s="173"/>
      <c r="AB31" s="173"/>
      <c r="AC31" s="173"/>
      <c r="AD31" s="173"/>
      <c r="AE31" s="173"/>
      <c r="AF31" s="173"/>
      <c r="AG31" s="173"/>
      <c r="AH31" s="173"/>
      <c r="AI31" s="173"/>
      <c r="AJ31" s="173"/>
      <c r="AK31" s="173"/>
      <c r="AL31" s="173"/>
      <c r="AM31" s="173"/>
      <c r="AN31" s="173"/>
      <c r="AO31" s="173"/>
      <c r="AP31" s="173"/>
      <c r="AQ31" s="173"/>
      <c r="AR31" s="173"/>
      <c r="AS31" s="173"/>
      <c r="AT31" s="173"/>
      <c r="AU31" s="173"/>
      <c r="AV31" s="173"/>
      <c r="AW31" s="173"/>
      <c r="AX31" s="173"/>
      <c r="AY31" s="173"/>
      <c r="AZ31" s="173"/>
      <c r="BA31" s="173"/>
      <c r="BB31" s="173"/>
      <c r="BC31" s="173"/>
    </row>
    <row r="32" spans="1:55" ht="15.75" customHeight="1">
      <c r="A32" s="781"/>
      <c r="B32" s="1199" t="s">
        <v>2074</v>
      </c>
      <c r="C32" s="1102"/>
      <c r="D32" s="1102"/>
      <c r="E32" s="1102"/>
      <c r="F32" s="914">
        <f t="shared" si="0"/>
        <v>2.7777777777777776E-2</v>
      </c>
      <c r="G32" s="917">
        <v>40</v>
      </c>
      <c r="H32" s="916">
        <f t="shared" si="1"/>
        <v>1.1111111111111112</v>
      </c>
      <c r="I32" s="779"/>
      <c r="J32" s="34"/>
      <c r="K32" s="34"/>
      <c r="L32" s="34"/>
      <c r="M32" s="34"/>
      <c r="N32" s="34"/>
      <c r="O32" s="34"/>
      <c r="P32" s="34"/>
      <c r="Q32" s="34"/>
      <c r="R32" s="34"/>
      <c r="S32" s="34"/>
      <c r="T32" s="34"/>
      <c r="U32" s="34"/>
      <c r="V32" s="34"/>
      <c r="W32" s="34"/>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row>
    <row r="33" spans="1:55" ht="15.75" customHeight="1">
      <c r="A33" s="781"/>
      <c r="B33" s="1199" t="s">
        <v>2075</v>
      </c>
      <c r="C33" s="1102"/>
      <c r="D33" s="1102"/>
      <c r="E33" s="1102"/>
      <c r="F33" s="914">
        <f t="shared" si="0"/>
        <v>2.7777777777777776E-2</v>
      </c>
      <c r="G33" s="918">
        <v>40</v>
      </c>
      <c r="H33" s="916">
        <f t="shared" si="1"/>
        <v>1.1111111111111112</v>
      </c>
      <c r="I33" s="703"/>
      <c r="J33" s="34"/>
      <c r="K33" s="34"/>
      <c r="L33" s="34"/>
      <c r="M33" s="34"/>
      <c r="N33" s="34"/>
      <c r="O33" s="34"/>
      <c r="P33" s="34"/>
      <c r="Q33" s="34"/>
      <c r="R33" s="34"/>
      <c r="S33" s="34"/>
      <c r="T33" s="34"/>
      <c r="U33" s="34"/>
      <c r="V33" s="34"/>
      <c r="W33" s="34"/>
      <c r="X33" s="173"/>
      <c r="Y33" s="173"/>
      <c r="Z33" s="173"/>
      <c r="AA33" s="173"/>
      <c r="AB33" s="173"/>
      <c r="AC33" s="173"/>
      <c r="AD33" s="173"/>
      <c r="AE33" s="17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row>
    <row r="34" spans="1:55" ht="15.75" customHeight="1">
      <c r="A34" s="781"/>
      <c r="B34" s="1199" t="s">
        <v>2076</v>
      </c>
      <c r="C34" s="1102"/>
      <c r="D34" s="1102"/>
      <c r="E34" s="1102"/>
      <c r="F34" s="914">
        <f t="shared" si="0"/>
        <v>2.7777777777777776E-2</v>
      </c>
      <c r="G34" s="918">
        <v>40</v>
      </c>
      <c r="H34" s="916">
        <f t="shared" si="1"/>
        <v>1.1111111111111112</v>
      </c>
      <c r="I34" s="34"/>
      <c r="J34" s="34"/>
      <c r="K34" s="34"/>
      <c r="L34" s="34"/>
      <c r="M34" s="34"/>
      <c r="N34" s="34"/>
      <c r="O34" s="34"/>
      <c r="P34" s="34"/>
      <c r="Q34" s="34"/>
      <c r="R34" s="34"/>
      <c r="S34" s="34"/>
      <c r="T34" s="34"/>
      <c r="U34" s="34"/>
      <c r="V34" s="34"/>
      <c r="W34" s="34"/>
      <c r="X34" s="173"/>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row>
    <row r="35" spans="1:55" ht="15.75" customHeight="1">
      <c r="A35" s="781"/>
      <c r="B35" s="1199" t="s">
        <v>2077</v>
      </c>
      <c r="C35" s="1102"/>
      <c r="D35" s="1102"/>
      <c r="E35" s="1102"/>
      <c r="F35" s="914">
        <f t="shared" si="0"/>
        <v>2.7777777777777776E-2</v>
      </c>
      <c r="G35" s="918">
        <v>40</v>
      </c>
      <c r="H35" s="916">
        <f t="shared" si="1"/>
        <v>1.1111111111111112</v>
      </c>
      <c r="I35" s="34"/>
      <c r="J35" s="34"/>
      <c r="K35" s="34"/>
      <c r="L35" s="34"/>
      <c r="M35" s="34"/>
      <c r="N35" s="34"/>
      <c r="O35" s="34"/>
      <c r="P35" s="34"/>
      <c r="Q35" s="34"/>
      <c r="R35" s="34"/>
      <c r="S35" s="34"/>
      <c r="T35" s="34"/>
      <c r="U35" s="34"/>
      <c r="V35" s="34"/>
      <c r="W35" s="34"/>
      <c r="X35" s="173"/>
      <c r="Y35" s="173"/>
      <c r="Z35" s="173"/>
      <c r="AA35" s="173"/>
      <c r="AB35" s="173"/>
      <c r="AC35" s="173"/>
      <c r="AD35" s="173"/>
      <c r="AE35" s="173"/>
      <c r="AF35" s="173"/>
      <c r="AG35" s="173"/>
      <c r="AH35" s="173"/>
      <c r="AI35" s="173"/>
      <c r="AJ35" s="173"/>
      <c r="AK35" s="173"/>
      <c r="AL35" s="173"/>
      <c r="AM35" s="173"/>
      <c r="AN35" s="173"/>
      <c r="AO35" s="173"/>
      <c r="AP35" s="173"/>
      <c r="AQ35" s="173"/>
      <c r="AR35" s="173"/>
      <c r="AS35" s="173"/>
      <c r="AT35" s="173"/>
      <c r="AU35" s="173"/>
      <c r="AV35" s="173"/>
      <c r="AW35" s="173"/>
      <c r="AX35" s="173"/>
      <c r="AY35" s="173"/>
      <c r="AZ35" s="173"/>
      <c r="BA35" s="173"/>
      <c r="BB35" s="173"/>
      <c r="BC35" s="173"/>
    </row>
    <row r="36" spans="1:55" ht="15.75" customHeight="1">
      <c r="A36" s="781"/>
      <c r="B36" s="1199" t="s">
        <v>2078</v>
      </c>
      <c r="C36" s="1102"/>
      <c r="D36" s="1102"/>
      <c r="E36" s="1102"/>
      <c r="F36" s="914">
        <f t="shared" si="0"/>
        <v>2.7777777777777776E-2</v>
      </c>
      <c r="G36" s="919">
        <v>40</v>
      </c>
      <c r="H36" s="916">
        <f t="shared" si="1"/>
        <v>1.1111111111111112</v>
      </c>
      <c r="I36" s="34"/>
      <c r="J36" s="34"/>
      <c r="K36" s="34"/>
      <c r="L36" s="34"/>
      <c r="M36" s="34"/>
      <c r="N36" s="34"/>
      <c r="O36" s="34"/>
      <c r="P36" s="34"/>
      <c r="Q36" s="34"/>
      <c r="R36" s="34"/>
      <c r="S36" s="34"/>
      <c r="T36" s="34"/>
      <c r="U36" s="34"/>
      <c r="V36" s="34"/>
      <c r="W36" s="34"/>
      <c r="X36" s="173"/>
      <c r="Y36" s="173"/>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row>
    <row r="37" spans="1:55" ht="15.75" customHeight="1">
      <c r="A37" s="781"/>
      <c r="B37" s="1199" t="s">
        <v>2079</v>
      </c>
      <c r="C37" s="1102"/>
      <c r="D37" s="1102"/>
      <c r="E37" s="1102"/>
      <c r="F37" s="914">
        <f t="shared" si="0"/>
        <v>2.7777777777777776E-2</v>
      </c>
      <c r="G37" s="919">
        <v>40</v>
      </c>
      <c r="H37" s="916">
        <f t="shared" si="1"/>
        <v>1.1111111111111112</v>
      </c>
      <c r="I37" s="34"/>
      <c r="J37" s="34"/>
      <c r="K37" s="34"/>
      <c r="L37" s="34"/>
      <c r="M37" s="34"/>
      <c r="N37" s="34"/>
      <c r="O37" s="34"/>
      <c r="P37" s="34"/>
      <c r="Q37" s="34"/>
      <c r="R37" s="34"/>
      <c r="S37" s="34"/>
      <c r="T37" s="34"/>
      <c r="U37" s="34"/>
      <c r="V37" s="34"/>
      <c r="W37" s="34"/>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c r="AT37" s="173"/>
      <c r="AU37" s="173"/>
      <c r="AV37" s="173"/>
      <c r="AW37" s="173"/>
      <c r="AX37" s="173"/>
      <c r="AY37" s="173"/>
      <c r="AZ37" s="173"/>
      <c r="BA37" s="173"/>
      <c r="BB37" s="173"/>
      <c r="BC37" s="173"/>
    </row>
    <row r="38" spans="1:55" ht="15.75" customHeight="1">
      <c r="A38" s="905"/>
      <c r="B38" s="1199" t="s">
        <v>2080</v>
      </c>
      <c r="C38" s="1102"/>
      <c r="D38" s="1102"/>
      <c r="E38" s="1102"/>
      <c r="F38" s="914">
        <f t="shared" si="0"/>
        <v>2.7777777777777776E-2</v>
      </c>
      <c r="G38" s="919">
        <v>40</v>
      </c>
      <c r="H38" s="916">
        <f t="shared" si="1"/>
        <v>1.1111111111111112</v>
      </c>
      <c r="I38" s="278"/>
      <c r="J38" s="278"/>
      <c r="K38" s="34"/>
      <c r="L38" s="34"/>
      <c r="M38" s="34"/>
      <c r="N38" s="34"/>
      <c r="O38" s="34"/>
      <c r="P38" s="34"/>
      <c r="Q38" s="34"/>
      <c r="R38" s="34"/>
      <c r="S38" s="34"/>
      <c r="T38" s="34"/>
      <c r="U38" s="34"/>
      <c r="V38" s="34"/>
      <c r="W38" s="34"/>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c r="AT38" s="173"/>
      <c r="AU38" s="173"/>
      <c r="AV38" s="173"/>
      <c r="AW38" s="173"/>
      <c r="AX38" s="173"/>
      <c r="AY38" s="173"/>
      <c r="AZ38" s="173"/>
      <c r="BA38" s="173"/>
      <c r="BB38" s="173"/>
      <c r="BC38" s="173"/>
    </row>
    <row r="39" spans="1:55" ht="15.75" customHeight="1">
      <c r="A39" s="905"/>
      <c r="B39" s="1199" t="s">
        <v>2081</v>
      </c>
      <c r="C39" s="1102"/>
      <c r="D39" s="1102"/>
      <c r="E39" s="1102"/>
      <c r="F39" s="914">
        <f t="shared" si="0"/>
        <v>2.7777777777777776E-2</v>
      </c>
      <c r="G39" s="918">
        <v>40</v>
      </c>
      <c r="H39" s="916">
        <f t="shared" si="1"/>
        <v>1.1111111111111112</v>
      </c>
      <c r="I39" s="278"/>
      <c r="J39" s="278"/>
      <c r="K39" s="34"/>
      <c r="L39" s="34"/>
      <c r="M39" s="34"/>
      <c r="N39" s="34"/>
      <c r="O39" s="34"/>
      <c r="P39" s="34"/>
      <c r="Q39" s="34"/>
      <c r="R39" s="34"/>
      <c r="S39" s="34"/>
      <c r="T39" s="34"/>
      <c r="U39" s="34"/>
      <c r="V39" s="34"/>
      <c r="W39" s="34"/>
      <c r="X39" s="173"/>
      <c r="Y39" s="173"/>
      <c r="Z39" s="173"/>
      <c r="AA39" s="173"/>
      <c r="AB39" s="173"/>
      <c r="AC39" s="173"/>
      <c r="AD39" s="173"/>
      <c r="AE39" s="173"/>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row>
    <row r="40" spans="1:55" ht="15.75" customHeight="1">
      <c r="A40" s="905"/>
      <c r="B40" s="1199" t="s">
        <v>2082</v>
      </c>
      <c r="C40" s="1102"/>
      <c r="D40" s="1102"/>
      <c r="E40" s="1102"/>
      <c r="F40" s="914">
        <f t="shared" si="0"/>
        <v>2.7777777777777776E-2</v>
      </c>
      <c r="G40" s="918">
        <v>40</v>
      </c>
      <c r="H40" s="916">
        <f t="shared" si="1"/>
        <v>1.1111111111111112</v>
      </c>
      <c r="I40" s="278"/>
      <c r="J40" s="278"/>
      <c r="K40" s="34"/>
      <c r="L40" s="34"/>
      <c r="M40" s="34"/>
      <c r="N40" s="34"/>
      <c r="O40" s="34"/>
      <c r="P40" s="34"/>
      <c r="Q40" s="34"/>
      <c r="R40" s="278"/>
      <c r="S40" s="34"/>
      <c r="T40" s="34"/>
      <c r="U40" s="34"/>
      <c r="V40" s="34"/>
      <c r="W40" s="34"/>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row>
    <row r="41" spans="1:55" ht="12.75">
      <c r="A41" s="905"/>
      <c r="B41" s="1199" t="s">
        <v>2083</v>
      </c>
      <c r="C41" s="1102"/>
      <c r="D41" s="1102"/>
      <c r="E41" s="1102"/>
      <c r="F41" s="914">
        <f t="shared" si="0"/>
        <v>2.7777777777777776E-2</v>
      </c>
      <c r="G41" s="918">
        <v>40</v>
      </c>
      <c r="H41" s="916">
        <f t="shared" si="1"/>
        <v>1.1111111111111112</v>
      </c>
      <c r="I41" s="278"/>
      <c r="J41" s="278"/>
      <c r="K41" s="34"/>
      <c r="L41" s="34"/>
      <c r="M41" s="34"/>
      <c r="N41" s="34"/>
      <c r="O41" s="34"/>
      <c r="P41" s="34"/>
      <c r="Q41" s="34"/>
      <c r="R41" s="34"/>
      <c r="S41" s="34"/>
      <c r="T41" s="34"/>
      <c r="U41" s="34"/>
      <c r="V41" s="34"/>
      <c r="W41" s="34"/>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row>
    <row r="42" spans="1:55" ht="12.75">
      <c r="A42" s="905"/>
      <c r="B42" s="1200" t="s">
        <v>2084</v>
      </c>
      <c r="C42" s="1102"/>
      <c r="D42" s="1102"/>
      <c r="E42" s="1102"/>
      <c r="F42" s="914">
        <f t="shared" si="0"/>
        <v>2.7777777777777776E-2</v>
      </c>
      <c r="G42" s="920">
        <v>50</v>
      </c>
      <c r="H42" s="916">
        <f t="shared" si="1"/>
        <v>1.3888888888888888</v>
      </c>
      <c r="I42" s="278"/>
      <c r="J42" s="278"/>
      <c r="K42" s="34"/>
      <c r="L42" s="34"/>
      <c r="M42" s="34"/>
      <c r="N42" s="34"/>
      <c r="O42" s="34"/>
      <c r="P42" s="34"/>
      <c r="Q42" s="34"/>
      <c r="R42" s="34"/>
      <c r="S42" s="34"/>
      <c r="T42" s="34"/>
      <c r="U42" s="34"/>
      <c r="V42" s="34"/>
      <c r="W42" s="34"/>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173"/>
      <c r="BA42" s="173"/>
      <c r="BB42" s="173"/>
      <c r="BC42" s="173"/>
    </row>
    <row r="43" spans="1:55" ht="12.75">
      <c r="A43" s="905"/>
      <c r="B43" s="1200" t="s">
        <v>2085</v>
      </c>
      <c r="C43" s="1102"/>
      <c r="D43" s="1102"/>
      <c r="E43" s="1102"/>
      <c r="F43" s="914">
        <f t="shared" si="0"/>
        <v>2.7777777777777776E-2</v>
      </c>
      <c r="G43" s="920">
        <v>50</v>
      </c>
      <c r="H43" s="916">
        <f t="shared" si="1"/>
        <v>1.3888888888888888</v>
      </c>
      <c r="I43" s="278"/>
      <c r="J43" s="278"/>
      <c r="K43" s="34"/>
      <c r="L43" s="34"/>
      <c r="M43" s="34"/>
      <c r="N43" s="34"/>
      <c r="O43" s="34"/>
      <c r="P43" s="34"/>
      <c r="Q43" s="34"/>
      <c r="R43" s="34"/>
      <c r="S43" s="34"/>
      <c r="T43" s="34"/>
      <c r="U43" s="34"/>
      <c r="V43" s="34"/>
      <c r="W43" s="34"/>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row>
    <row r="44" spans="1:55" ht="12.75">
      <c r="A44" s="905"/>
      <c r="B44" s="1200" t="s">
        <v>2086</v>
      </c>
      <c r="C44" s="1102"/>
      <c r="D44" s="1102"/>
      <c r="E44" s="1102"/>
      <c r="F44" s="914">
        <f t="shared" si="0"/>
        <v>2.7777777777777776E-2</v>
      </c>
      <c r="G44" s="920">
        <v>50</v>
      </c>
      <c r="H44" s="916">
        <f t="shared" si="1"/>
        <v>1.3888888888888888</v>
      </c>
      <c r="I44" s="278"/>
      <c r="J44" s="278"/>
      <c r="K44" s="34"/>
      <c r="L44" s="34"/>
      <c r="M44" s="34"/>
      <c r="N44" s="34"/>
      <c r="O44" s="34"/>
      <c r="P44" s="34"/>
      <c r="Q44" s="34"/>
      <c r="R44" s="34"/>
      <c r="S44" s="34"/>
      <c r="T44" s="34"/>
      <c r="U44" s="34"/>
      <c r="V44" s="34"/>
      <c r="W44" s="34"/>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row>
    <row r="45" spans="1:55" ht="12.75">
      <c r="A45" s="905"/>
      <c r="B45" s="1200" t="s">
        <v>2087</v>
      </c>
      <c r="C45" s="1102"/>
      <c r="D45" s="1102"/>
      <c r="E45" s="1102"/>
      <c r="F45" s="914">
        <f t="shared" si="0"/>
        <v>2.7777777777777776E-2</v>
      </c>
      <c r="G45" s="920">
        <v>50</v>
      </c>
      <c r="H45" s="916">
        <f t="shared" si="1"/>
        <v>1.3888888888888888</v>
      </c>
      <c r="I45" s="278"/>
      <c r="J45" s="278"/>
      <c r="K45" s="34"/>
      <c r="L45" s="34"/>
      <c r="M45" s="34"/>
      <c r="N45" s="34"/>
      <c r="O45" s="34"/>
      <c r="P45" s="34"/>
      <c r="Q45" s="34"/>
      <c r="R45" s="34"/>
      <c r="S45" s="34"/>
      <c r="T45" s="34"/>
      <c r="U45" s="34"/>
      <c r="V45" s="34"/>
      <c r="W45" s="34"/>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3"/>
      <c r="AX45" s="173"/>
      <c r="AY45" s="173"/>
      <c r="AZ45" s="173"/>
      <c r="BA45" s="173"/>
      <c r="BB45" s="173"/>
      <c r="BC45" s="173"/>
    </row>
    <row r="46" spans="1:55" ht="12.75">
      <c r="A46" s="905"/>
      <c r="B46" s="1200" t="s">
        <v>2088</v>
      </c>
      <c r="C46" s="1102"/>
      <c r="D46" s="1102"/>
      <c r="E46" s="1102"/>
      <c r="F46" s="914">
        <f t="shared" si="0"/>
        <v>2.7777777777777776E-2</v>
      </c>
      <c r="G46" s="920">
        <v>50</v>
      </c>
      <c r="H46" s="916">
        <f t="shared" si="1"/>
        <v>1.3888888888888888</v>
      </c>
      <c r="I46" s="278"/>
      <c r="J46" s="278"/>
      <c r="K46" s="34"/>
      <c r="L46" s="34"/>
      <c r="M46" s="34"/>
      <c r="N46" s="34"/>
      <c r="O46" s="34"/>
      <c r="P46" s="34"/>
      <c r="Q46" s="34"/>
      <c r="R46" s="34"/>
      <c r="S46" s="34"/>
      <c r="T46" s="34"/>
      <c r="U46" s="34"/>
      <c r="V46" s="34"/>
      <c r="W46" s="34"/>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173"/>
      <c r="BB46" s="173"/>
      <c r="BC46" s="173"/>
    </row>
    <row r="47" spans="1:55" ht="12.75">
      <c r="A47" s="278"/>
      <c r="B47" s="1200" t="s">
        <v>2089</v>
      </c>
      <c r="C47" s="1102"/>
      <c r="D47" s="1102"/>
      <c r="E47" s="1102"/>
      <c r="F47" s="914">
        <f t="shared" si="0"/>
        <v>2.7777777777777776E-2</v>
      </c>
      <c r="G47" s="920">
        <v>50</v>
      </c>
      <c r="H47" s="916">
        <f t="shared" si="1"/>
        <v>1.3888888888888888</v>
      </c>
      <c r="I47" s="34"/>
      <c r="J47" s="34"/>
      <c r="K47" s="34"/>
      <c r="L47" s="34"/>
      <c r="M47" s="34"/>
      <c r="N47" s="34"/>
      <c r="O47" s="34"/>
      <c r="P47" s="34"/>
      <c r="Q47" s="34"/>
      <c r="R47" s="34"/>
      <c r="S47" s="34"/>
      <c r="T47" s="34"/>
      <c r="U47" s="34"/>
      <c r="V47" s="34"/>
      <c r="W47" s="34"/>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173"/>
      <c r="BB47" s="173"/>
      <c r="BC47" s="173"/>
    </row>
    <row r="48" spans="1:55" ht="12.75">
      <c r="A48" s="278"/>
      <c r="B48" s="1199" t="s">
        <v>2090</v>
      </c>
      <c r="C48" s="1102"/>
      <c r="D48" s="1102"/>
      <c r="E48" s="1102"/>
      <c r="F48" s="914">
        <f t="shared" si="0"/>
        <v>2.7777777777777776E-2</v>
      </c>
      <c r="G48" s="920">
        <v>50</v>
      </c>
      <c r="H48" s="916">
        <f t="shared" si="1"/>
        <v>1.3888888888888888</v>
      </c>
      <c r="I48" s="278"/>
      <c r="J48" s="278"/>
      <c r="K48" s="34"/>
      <c r="L48" s="34"/>
      <c r="M48" s="34"/>
      <c r="N48" s="34"/>
      <c r="O48" s="34"/>
      <c r="P48" s="34"/>
      <c r="Q48" s="34"/>
      <c r="R48" s="34"/>
      <c r="S48" s="34"/>
      <c r="T48" s="34"/>
      <c r="U48" s="34"/>
      <c r="V48" s="34"/>
      <c r="W48" s="34"/>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row>
    <row r="49" spans="1:55" ht="12.75">
      <c r="A49" s="278"/>
      <c r="B49" s="1199" t="s">
        <v>2091</v>
      </c>
      <c r="C49" s="1102"/>
      <c r="D49" s="1102"/>
      <c r="E49" s="1102"/>
      <c r="F49" s="914">
        <f t="shared" si="0"/>
        <v>2.7777777777777776E-2</v>
      </c>
      <c r="G49" s="920">
        <v>50</v>
      </c>
      <c r="H49" s="916">
        <f t="shared" si="1"/>
        <v>1.3888888888888888</v>
      </c>
      <c r="I49" s="278"/>
      <c r="J49" s="278"/>
      <c r="K49" s="34"/>
      <c r="L49" s="34"/>
      <c r="M49" s="34"/>
      <c r="N49" s="34"/>
      <c r="O49" s="34"/>
      <c r="P49" s="34"/>
      <c r="Q49" s="34"/>
      <c r="R49" s="34"/>
      <c r="S49" s="34"/>
      <c r="T49" s="34"/>
      <c r="U49" s="34"/>
      <c r="V49" s="34"/>
      <c r="W49" s="34"/>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row>
    <row r="50" spans="1:55" ht="12.75">
      <c r="A50" s="278"/>
      <c r="B50" s="1199" t="s">
        <v>2092</v>
      </c>
      <c r="C50" s="1102"/>
      <c r="D50" s="1102"/>
      <c r="E50" s="1102"/>
      <c r="F50" s="914">
        <f t="shared" si="0"/>
        <v>2.7777777777777776E-2</v>
      </c>
      <c r="G50" s="920">
        <v>50</v>
      </c>
      <c r="H50" s="916">
        <f t="shared" si="1"/>
        <v>1.3888888888888888</v>
      </c>
      <c r="I50" s="278"/>
      <c r="J50" s="278"/>
      <c r="K50" s="34"/>
      <c r="L50" s="34"/>
      <c r="M50" s="34"/>
      <c r="N50" s="34"/>
      <c r="O50" s="34"/>
      <c r="P50" s="34"/>
      <c r="Q50" s="34"/>
      <c r="R50" s="34"/>
      <c r="S50" s="34"/>
      <c r="T50" s="34"/>
      <c r="U50" s="34"/>
      <c r="V50" s="34"/>
      <c r="W50" s="34"/>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row>
    <row r="51" spans="1:55" ht="12.75">
      <c r="A51" s="278"/>
      <c r="B51" s="1199" t="s">
        <v>2093</v>
      </c>
      <c r="C51" s="1102"/>
      <c r="D51" s="1102"/>
      <c r="E51" s="1102"/>
      <c r="F51" s="914">
        <f t="shared" si="0"/>
        <v>2.7777777777777776E-2</v>
      </c>
      <c r="G51" s="919">
        <v>60</v>
      </c>
      <c r="H51" s="916">
        <f t="shared" si="1"/>
        <v>1.6666666666666665</v>
      </c>
      <c r="I51" s="278"/>
      <c r="J51" s="278"/>
      <c r="K51" s="34"/>
      <c r="L51" s="34"/>
      <c r="M51" s="34"/>
      <c r="N51" s="34"/>
      <c r="O51" s="34"/>
      <c r="P51" s="34"/>
      <c r="Q51" s="34"/>
      <c r="R51" s="34"/>
      <c r="S51" s="34"/>
      <c r="T51" s="34"/>
      <c r="U51" s="34"/>
      <c r="V51" s="34"/>
      <c r="W51" s="34"/>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row>
    <row r="52" spans="1:55" ht="12.75">
      <c r="A52" s="278"/>
      <c r="B52" s="1199" t="s">
        <v>2094</v>
      </c>
      <c r="C52" s="1102"/>
      <c r="D52" s="1102"/>
      <c r="E52" s="1102"/>
      <c r="F52" s="914">
        <f t="shared" si="0"/>
        <v>2.7777777777777776E-2</v>
      </c>
      <c r="G52" s="919">
        <v>60</v>
      </c>
      <c r="H52" s="916">
        <f t="shared" si="1"/>
        <v>1.6666666666666665</v>
      </c>
      <c r="I52" s="278"/>
      <c r="J52" s="278"/>
      <c r="K52" s="34"/>
      <c r="L52" s="34"/>
      <c r="M52" s="34"/>
      <c r="N52" s="34"/>
      <c r="O52" s="34"/>
      <c r="P52" s="34"/>
      <c r="Q52" s="34"/>
      <c r="R52" s="34"/>
      <c r="S52" s="34"/>
      <c r="T52" s="34"/>
      <c r="U52" s="34"/>
      <c r="V52" s="34"/>
      <c r="W52" s="34"/>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row>
    <row r="53" spans="1:55" ht="12.75">
      <c r="A53" s="278"/>
      <c r="B53" s="1199" t="s">
        <v>2095</v>
      </c>
      <c r="C53" s="1102"/>
      <c r="D53" s="1102"/>
      <c r="E53" s="1102"/>
      <c r="F53" s="914">
        <f t="shared" si="0"/>
        <v>2.7777777777777776E-2</v>
      </c>
      <c r="G53" s="919">
        <v>60</v>
      </c>
      <c r="H53" s="916">
        <f t="shared" si="1"/>
        <v>1.6666666666666665</v>
      </c>
      <c r="I53" s="278"/>
      <c r="J53" s="278"/>
      <c r="K53" s="34"/>
      <c r="L53" s="34"/>
      <c r="M53" s="34"/>
      <c r="N53" s="34"/>
      <c r="O53" s="34"/>
      <c r="P53" s="34"/>
      <c r="Q53" s="34"/>
      <c r="R53" s="34"/>
      <c r="S53" s="34"/>
      <c r="T53" s="34"/>
      <c r="U53" s="34"/>
      <c r="V53" s="34"/>
      <c r="W53" s="34"/>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row>
    <row r="54" spans="1:55" ht="12.75">
      <c r="A54" s="278"/>
      <c r="B54" s="1199" t="s">
        <v>2096</v>
      </c>
      <c r="C54" s="1102"/>
      <c r="D54" s="1102"/>
      <c r="E54" s="1102"/>
      <c r="F54" s="914">
        <f t="shared" si="0"/>
        <v>2.7777777777777776E-2</v>
      </c>
      <c r="G54" s="918">
        <v>60</v>
      </c>
      <c r="H54" s="916">
        <f t="shared" si="1"/>
        <v>1.6666666666666665</v>
      </c>
      <c r="I54" s="278"/>
      <c r="J54" s="278"/>
      <c r="K54" s="34"/>
      <c r="L54" s="34"/>
      <c r="M54" s="34"/>
      <c r="N54" s="34"/>
      <c r="O54" s="34"/>
      <c r="P54" s="34"/>
      <c r="Q54" s="34"/>
      <c r="R54" s="34"/>
      <c r="S54" s="34"/>
      <c r="T54" s="34"/>
      <c r="U54" s="34"/>
      <c r="V54" s="34"/>
      <c r="W54" s="34"/>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row>
    <row r="55" spans="1:55" ht="12.75">
      <c r="A55" s="278"/>
      <c r="B55" s="1199" t="s">
        <v>2097</v>
      </c>
      <c r="C55" s="1102"/>
      <c r="D55" s="1102"/>
      <c r="E55" s="1102"/>
      <c r="F55" s="914">
        <f t="shared" si="0"/>
        <v>2.7777777777777776E-2</v>
      </c>
      <c r="G55" s="918">
        <v>60</v>
      </c>
      <c r="H55" s="916">
        <f t="shared" si="1"/>
        <v>1.6666666666666665</v>
      </c>
      <c r="I55" s="278"/>
      <c r="J55" s="278"/>
      <c r="K55" s="34"/>
      <c r="L55" s="34"/>
      <c r="M55" s="34"/>
      <c r="N55" s="34"/>
      <c r="O55" s="34"/>
      <c r="P55" s="34"/>
      <c r="Q55" s="34"/>
      <c r="R55" s="34"/>
      <c r="S55" s="34"/>
      <c r="T55" s="34"/>
      <c r="U55" s="34"/>
      <c r="V55" s="34"/>
      <c r="W55" s="34"/>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row>
    <row r="56" spans="1:55" ht="12.75">
      <c r="A56" s="278"/>
      <c r="B56" s="1199" t="s">
        <v>2098</v>
      </c>
      <c r="C56" s="1102"/>
      <c r="D56" s="1102"/>
      <c r="E56" s="1102"/>
      <c r="F56" s="914">
        <f t="shared" si="0"/>
        <v>2.7777777777777776E-2</v>
      </c>
      <c r="G56" s="918">
        <v>60</v>
      </c>
      <c r="H56" s="916">
        <f t="shared" si="1"/>
        <v>1.6666666666666665</v>
      </c>
      <c r="I56" s="278"/>
      <c r="J56" s="278"/>
      <c r="K56" s="34"/>
      <c r="L56" s="34"/>
      <c r="M56" s="34"/>
      <c r="N56" s="34"/>
      <c r="O56" s="34"/>
      <c r="P56" s="34"/>
      <c r="Q56" s="34"/>
      <c r="R56" s="34"/>
      <c r="S56" s="34"/>
      <c r="T56" s="34"/>
      <c r="U56" s="34"/>
      <c r="V56" s="34"/>
      <c r="W56" s="34"/>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row>
    <row r="57" spans="1:55" ht="12.75">
      <c r="A57" s="278"/>
      <c r="B57" s="1199" t="s">
        <v>2099</v>
      </c>
      <c r="C57" s="1102"/>
      <c r="D57" s="1102"/>
      <c r="E57" s="1102"/>
      <c r="F57" s="914">
        <f t="shared" si="0"/>
        <v>2.7777777777777776E-2</v>
      </c>
      <c r="G57" s="918">
        <v>60</v>
      </c>
      <c r="H57" s="916">
        <f t="shared" si="1"/>
        <v>1.6666666666666665</v>
      </c>
      <c r="I57" s="278"/>
      <c r="J57" s="278"/>
      <c r="K57" s="34"/>
      <c r="L57" s="34"/>
      <c r="M57" s="34"/>
      <c r="N57" s="34"/>
      <c r="O57" s="34"/>
      <c r="P57" s="34"/>
      <c r="Q57" s="34"/>
      <c r="R57" s="34"/>
      <c r="S57" s="34"/>
      <c r="T57" s="34"/>
      <c r="U57" s="34"/>
      <c r="V57" s="34"/>
      <c r="W57" s="34"/>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row>
    <row r="58" spans="1:55" ht="12.75">
      <c r="A58" s="278"/>
      <c r="B58" s="1199" t="s">
        <v>2100</v>
      </c>
      <c r="C58" s="1102"/>
      <c r="D58" s="1102"/>
      <c r="E58" s="1102"/>
      <c r="F58" s="914">
        <f t="shared" si="0"/>
        <v>2.7777777777777776E-2</v>
      </c>
      <c r="G58" s="918">
        <v>60</v>
      </c>
      <c r="H58" s="916">
        <f t="shared" si="1"/>
        <v>1.6666666666666665</v>
      </c>
      <c r="I58" s="278"/>
      <c r="J58" s="278"/>
      <c r="K58" s="34"/>
      <c r="L58" s="34"/>
      <c r="M58" s="34"/>
      <c r="N58" s="34"/>
      <c r="O58" s="34"/>
      <c r="P58" s="34"/>
      <c r="Q58" s="34"/>
      <c r="R58" s="34"/>
      <c r="S58" s="34"/>
      <c r="T58" s="34"/>
      <c r="U58" s="34"/>
      <c r="V58" s="34"/>
      <c r="W58" s="34"/>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row>
    <row r="59" spans="1:55" ht="12.75">
      <c r="A59" s="278"/>
      <c r="B59" s="1199" t="s">
        <v>2101</v>
      </c>
      <c r="C59" s="1102"/>
      <c r="D59" s="1102"/>
      <c r="E59" s="1102"/>
      <c r="F59" s="914">
        <f t="shared" si="0"/>
        <v>2.7777777777777776E-2</v>
      </c>
      <c r="G59" s="918">
        <v>60</v>
      </c>
      <c r="H59" s="916">
        <f t="shared" si="1"/>
        <v>1.6666666666666665</v>
      </c>
      <c r="I59" s="278"/>
      <c r="J59" s="278"/>
      <c r="K59" s="34"/>
      <c r="L59" s="34"/>
      <c r="M59" s="34"/>
      <c r="N59" s="34"/>
      <c r="O59" s="34"/>
      <c r="P59" s="34"/>
      <c r="Q59" s="34"/>
      <c r="R59" s="34"/>
      <c r="S59" s="34"/>
      <c r="T59" s="34"/>
      <c r="U59" s="34"/>
      <c r="V59" s="34"/>
      <c r="W59" s="34"/>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row>
    <row r="60" spans="1:55" ht="12.75">
      <c r="A60" s="278"/>
      <c r="B60" s="1199" t="s">
        <v>2102</v>
      </c>
      <c r="C60" s="1102"/>
      <c r="D60" s="1102"/>
      <c r="E60" s="1102"/>
      <c r="F60" s="914">
        <f t="shared" si="0"/>
        <v>2.7777777777777776E-2</v>
      </c>
      <c r="G60" s="918">
        <v>60</v>
      </c>
      <c r="H60" s="916">
        <f t="shared" si="1"/>
        <v>1.6666666666666665</v>
      </c>
      <c r="I60" s="278"/>
      <c r="J60" s="278"/>
      <c r="K60" s="34"/>
      <c r="L60" s="34"/>
      <c r="M60" s="34"/>
      <c r="N60" s="34"/>
      <c r="O60" s="34"/>
      <c r="P60" s="34"/>
      <c r="Q60" s="34"/>
      <c r="R60" s="34"/>
      <c r="S60" s="34"/>
      <c r="T60" s="34"/>
      <c r="U60" s="34"/>
      <c r="V60" s="34"/>
      <c r="W60" s="34"/>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row>
    <row r="61" spans="1:55" ht="12.75">
      <c r="A61" s="278"/>
      <c r="B61" s="1199" t="s">
        <v>2103</v>
      </c>
      <c r="C61" s="1102"/>
      <c r="D61" s="1102"/>
      <c r="E61" s="1102"/>
      <c r="F61" s="914">
        <f t="shared" si="0"/>
        <v>2.7777777777777776E-2</v>
      </c>
      <c r="G61" s="918">
        <v>100</v>
      </c>
      <c r="H61" s="916">
        <f t="shared" si="1"/>
        <v>2.7777777777777777</v>
      </c>
      <c r="I61" s="278"/>
      <c r="J61" s="278"/>
      <c r="K61" s="34"/>
      <c r="L61" s="34"/>
      <c r="M61" s="34"/>
      <c r="N61" s="34"/>
      <c r="O61" s="34"/>
      <c r="P61" s="34"/>
      <c r="Q61" s="34"/>
      <c r="R61" s="34"/>
      <c r="S61" s="34"/>
      <c r="T61" s="34"/>
      <c r="U61" s="34"/>
      <c r="V61" s="34"/>
      <c r="W61" s="34"/>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row>
    <row r="62" spans="1:55" ht="12.75">
      <c r="A62" s="278"/>
      <c r="B62" s="1199" t="s">
        <v>2104</v>
      </c>
      <c r="C62" s="1102"/>
      <c r="D62" s="1102"/>
      <c r="E62" s="1102"/>
      <c r="F62" s="914">
        <f t="shared" si="0"/>
        <v>2.7777777777777776E-2</v>
      </c>
      <c r="G62" s="918">
        <v>100</v>
      </c>
      <c r="H62" s="916">
        <f t="shared" si="1"/>
        <v>2.7777777777777777</v>
      </c>
      <c r="I62" s="278"/>
      <c r="J62" s="278"/>
      <c r="K62" s="34"/>
      <c r="L62" s="34"/>
      <c r="M62" s="34"/>
      <c r="N62" s="34"/>
      <c r="O62" s="34"/>
      <c r="P62" s="34"/>
      <c r="Q62" s="34"/>
      <c r="R62" s="34"/>
      <c r="S62" s="34"/>
      <c r="T62" s="34"/>
      <c r="U62" s="34"/>
      <c r="V62" s="34"/>
      <c r="W62" s="34"/>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row>
    <row r="63" spans="1:55" ht="12.75">
      <c r="A63" s="278"/>
      <c r="G63" s="921" t="s">
        <v>2105</v>
      </c>
      <c r="H63" s="922">
        <f>SUM(H27:H62)</f>
        <v>51.388888888888872</v>
      </c>
      <c r="I63" s="278"/>
      <c r="J63" s="278"/>
      <c r="K63" s="34"/>
      <c r="L63" s="34"/>
      <c r="M63" s="34"/>
      <c r="N63" s="34"/>
      <c r="O63" s="34"/>
      <c r="P63" s="34"/>
      <c r="Q63" s="34"/>
      <c r="R63" s="34"/>
      <c r="S63" s="34"/>
      <c r="T63" s="34"/>
      <c r="U63" s="34"/>
      <c r="V63" s="34"/>
      <c r="W63" s="34"/>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row>
    <row r="64" spans="1:55" ht="12.75">
      <c r="A64" s="278"/>
      <c r="B64" s="278"/>
      <c r="C64" s="278"/>
      <c r="D64" s="278"/>
      <c r="E64" s="278"/>
      <c r="F64" s="278"/>
      <c r="G64" s="34"/>
      <c r="H64" s="278"/>
      <c r="I64" s="278"/>
      <c r="J64" s="278"/>
      <c r="K64" s="34"/>
      <c r="L64" s="34"/>
      <c r="M64" s="34"/>
      <c r="N64" s="34"/>
      <c r="O64" s="34"/>
      <c r="P64" s="34"/>
      <c r="Q64" s="34"/>
      <c r="R64" s="34"/>
      <c r="S64" s="34"/>
      <c r="T64" s="34"/>
      <c r="U64" s="34"/>
      <c r="V64" s="34"/>
      <c r="W64" s="34"/>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row>
    <row r="65" spans="1:55" ht="12.75">
      <c r="A65" s="896"/>
      <c r="B65" s="1205" t="s">
        <v>2106</v>
      </c>
      <c r="C65" s="1007"/>
      <c r="D65" s="1007"/>
      <c r="E65" s="1007"/>
      <c r="F65" s="1007"/>
      <c r="G65" s="1007"/>
      <c r="H65" s="1007"/>
      <c r="I65" s="1007"/>
      <c r="J65" s="1007"/>
      <c r="K65" s="1007"/>
      <c r="L65" s="897"/>
      <c r="M65" s="897"/>
      <c r="N65" s="897"/>
      <c r="O65" s="897"/>
      <c r="P65" s="897"/>
      <c r="Q65" s="897"/>
      <c r="R65" s="897"/>
      <c r="S65" s="897"/>
      <c r="T65" s="897"/>
      <c r="U65" s="897"/>
      <c r="V65" s="897"/>
      <c r="W65" s="897"/>
      <c r="X65" s="897"/>
      <c r="Y65" s="897"/>
      <c r="Z65" s="897"/>
      <c r="AA65" s="897"/>
      <c r="AB65" s="897"/>
      <c r="AC65" s="897"/>
      <c r="AD65" s="897"/>
      <c r="AE65" s="897"/>
      <c r="AF65" s="897"/>
      <c r="AG65" s="897"/>
      <c r="AH65" s="897"/>
      <c r="AI65" s="897"/>
      <c r="AJ65" s="897"/>
      <c r="AK65" s="897"/>
      <c r="AL65" s="897"/>
      <c r="AM65" s="897"/>
      <c r="AN65" s="897"/>
      <c r="AO65" s="897"/>
      <c r="AP65" s="897"/>
      <c r="AQ65" s="897"/>
      <c r="AR65" s="897"/>
      <c r="AS65" s="897"/>
      <c r="AT65" s="897"/>
      <c r="AU65" s="897"/>
      <c r="AV65" s="897"/>
      <c r="AW65" s="897"/>
      <c r="AX65" s="897"/>
      <c r="AY65" s="897"/>
      <c r="AZ65" s="897"/>
      <c r="BA65" s="897"/>
      <c r="BB65" s="897"/>
      <c r="BC65" s="173"/>
    </row>
    <row r="66" spans="1:55" ht="12.75">
      <c r="A66" s="278"/>
      <c r="B66" s="816"/>
      <c r="C66" s="816"/>
      <c r="D66" s="816"/>
      <c r="E66" s="816"/>
      <c r="F66" s="816"/>
      <c r="G66" s="837"/>
      <c r="H66" s="837"/>
      <c r="I66" s="837"/>
      <c r="J66" s="34"/>
      <c r="K66" s="34"/>
      <c r="L66" s="34"/>
      <c r="M66" s="34"/>
      <c r="N66" s="34"/>
      <c r="O66" s="34"/>
      <c r="P66" s="34"/>
      <c r="Q66" s="34"/>
      <c r="R66" s="34"/>
      <c r="S66" s="34"/>
      <c r="T66" s="34"/>
      <c r="U66" s="34"/>
      <c r="V66" s="34"/>
      <c r="W66" s="34"/>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row>
    <row r="67" spans="1:55" ht="27">
      <c r="A67" s="905"/>
      <c r="B67" s="1203" t="s">
        <v>2107</v>
      </c>
      <c r="C67" s="1034"/>
      <c r="D67" s="1034"/>
      <c r="E67" s="1034"/>
      <c r="F67" s="1034"/>
      <c r="G67" s="1034"/>
      <c r="H67" s="1034"/>
      <c r="I67" s="1034"/>
      <c r="J67" s="34"/>
      <c r="K67" s="34"/>
      <c r="L67" s="34"/>
      <c r="M67" s="34"/>
      <c r="N67" s="34"/>
      <c r="O67" s="34"/>
      <c r="P67" s="34"/>
      <c r="Q67" s="34"/>
      <c r="R67" s="34"/>
      <c r="S67" s="34"/>
      <c r="T67" s="34"/>
      <c r="U67" s="34"/>
      <c r="V67" s="34"/>
      <c r="W67" s="34"/>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row>
    <row r="68" spans="1:55" ht="38.25">
      <c r="A68" s="905"/>
      <c r="B68" s="923" t="s">
        <v>2108</v>
      </c>
      <c r="C68" s="923" t="s">
        <v>2109</v>
      </c>
      <c r="D68" s="924" t="s">
        <v>2110</v>
      </c>
      <c r="E68" s="923" t="s">
        <v>14</v>
      </c>
      <c r="F68" s="923" t="s">
        <v>1898</v>
      </c>
      <c r="G68" s="925" t="s">
        <v>2111</v>
      </c>
      <c r="H68" s="925" t="s">
        <v>2112</v>
      </c>
      <c r="I68" s="925" t="s">
        <v>2113</v>
      </c>
      <c r="J68" s="34"/>
      <c r="K68" s="34"/>
      <c r="L68" s="34"/>
      <c r="M68" s="34"/>
      <c r="N68" s="34"/>
      <c r="O68" s="34"/>
      <c r="P68" s="34"/>
      <c r="Q68" s="34"/>
      <c r="R68" s="34"/>
      <c r="S68" s="34"/>
      <c r="T68" s="34"/>
      <c r="U68" s="34"/>
      <c r="V68" s="34"/>
      <c r="W68" s="34"/>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row>
    <row r="69" spans="1:55" ht="12.75">
      <c r="A69" s="781"/>
      <c r="B69" s="926">
        <v>0</v>
      </c>
      <c r="C69" s="927">
        <f t="shared" ref="C69:C93" si="2">-150+E69+(F69*0.918)+(G69*100)+((H69*115.47)*0.918)+((I69*17.4)*0.918)</f>
        <v>-24.304680000000001</v>
      </c>
      <c r="D69" s="928">
        <f t="shared" ref="D69:D93" si="3">C69-((B69*0.3333)*10)</f>
        <v>-24.304680000000001</v>
      </c>
      <c r="E69" s="926">
        <v>14</v>
      </c>
      <c r="F69" s="926">
        <v>11</v>
      </c>
      <c r="G69" s="926">
        <v>1</v>
      </c>
      <c r="H69" s="926">
        <v>0</v>
      </c>
      <c r="I69" s="926">
        <v>0.1</v>
      </c>
      <c r="J69" s="278"/>
      <c r="K69" s="278"/>
      <c r="L69" s="278"/>
      <c r="M69" s="34"/>
      <c r="N69" s="34"/>
      <c r="O69" s="34"/>
      <c r="P69" s="34"/>
      <c r="Q69" s="34"/>
      <c r="R69" s="34"/>
      <c r="S69" s="34"/>
      <c r="T69" s="34"/>
      <c r="U69" s="34"/>
      <c r="V69" s="34"/>
      <c r="W69" s="34"/>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row>
    <row r="70" spans="1:55" ht="12.75">
      <c r="A70" s="905"/>
      <c r="B70" s="929">
        <v>0.5</v>
      </c>
      <c r="C70" s="928">
        <f t="shared" si="2"/>
        <v>-21.886679999999995</v>
      </c>
      <c r="D70" s="928">
        <f t="shared" si="3"/>
        <v>-23.553179999999994</v>
      </c>
      <c r="E70" s="929">
        <f t="shared" ref="E70:I70" si="4">(E69+E71)/2</f>
        <v>15.5</v>
      </c>
      <c r="F70" s="929">
        <f t="shared" si="4"/>
        <v>12</v>
      </c>
      <c r="G70" s="929">
        <f t="shared" si="4"/>
        <v>1</v>
      </c>
      <c r="H70" s="929">
        <f t="shared" si="4"/>
        <v>0</v>
      </c>
      <c r="I70" s="929">
        <f t="shared" si="4"/>
        <v>0.1</v>
      </c>
      <c r="J70" s="278"/>
      <c r="K70" s="278"/>
      <c r="L70" s="278"/>
      <c r="M70" s="34"/>
      <c r="N70" s="34"/>
      <c r="O70" s="34"/>
      <c r="P70" s="34"/>
      <c r="Q70" s="34"/>
      <c r="R70" s="34"/>
      <c r="S70" s="34"/>
      <c r="T70" s="34"/>
      <c r="U70" s="34"/>
      <c r="V70" s="34"/>
      <c r="W70" s="34"/>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row>
    <row r="71" spans="1:55" ht="12.75">
      <c r="A71" s="905"/>
      <c r="B71" s="930">
        <v>1</v>
      </c>
      <c r="C71" s="931">
        <f t="shared" si="2"/>
        <v>-19.468680000000003</v>
      </c>
      <c r="D71" s="931">
        <f t="shared" si="3"/>
        <v>-22.801680000000001</v>
      </c>
      <c r="E71" s="930">
        <v>17</v>
      </c>
      <c r="F71" s="930">
        <v>13</v>
      </c>
      <c r="G71" s="930">
        <v>1</v>
      </c>
      <c r="H71" s="930">
        <v>0</v>
      </c>
      <c r="I71" s="930">
        <v>0.1</v>
      </c>
      <c r="J71" s="278"/>
      <c r="K71" s="54"/>
      <c r="L71" s="54"/>
      <c r="M71" s="34"/>
      <c r="N71" s="34"/>
      <c r="O71" s="34"/>
      <c r="P71" s="34"/>
      <c r="Q71" s="34"/>
      <c r="R71" s="34"/>
      <c r="S71" s="34"/>
      <c r="T71" s="34"/>
      <c r="U71" s="34"/>
      <c r="V71" s="34"/>
      <c r="W71" s="34"/>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row>
    <row r="72" spans="1:55" ht="12.75">
      <c r="A72" s="781"/>
      <c r="B72" s="930">
        <v>1.5</v>
      </c>
      <c r="C72" s="931">
        <f t="shared" si="2"/>
        <v>-15.550679999999996</v>
      </c>
      <c r="D72" s="931">
        <f t="shared" si="3"/>
        <v>-20.550179999999997</v>
      </c>
      <c r="E72" s="930">
        <f t="shared" ref="E72:I72" si="5">(E71+E73)/2</f>
        <v>20</v>
      </c>
      <c r="F72" s="930">
        <f t="shared" si="5"/>
        <v>14</v>
      </c>
      <c r="G72" s="930">
        <f t="shared" si="5"/>
        <v>1</v>
      </c>
      <c r="H72" s="930">
        <f t="shared" si="5"/>
        <v>0</v>
      </c>
      <c r="I72" s="930">
        <f t="shared" si="5"/>
        <v>0.1</v>
      </c>
      <c r="J72" s="278"/>
      <c r="K72" s="54"/>
      <c r="L72" s="54"/>
      <c r="M72" s="34"/>
      <c r="N72" s="34"/>
      <c r="O72" s="34"/>
      <c r="P72" s="34"/>
      <c r="Q72" s="34"/>
      <c r="R72" s="34"/>
      <c r="S72" s="34"/>
      <c r="T72" s="34"/>
      <c r="U72" s="34"/>
      <c r="V72" s="34"/>
      <c r="W72" s="34"/>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row>
    <row r="73" spans="1:55" ht="12.75">
      <c r="A73" s="781"/>
      <c r="B73" s="930">
        <v>2</v>
      </c>
      <c r="C73" s="931">
        <f t="shared" si="2"/>
        <v>-11.632680000000004</v>
      </c>
      <c r="D73" s="931">
        <f t="shared" si="3"/>
        <v>-18.298680000000004</v>
      </c>
      <c r="E73" s="930">
        <v>23</v>
      </c>
      <c r="F73" s="930">
        <v>15</v>
      </c>
      <c r="G73" s="930">
        <v>1</v>
      </c>
      <c r="H73" s="930">
        <v>0</v>
      </c>
      <c r="I73" s="930">
        <v>0.1</v>
      </c>
      <c r="J73" s="278"/>
      <c r="K73" s="54"/>
      <c r="L73" s="54"/>
      <c r="M73" s="34"/>
      <c r="N73" s="34"/>
      <c r="O73" s="34"/>
      <c r="P73" s="34"/>
      <c r="Q73" s="34"/>
      <c r="R73" s="34"/>
      <c r="S73" s="34"/>
      <c r="T73" s="34"/>
      <c r="U73" s="34"/>
      <c r="V73" s="34"/>
      <c r="W73" s="34"/>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row>
    <row r="74" spans="1:55" ht="12.75">
      <c r="A74" s="781"/>
      <c r="B74" s="930">
        <v>2.5</v>
      </c>
      <c r="C74" s="931">
        <f t="shared" si="2"/>
        <v>-5.9650200000000044</v>
      </c>
      <c r="D74" s="931">
        <f t="shared" si="3"/>
        <v>-14.297520000000004</v>
      </c>
      <c r="E74" s="930">
        <f t="shared" ref="E74:I74" si="6">(E73+E75)/2</f>
        <v>32</v>
      </c>
      <c r="F74" s="930">
        <f t="shared" si="6"/>
        <v>10.5</v>
      </c>
      <c r="G74" s="930">
        <f t="shared" si="6"/>
        <v>1</v>
      </c>
      <c r="H74" s="930">
        <f t="shared" si="6"/>
        <v>0</v>
      </c>
      <c r="I74" s="930">
        <f t="shared" si="6"/>
        <v>0.15000000000000002</v>
      </c>
      <c r="J74" s="278"/>
      <c r="K74" s="54"/>
      <c r="L74" s="54"/>
      <c r="M74" s="34"/>
      <c r="N74" s="34"/>
      <c r="O74" s="34"/>
      <c r="P74" s="34"/>
      <c r="Q74" s="34"/>
      <c r="R74" s="34"/>
      <c r="S74" s="34"/>
      <c r="T74" s="34"/>
      <c r="U74" s="34"/>
      <c r="V74" s="34"/>
      <c r="W74" s="34"/>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row>
    <row r="75" spans="1:55" ht="12.75">
      <c r="A75" s="781"/>
      <c r="B75" s="930">
        <v>3</v>
      </c>
      <c r="C75" s="931">
        <f t="shared" si="2"/>
        <v>-0.29736000000000429</v>
      </c>
      <c r="D75" s="931">
        <f t="shared" si="3"/>
        <v>-10.296360000000005</v>
      </c>
      <c r="E75" s="930">
        <v>41</v>
      </c>
      <c r="F75" s="930">
        <v>6</v>
      </c>
      <c r="G75" s="930">
        <v>1</v>
      </c>
      <c r="H75" s="930">
        <v>0</v>
      </c>
      <c r="I75" s="930">
        <v>0.2</v>
      </c>
      <c r="J75" s="34"/>
      <c r="K75" s="54"/>
      <c r="L75" s="54"/>
      <c r="M75" s="34"/>
      <c r="N75" s="34"/>
      <c r="O75" s="34"/>
      <c r="P75" s="34"/>
      <c r="Q75" s="34"/>
      <c r="R75" s="34"/>
      <c r="S75" s="34"/>
      <c r="T75" s="34"/>
      <c r="U75" s="34"/>
      <c r="V75" s="34"/>
      <c r="W75" s="34"/>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row>
    <row r="76" spans="1:55" ht="12.75">
      <c r="A76" s="781"/>
      <c r="B76" s="930">
        <v>3.5</v>
      </c>
      <c r="C76" s="932">
        <f t="shared" si="2"/>
        <v>12.202639999999995</v>
      </c>
      <c r="D76" s="932">
        <f t="shared" si="3"/>
        <v>0.53713999999999551</v>
      </c>
      <c r="E76" s="930">
        <f t="shared" ref="E76:I76" si="7">(E75+E77)/2</f>
        <v>53.5</v>
      </c>
      <c r="F76" s="930">
        <f t="shared" si="7"/>
        <v>6</v>
      </c>
      <c r="G76" s="930">
        <f t="shared" si="7"/>
        <v>1</v>
      </c>
      <c r="H76" s="930">
        <f t="shared" si="7"/>
        <v>0</v>
      </c>
      <c r="I76" s="930">
        <f t="shared" si="7"/>
        <v>0.2</v>
      </c>
      <c r="J76" s="34"/>
      <c r="K76" s="34"/>
      <c r="L76" s="34"/>
      <c r="M76" s="34"/>
      <c r="N76" s="34"/>
      <c r="O76" s="34"/>
      <c r="P76" s="34"/>
      <c r="Q76" s="34"/>
      <c r="R76" s="34"/>
      <c r="S76" s="34"/>
      <c r="T76" s="34"/>
      <c r="U76" s="34"/>
      <c r="V76" s="34"/>
      <c r="W76" s="34"/>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row>
    <row r="77" spans="1:55" ht="12.75">
      <c r="A77" s="905"/>
      <c r="B77" s="930">
        <v>4</v>
      </c>
      <c r="C77" s="932">
        <f t="shared" si="2"/>
        <v>24.702639999999995</v>
      </c>
      <c r="D77" s="932">
        <f t="shared" si="3"/>
        <v>11.370639999999996</v>
      </c>
      <c r="E77" s="930">
        <v>66</v>
      </c>
      <c r="F77" s="930">
        <v>6</v>
      </c>
      <c r="G77" s="930">
        <v>1</v>
      </c>
      <c r="H77" s="930">
        <v>0</v>
      </c>
      <c r="I77" s="930">
        <v>0.2</v>
      </c>
      <c r="J77" s="34"/>
      <c r="K77" s="34"/>
      <c r="L77" s="34"/>
      <c r="M77" s="34"/>
      <c r="N77" s="34"/>
      <c r="O77" s="34"/>
      <c r="P77" s="34"/>
      <c r="Q77" s="34"/>
      <c r="R77" s="34"/>
      <c r="S77" s="34"/>
      <c r="T77" s="34"/>
      <c r="U77" s="34"/>
      <c r="V77" s="34"/>
      <c r="W77" s="34"/>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row>
    <row r="78" spans="1:55" ht="12.75">
      <c r="A78" s="781"/>
      <c r="B78" s="930">
        <v>4.5</v>
      </c>
      <c r="C78" s="932">
        <f t="shared" si="2"/>
        <v>36.792639999999999</v>
      </c>
      <c r="D78" s="932">
        <f t="shared" si="3"/>
        <v>21.794139999999999</v>
      </c>
      <c r="E78" s="930">
        <f t="shared" ref="E78:I78" si="8">(E77+E79)/2</f>
        <v>73.5</v>
      </c>
      <c r="F78" s="930">
        <f t="shared" si="8"/>
        <v>11</v>
      </c>
      <c r="G78" s="930">
        <f t="shared" si="8"/>
        <v>1</v>
      </c>
      <c r="H78" s="930">
        <f t="shared" si="8"/>
        <v>0</v>
      </c>
      <c r="I78" s="930">
        <f t="shared" si="8"/>
        <v>0.2</v>
      </c>
      <c r="J78" s="34"/>
      <c r="K78" s="34"/>
      <c r="L78" s="34"/>
      <c r="M78" s="34"/>
      <c r="N78" s="34"/>
      <c r="O78" s="34"/>
      <c r="P78" s="34"/>
      <c r="Q78" s="34"/>
      <c r="R78" s="34"/>
      <c r="S78" s="34"/>
      <c r="T78" s="34"/>
      <c r="U78" s="34"/>
      <c r="V78" s="34"/>
      <c r="W78" s="34"/>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row>
    <row r="79" spans="1:55" ht="12.75">
      <c r="A79" s="933"/>
      <c r="B79" s="930">
        <v>5</v>
      </c>
      <c r="C79" s="932">
        <f t="shared" si="2"/>
        <v>48.882640000000002</v>
      </c>
      <c r="D79" s="932">
        <f t="shared" si="3"/>
        <v>32.217640000000003</v>
      </c>
      <c r="E79" s="930">
        <v>81</v>
      </c>
      <c r="F79" s="930">
        <v>16</v>
      </c>
      <c r="G79" s="930">
        <v>1</v>
      </c>
      <c r="H79" s="930">
        <v>0</v>
      </c>
      <c r="I79" s="930">
        <v>0.2</v>
      </c>
      <c r="J79" s="34"/>
      <c r="K79" s="34"/>
      <c r="L79" s="34"/>
      <c r="M79" s="34"/>
      <c r="N79" s="34"/>
      <c r="O79" s="34"/>
      <c r="P79" s="34"/>
      <c r="Q79" s="34"/>
      <c r="R79" s="34"/>
      <c r="S79" s="34"/>
      <c r="T79" s="34"/>
      <c r="U79" s="34"/>
      <c r="V79" s="34"/>
      <c r="W79" s="34"/>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row>
    <row r="80" spans="1:55" ht="12.75">
      <c r="A80" s="933"/>
      <c r="B80" s="930">
        <v>5.5</v>
      </c>
      <c r="C80" s="932">
        <f t="shared" si="2"/>
        <v>61.382640000000002</v>
      </c>
      <c r="D80" s="932">
        <f t="shared" si="3"/>
        <v>43.051140000000004</v>
      </c>
      <c r="E80" s="930">
        <f t="shared" ref="E80:I80" si="9">(E79+E81)/2</f>
        <v>93.5</v>
      </c>
      <c r="F80" s="930">
        <f t="shared" si="9"/>
        <v>16</v>
      </c>
      <c r="G80" s="930">
        <f t="shared" si="9"/>
        <v>1</v>
      </c>
      <c r="H80" s="930">
        <f t="shared" si="9"/>
        <v>0</v>
      </c>
      <c r="I80" s="930">
        <f t="shared" si="9"/>
        <v>0.2</v>
      </c>
      <c r="J80" s="34"/>
      <c r="K80" s="34"/>
      <c r="L80" s="34"/>
      <c r="M80" s="34"/>
      <c r="N80" s="34"/>
      <c r="O80" s="34"/>
      <c r="P80" s="34"/>
      <c r="Q80" s="34"/>
      <c r="R80" s="34"/>
      <c r="S80" s="34"/>
      <c r="T80" s="34"/>
      <c r="U80" s="34"/>
      <c r="V80" s="34"/>
      <c r="W80" s="34"/>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row>
    <row r="81" spans="1:55" ht="12.75">
      <c r="A81" s="933"/>
      <c r="B81" s="930">
        <v>6</v>
      </c>
      <c r="C81" s="932">
        <f t="shared" si="2"/>
        <v>73.882640000000009</v>
      </c>
      <c r="D81" s="932">
        <f t="shared" si="3"/>
        <v>53.884640000000005</v>
      </c>
      <c r="E81" s="930">
        <v>106</v>
      </c>
      <c r="F81" s="930">
        <v>16</v>
      </c>
      <c r="G81" s="930">
        <v>1</v>
      </c>
      <c r="H81" s="930">
        <v>0</v>
      </c>
      <c r="I81" s="930">
        <v>0.2</v>
      </c>
      <c r="J81" s="34"/>
      <c r="K81" s="34"/>
      <c r="L81" s="34"/>
      <c r="M81" s="34"/>
      <c r="N81" s="34"/>
      <c r="O81" s="34"/>
      <c r="P81" s="34"/>
      <c r="Q81" s="34"/>
      <c r="R81" s="34"/>
      <c r="S81" s="34"/>
      <c r="T81" s="34"/>
      <c r="U81" s="34"/>
      <c r="V81" s="34"/>
      <c r="W81" s="34"/>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row>
    <row r="82" spans="1:55" ht="12.75">
      <c r="A82" s="933"/>
      <c r="B82" s="930">
        <v>6.5</v>
      </c>
      <c r="C82" s="932">
        <f t="shared" si="2"/>
        <v>99.292640000000006</v>
      </c>
      <c r="D82" s="932">
        <f t="shared" si="3"/>
        <v>77.628140000000002</v>
      </c>
      <c r="E82" s="930">
        <f t="shared" ref="E82:I82" si="10">(E81+E83)/2</f>
        <v>136</v>
      </c>
      <c r="F82" s="930">
        <f t="shared" si="10"/>
        <v>11</v>
      </c>
      <c r="G82" s="930">
        <f t="shared" si="10"/>
        <v>1</v>
      </c>
      <c r="H82" s="930">
        <f t="shared" si="10"/>
        <v>0</v>
      </c>
      <c r="I82" s="930">
        <f t="shared" si="10"/>
        <v>0.2</v>
      </c>
      <c r="J82" s="34"/>
      <c r="K82" s="34"/>
      <c r="L82" s="34"/>
      <c r="M82" s="34"/>
      <c r="N82" s="34"/>
      <c r="O82" s="34"/>
      <c r="P82" s="34"/>
      <c r="Q82" s="34"/>
      <c r="R82" s="34"/>
      <c r="S82" s="34"/>
      <c r="T82" s="34"/>
      <c r="U82" s="34"/>
      <c r="V82" s="34"/>
      <c r="W82" s="34"/>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row>
    <row r="83" spans="1:55" ht="12.75">
      <c r="A83" s="781"/>
      <c r="B83" s="930">
        <v>7</v>
      </c>
      <c r="C83" s="932">
        <f t="shared" si="2"/>
        <v>124.70264</v>
      </c>
      <c r="D83" s="932">
        <f t="shared" si="3"/>
        <v>101.37164</v>
      </c>
      <c r="E83" s="930">
        <v>166</v>
      </c>
      <c r="F83" s="930">
        <v>6</v>
      </c>
      <c r="G83" s="930">
        <v>1</v>
      </c>
      <c r="H83" s="930">
        <v>0</v>
      </c>
      <c r="I83" s="930">
        <v>0.2</v>
      </c>
      <c r="J83" s="34"/>
      <c r="K83" s="34"/>
      <c r="L83" s="34"/>
      <c r="M83" s="34"/>
      <c r="N83" s="34"/>
      <c r="O83" s="34"/>
      <c r="P83" s="34"/>
      <c r="Q83" s="34"/>
      <c r="R83" s="34"/>
      <c r="S83" s="34"/>
      <c r="T83" s="34"/>
      <c r="U83" s="34"/>
      <c r="V83" s="34"/>
      <c r="W83" s="34"/>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row>
    <row r="84" spans="1:55" ht="12.75">
      <c r="A84" s="781"/>
      <c r="B84" s="930">
        <v>7.5</v>
      </c>
      <c r="C84" s="934">
        <f t="shared" si="2"/>
        <v>161.00166500000003</v>
      </c>
      <c r="D84" s="932">
        <f t="shared" si="3"/>
        <v>136.00416500000003</v>
      </c>
      <c r="E84" s="930">
        <f t="shared" ref="E84:I84" si="11">(E83+E85)/2</f>
        <v>175</v>
      </c>
      <c r="F84" s="930">
        <f t="shared" si="11"/>
        <v>6</v>
      </c>
      <c r="G84" s="930">
        <f t="shared" si="11"/>
        <v>1</v>
      </c>
      <c r="H84" s="930">
        <f t="shared" si="11"/>
        <v>0.25</v>
      </c>
      <c r="I84" s="930">
        <f t="shared" si="11"/>
        <v>0.25</v>
      </c>
      <c r="J84" s="34"/>
      <c r="K84" s="34"/>
      <c r="L84" s="34"/>
      <c r="M84" s="34"/>
      <c r="N84" s="34"/>
      <c r="O84" s="34"/>
      <c r="P84" s="34"/>
      <c r="Q84" s="34"/>
      <c r="R84" s="34"/>
      <c r="S84" s="34"/>
      <c r="T84" s="34"/>
      <c r="U84" s="34"/>
      <c r="V84" s="34"/>
      <c r="W84" s="34"/>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row>
    <row r="85" spans="1:55" ht="12.75">
      <c r="A85" s="905"/>
      <c r="B85" s="930">
        <v>8</v>
      </c>
      <c r="C85" s="934">
        <f t="shared" si="2"/>
        <v>197.30069</v>
      </c>
      <c r="D85" s="934">
        <f t="shared" si="3"/>
        <v>170.63669000000002</v>
      </c>
      <c r="E85" s="930">
        <v>184</v>
      </c>
      <c r="F85" s="930">
        <v>6</v>
      </c>
      <c r="G85" s="930">
        <v>1</v>
      </c>
      <c r="H85" s="930">
        <v>0.5</v>
      </c>
      <c r="I85" s="930">
        <v>0.3</v>
      </c>
      <c r="J85" s="34"/>
      <c r="K85" s="34"/>
      <c r="L85" s="34"/>
      <c r="M85" s="34"/>
      <c r="N85" s="34"/>
      <c r="O85" s="34"/>
      <c r="P85" s="34"/>
      <c r="Q85" s="34"/>
      <c r="R85" s="34"/>
      <c r="S85" s="34"/>
      <c r="T85" s="34"/>
      <c r="U85" s="34"/>
      <c r="V85" s="34"/>
      <c r="W85" s="34"/>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row>
    <row r="86" spans="1:55" ht="12.75">
      <c r="A86" s="781"/>
      <c r="B86" s="930">
        <v>8.5</v>
      </c>
      <c r="C86" s="934">
        <f t="shared" si="2"/>
        <v>210.30069</v>
      </c>
      <c r="D86" s="934">
        <f t="shared" si="3"/>
        <v>181.97019</v>
      </c>
      <c r="E86" s="930">
        <f t="shared" ref="E86:I86" si="12">(E85+E87)/2</f>
        <v>197</v>
      </c>
      <c r="F86" s="930">
        <f t="shared" si="12"/>
        <v>6</v>
      </c>
      <c r="G86" s="930">
        <f t="shared" si="12"/>
        <v>1</v>
      </c>
      <c r="H86" s="930">
        <f t="shared" si="12"/>
        <v>0.5</v>
      </c>
      <c r="I86" s="930">
        <f t="shared" si="12"/>
        <v>0.3</v>
      </c>
      <c r="J86" s="34"/>
      <c r="K86" s="34"/>
      <c r="L86" s="34"/>
      <c r="M86" s="34"/>
      <c r="N86" s="34"/>
      <c r="O86" s="34"/>
      <c r="P86" s="34"/>
      <c r="Q86" s="34"/>
      <c r="R86" s="34"/>
      <c r="S86" s="34"/>
      <c r="T86" s="34"/>
      <c r="U86" s="34"/>
      <c r="V86" s="34"/>
      <c r="W86" s="34"/>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row>
    <row r="87" spans="1:55" ht="12.75">
      <c r="A87" s="905"/>
      <c r="B87" s="930">
        <v>9</v>
      </c>
      <c r="C87" s="934">
        <f t="shared" si="2"/>
        <v>223.30068999999997</v>
      </c>
      <c r="D87" s="934">
        <f t="shared" si="3"/>
        <v>193.30368999999996</v>
      </c>
      <c r="E87" s="930">
        <v>210</v>
      </c>
      <c r="F87" s="930">
        <v>6</v>
      </c>
      <c r="G87" s="930">
        <v>1</v>
      </c>
      <c r="H87" s="930">
        <v>0.5</v>
      </c>
      <c r="I87" s="930">
        <v>0.3</v>
      </c>
      <c r="J87" s="34"/>
      <c r="K87" s="34"/>
      <c r="L87" s="34"/>
      <c r="M87" s="34"/>
      <c r="N87" s="34"/>
      <c r="O87" s="34"/>
      <c r="P87" s="34"/>
      <c r="Q87" s="34"/>
      <c r="R87" s="34"/>
      <c r="S87" s="34"/>
      <c r="T87" s="34"/>
      <c r="U87" s="34"/>
      <c r="V87" s="34"/>
      <c r="W87" s="34"/>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row>
    <row r="88" spans="1:55" ht="12.75">
      <c r="A88" s="905"/>
      <c r="B88" s="930">
        <v>9.5</v>
      </c>
      <c r="C88" s="934">
        <f t="shared" si="2"/>
        <v>258.67837000000003</v>
      </c>
      <c r="D88" s="934">
        <f t="shared" si="3"/>
        <v>227.01487000000003</v>
      </c>
      <c r="E88" s="930">
        <f t="shared" ref="E88:I88" si="13">(E87+E89)/2</f>
        <v>235.5</v>
      </c>
      <c r="F88" s="930">
        <f t="shared" si="13"/>
        <v>18.5</v>
      </c>
      <c r="G88" s="930">
        <f t="shared" si="13"/>
        <v>1</v>
      </c>
      <c r="H88" s="930">
        <f t="shared" si="13"/>
        <v>0.5</v>
      </c>
      <c r="I88" s="930">
        <f t="shared" si="13"/>
        <v>0.2</v>
      </c>
      <c r="J88" s="34"/>
      <c r="K88" s="34"/>
      <c r="L88" s="34"/>
      <c r="M88" s="34"/>
      <c r="N88" s="34"/>
      <c r="O88" s="34"/>
      <c r="P88" s="34"/>
      <c r="Q88" s="34"/>
      <c r="R88" s="34"/>
      <c r="S88" s="34"/>
      <c r="T88" s="34"/>
      <c r="U88" s="34"/>
      <c r="V88" s="34"/>
      <c r="W88" s="34"/>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row>
    <row r="89" spans="1:55" ht="12.75">
      <c r="A89" s="905"/>
      <c r="B89" s="930">
        <v>10</v>
      </c>
      <c r="C89" s="934">
        <f t="shared" si="2"/>
        <v>294.05605000000003</v>
      </c>
      <c r="D89" s="934">
        <f t="shared" si="3"/>
        <v>260.72605000000004</v>
      </c>
      <c r="E89" s="930">
        <v>261</v>
      </c>
      <c r="F89" s="930">
        <v>31</v>
      </c>
      <c r="G89" s="930">
        <v>1</v>
      </c>
      <c r="H89" s="930">
        <v>0.5</v>
      </c>
      <c r="I89" s="930">
        <v>0.1</v>
      </c>
      <c r="J89" s="34"/>
      <c r="K89" s="34"/>
      <c r="L89" s="34"/>
      <c r="M89" s="34"/>
      <c r="N89" s="34"/>
      <c r="O89" s="34"/>
      <c r="P89" s="34"/>
      <c r="Q89" s="34"/>
      <c r="R89" s="34"/>
      <c r="S89" s="34"/>
      <c r="T89" s="34"/>
      <c r="U89" s="34"/>
      <c r="V89" s="34"/>
      <c r="W89" s="34"/>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row>
    <row r="90" spans="1:55" ht="12.75">
      <c r="A90" s="905"/>
      <c r="B90" s="930">
        <v>10.5</v>
      </c>
      <c r="C90" s="934">
        <f t="shared" si="2"/>
        <v>316.35470999999995</v>
      </c>
      <c r="D90" s="934">
        <f t="shared" si="3"/>
        <v>281.35820999999999</v>
      </c>
      <c r="E90" s="930">
        <f t="shared" ref="E90:I90" si="14">(E89+E91)/2</f>
        <v>282.5</v>
      </c>
      <c r="F90" s="930">
        <f t="shared" si="14"/>
        <v>31</v>
      </c>
      <c r="G90" s="930">
        <f t="shared" si="14"/>
        <v>1</v>
      </c>
      <c r="H90" s="930">
        <f t="shared" si="14"/>
        <v>0.5</v>
      </c>
      <c r="I90" s="930">
        <f t="shared" si="14"/>
        <v>0.15000000000000002</v>
      </c>
      <c r="J90" s="34"/>
      <c r="K90" s="34"/>
      <c r="L90" s="34"/>
      <c r="M90" s="34"/>
      <c r="N90" s="34"/>
      <c r="O90" s="34"/>
      <c r="P90" s="34"/>
      <c r="Q90" s="34"/>
      <c r="R90" s="34"/>
      <c r="S90" s="34"/>
      <c r="T90" s="34"/>
      <c r="U90" s="34"/>
      <c r="V90" s="34"/>
      <c r="W90" s="34"/>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row>
    <row r="91" spans="1:55" ht="12.75">
      <c r="A91" s="905"/>
      <c r="B91" s="930">
        <v>11</v>
      </c>
      <c r="C91" s="934">
        <f t="shared" si="2"/>
        <v>338.65336999999994</v>
      </c>
      <c r="D91" s="934">
        <f t="shared" si="3"/>
        <v>301.99036999999993</v>
      </c>
      <c r="E91" s="930">
        <v>304</v>
      </c>
      <c r="F91" s="930">
        <v>31</v>
      </c>
      <c r="G91" s="930">
        <v>1</v>
      </c>
      <c r="H91" s="930">
        <v>0.5</v>
      </c>
      <c r="I91" s="930">
        <v>0.2</v>
      </c>
      <c r="J91" s="34"/>
      <c r="K91" s="34"/>
      <c r="L91" s="34"/>
      <c r="M91" s="34"/>
      <c r="N91" s="34"/>
      <c r="O91" s="34"/>
      <c r="P91" s="34"/>
      <c r="Q91" s="34"/>
      <c r="R91" s="34"/>
      <c r="S91" s="34"/>
      <c r="T91" s="34"/>
      <c r="U91" s="34"/>
      <c r="V91" s="34"/>
      <c r="W91" s="34"/>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row>
    <row r="92" spans="1:55" ht="12.75">
      <c r="A92" s="905"/>
      <c r="B92" s="929">
        <v>11.5</v>
      </c>
      <c r="C92" s="935">
        <f t="shared" si="2"/>
        <v>357.02592900000002</v>
      </c>
      <c r="D92" s="935">
        <f t="shared" si="3"/>
        <v>318.69642900000002</v>
      </c>
      <c r="E92" s="929">
        <f t="shared" ref="E92:I92" si="15">(E91+E93)/2</f>
        <v>321.5</v>
      </c>
      <c r="F92" s="929">
        <f t="shared" si="15"/>
        <v>15.5</v>
      </c>
      <c r="G92" s="929">
        <f t="shared" si="15"/>
        <v>1</v>
      </c>
      <c r="H92" s="929">
        <f t="shared" si="15"/>
        <v>0.65</v>
      </c>
      <c r="I92" s="929">
        <f t="shared" si="15"/>
        <v>0.15000000000000002</v>
      </c>
      <c r="J92" s="34"/>
      <c r="K92" s="34"/>
      <c r="L92" s="34"/>
      <c r="M92" s="34"/>
      <c r="N92" s="34"/>
      <c r="O92" s="34"/>
      <c r="P92" s="34"/>
      <c r="Q92" s="34"/>
      <c r="R92" s="34"/>
      <c r="S92" s="34"/>
      <c r="T92" s="34"/>
      <c r="U92" s="34"/>
      <c r="V92" s="34"/>
      <c r="W92" s="34"/>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row>
    <row r="93" spans="1:55" ht="12.75">
      <c r="A93" s="905"/>
      <c r="B93" s="929">
        <v>12</v>
      </c>
      <c r="C93" s="935">
        <f t="shared" si="2"/>
        <v>375.39848800000004</v>
      </c>
      <c r="D93" s="935">
        <f t="shared" si="3"/>
        <v>335.40248800000006</v>
      </c>
      <c r="E93" s="926">
        <v>339</v>
      </c>
      <c r="F93" s="926">
        <v>0</v>
      </c>
      <c r="G93" s="926">
        <v>1</v>
      </c>
      <c r="H93" s="926">
        <v>0.8</v>
      </c>
      <c r="I93" s="926">
        <v>0.1</v>
      </c>
      <c r="J93" s="34"/>
      <c r="K93" s="34"/>
      <c r="L93" s="34"/>
      <c r="M93" s="34"/>
      <c r="N93" s="34"/>
      <c r="O93" s="34"/>
      <c r="P93" s="34"/>
      <c r="Q93" s="34"/>
      <c r="R93" s="34"/>
      <c r="S93" s="34"/>
      <c r="T93" s="34"/>
      <c r="U93" s="34"/>
      <c r="V93" s="34"/>
      <c r="W93" s="34"/>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row>
    <row r="94" spans="1:55" ht="12.75">
      <c r="A94" s="278"/>
      <c r="B94" s="278"/>
      <c r="C94" s="278"/>
      <c r="D94" s="278"/>
      <c r="E94" s="34"/>
      <c r="F94" s="34"/>
      <c r="G94" s="34"/>
      <c r="H94" s="34"/>
      <c r="I94" s="34"/>
      <c r="J94" s="34"/>
      <c r="K94" s="34"/>
      <c r="L94" s="34"/>
      <c r="M94" s="34"/>
      <c r="N94" s="34"/>
      <c r="O94" s="34"/>
      <c r="P94" s="34"/>
      <c r="Q94" s="34"/>
      <c r="R94" s="34"/>
      <c r="S94" s="34"/>
      <c r="T94" s="34"/>
      <c r="U94" s="34"/>
      <c r="V94" s="34"/>
      <c r="W94" s="34"/>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row>
    <row r="95" spans="1:55" ht="12.75">
      <c r="A95" s="896"/>
      <c r="B95" s="1205" t="s">
        <v>2114</v>
      </c>
      <c r="C95" s="1007"/>
      <c r="D95" s="1007"/>
      <c r="E95" s="1007"/>
      <c r="F95" s="1007"/>
      <c r="G95" s="1007"/>
      <c r="H95" s="1007"/>
      <c r="I95" s="1007"/>
      <c r="J95" s="1007"/>
      <c r="K95" s="1007"/>
      <c r="L95" s="897"/>
      <c r="M95" s="897"/>
      <c r="N95" s="897"/>
      <c r="O95" s="897"/>
      <c r="P95" s="897"/>
      <c r="Q95" s="897"/>
      <c r="R95" s="897"/>
      <c r="S95" s="34"/>
      <c r="T95" s="34"/>
      <c r="U95" s="34"/>
      <c r="V95" s="34"/>
      <c r="W95" s="34"/>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row>
    <row r="96" spans="1:55" ht="12.75">
      <c r="A96" s="278"/>
      <c r="B96" s="816"/>
      <c r="C96" s="816"/>
      <c r="D96" s="816"/>
      <c r="E96" s="816"/>
      <c r="F96" s="816"/>
      <c r="G96" s="816"/>
      <c r="H96" s="816"/>
      <c r="I96" s="816"/>
      <c r="J96" s="837"/>
      <c r="K96" s="837"/>
      <c r="L96" s="34"/>
      <c r="M96" s="34"/>
      <c r="N96" s="34"/>
      <c r="O96" s="34"/>
      <c r="P96" s="34"/>
      <c r="Q96" s="34"/>
      <c r="R96" s="34"/>
      <c r="S96" s="34"/>
      <c r="T96" s="34"/>
      <c r="U96" s="34"/>
      <c r="V96" s="34"/>
      <c r="W96" s="34"/>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row>
    <row r="97" spans="1:55" ht="14.25">
      <c r="A97" s="905"/>
      <c r="B97" s="1204" t="s">
        <v>2115</v>
      </c>
      <c r="C97" s="1034"/>
      <c r="D97" s="1034"/>
      <c r="E97" s="1034"/>
      <c r="F97" s="1034"/>
      <c r="G97" s="1034"/>
      <c r="H97" s="1034"/>
      <c r="I97" s="1034"/>
      <c r="J97" s="1034"/>
      <c r="K97" s="1018"/>
      <c r="L97" s="34"/>
      <c r="M97" s="34"/>
      <c r="N97" s="34"/>
      <c r="O97" s="34"/>
      <c r="P97" s="34"/>
      <c r="Q97" s="34"/>
      <c r="R97" s="34"/>
      <c r="S97" s="34"/>
      <c r="T97" s="34"/>
      <c r="U97" s="34"/>
      <c r="V97" s="34"/>
      <c r="W97" s="34"/>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row>
    <row r="98" spans="1:55" ht="15">
      <c r="A98" s="781"/>
      <c r="B98" s="936" t="s">
        <v>2116</v>
      </c>
      <c r="C98" s="937" t="s">
        <v>2117</v>
      </c>
      <c r="D98" s="936" t="s">
        <v>63</v>
      </c>
      <c r="E98" s="938" t="s">
        <v>2118</v>
      </c>
      <c r="F98" s="936" t="s">
        <v>68</v>
      </c>
      <c r="G98" s="938" t="s">
        <v>2118</v>
      </c>
      <c r="H98" s="936" t="s">
        <v>69</v>
      </c>
      <c r="I98" s="938" t="s">
        <v>2118</v>
      </c>
      <c r="J98" s="936" t="s">
        <v>70</v>
      </c>
      <c r="K98" s="938" t="s">
        <v>2118</v>
      </c>
      <c r="L98" s="34"/>
      <c r="M98" s="34"/>
      <c r="N98" s="34"/>
      <c r="O98" s="34"/>
      <c r="P98" s="34"/>
      <c r="Q98" s="34"/>
      <c r="R98" s="34"/>
      <c r="S98" s="34"/>
      <c r="T98" s="34"/>
      <c r="U98" s="34"/>
      <c r="V98" s="34"/>
      <c r="W98" s="34"/>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row>
    <row r="99" spans="1:55" ht="14.25">
      <c r="A99" s="905"/>
      <c r="B99" s="939">
        <v>1</v>
      </c>
      <c r="C99" s="940">
        <f t="shared" ref="C99:C125" si="16">SUM(D99:K99)/5</f>
        <v>77</v>
      </c>
      <c r="D99" s="941">
        <v>272</v>
      </c>
      <c r="E99" s="942">
        <v>6</v>
      </c>
      <c r="F99" s="941">
        <v>82</v>
      </c>
      <c r="G99" s="942">
        <v>5</v>
      </c>
      <c r="H99" s="941">
        <v>14</v>
      </c>
      <c r="I99" s="942">
        <v>2</v>
      </c>
      <c r="J99" s="941">
        <v>4</v>
      </c>
      <c r="K99" s="942">
        <v>0</v>
      </c>
      <c r="L99" s="943" t="s">
        <v>2119</v>
      </c>
      <c r="M99" s="34"/>
      <c r="N99" s="34"/>
      <c r="O99" s="34"/>
      <c r="P99" s="34"/>
      <c r="Q99" s="34"/>
      <c r="R99" s="34"/>
      <c r="S99" s="34"/>
      <c r="T99" s="34"/>
      <c r="U99" s="34"/>
      <c r="V99" s="34"/>
      <c r="W99" s="34"/>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row>
    <row r="100" spans="1:55" ht="14.25">
      <c r="A100" s="905"/>
      <c r="B100" s="939">
        <v>2</v>
      </c>
      <c r="C100" s="940">
        <f t="shared" si="16"/>
        <v>39</v>
      </c>
      <c r="D100" s="941">
        <v>138</v>
      </c>
      <c r="E100" s="942">
        <v>4</v>
      </c>
      <c r="F100" s="941">
        <v>41</v>
      </c>
      <c r="G100" s="942">
        <v>3</v>
      </c>
      <c r="H100" s="941">
        <v>8</v>
      </c>
      <c r="I100" s="942">
        <v>0</v>
      </c>
      <c r="J100" s="941">
        <v>1</v>
      </c>
      <c r="K100" s="942">
        <v>0</v>
      </c>
      <c r="L100" s="943" t="s">
        <v>2120</v>
      </c>
      <c r="M100" s="278"/>
      <c r="N100" s="278"/>
      <c r="O100" s="278"/>
      <c r="P100" s="278"/>
      <c r="Q100" s="278"/>
      <c r="R100" s="278"/>
      <c r="S100" s="278"/>
      <c r="T100" s="278"/>
      <c r="U100" s="278"/>
      <c r="V100" s="278"/>
      <c r="W100" s="278"/>
      <c r="X100" s="778"/>
      <c r="Y100" s="778"/>
      <c r="Z100" s="778"/>
      <c r="AA100" s="778"/>
      <c r="AB100" s="778"/>
      <c r="AC100" s="778"/>
      <c r="AD100" s="778"/>
      <c r="AE100" s="778"/>
      <c r="AF100" s="778"/>
      <c r="AG100" s="778"/>
      <c r="AH100" s="778"/>
      <c r="AI100" s="778"/>
      <c r="AJ100" s="778"/>
      <c r="AK100" s="778"/>
      <c r="AL100" s="778"/>
      <c r="AM100" s="778"/>
      <c r="AN100" s="778"/>
      <c r="AO100" s="778"/>
      <c r="AP100" s="778"/>
      <c r="AQ100" s="778"/>
      <c r="AR100" s="778"/>
      <c r="AS100" s="778"/>
      <c r="AT100" s="778"/>
      <c r="AU100" s="778"/>
      <c r="AV100" s="778"/>
      <c r="AW100" s="778"/>
      <c r="AX100" s="778"/>
      <c r="AY100" s="778"/>
      <c r="AZ100" s="778"/>
      <c r="BA100" s="778"/>
      <c r="BB100" s="778"/>
      <c r="BC100" s="778"/>
    </row>
    <row r="101" spans="1:55" ht="14.25">
      <c r="A101" s="905"/>
      <c r="B101" s="939">
        <v>3</v>
      </c>
      <c r="C101" s="940">
        <f t="shared" si="16"/>
        <v>80</v>
      </c>
      <c r="D101" s="941">
        <v>275</v>
      </c>
      <c r="E101" s="942">
        <v>5</v>
      </c>
      <c r="F101" s="941">
        <v>91</v>
      </c>
      <c r="G101" s="942">
        <v>6</v>
      </c>
      <c r="H101" s="941">
        <v>17</v>
      </c>
      <c r="I101" s="942">
        <v>2</v>
      </c>
      <c r="J101" s="941">
        <v>4</v>
      </c>
      <c r="K101" s="942">
        <v>0</v>
      </c>
      <c r="L101" s="943" t="s">
        <v>2121</v>
      </c>
      <c r="M101" s="34"/>
      <c r="N101" s="34"/>
      <c r="O101" s="34"/>
      <c r="P101" s="34"/>
      <c r="Q101" s="34"/>
      <c r="R101" s="34"/>
      <c r="S101" s="34"/>
      <c r="T101" s="34"/>
      <c r="U101" s="34"/>
      <c r="V101" s="34"/>
      <c r="W101" s="34"/>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row>
    <row r="102" spans="1:55" ht="14.25">
      <c r="A102" s="905"/>
      <c r="B102" s="939">
        <v>4</v>
      </c>
      <c r="C102" s="940">
        <f t="shared" si="16"/>
        <v>80</v>
      </c>
      <c r="D102" s="941">
        <v>283</v>
      </c>
      <c r="E102" s="942">
        <v>6</v>
      </c>
      <c r="F102" s="941">
        <v>85</v>
      </c>
      <c r="G102" s="942">
        <v>4</v>
      </c>
      <c r="H102" s="941">
        <v>16</v>
      </c>
      <c r="I102" s="942">
        <v>1</v>
      </c>
      <c r="J102" s="941">
        <v>5</v>
      </c>
      <c r="K102" s="942">
        <v>0</v>
      </c>
      <c r="L102" s="943" t="s">
        <v>2122</v>
      </c>
      <c r="M102" s="34"/>
      <c r="N102" s="34"/>
      <c r="O102" s="34"/>
      <c r="P102" s="34"/>
      <c r="Q102" s="34"/>
      <c r="R102" s="34"/>
      <c r="S102" s="34"/>
      <c r="T102" s="34"/>
      <c r="U102" s="34"/>
      <c r="V102" s="34"/>
      <c r="W102" s="34"/>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row>
    <row r="103" spans="1:55" ht="14.25">
      <c r="A103" s="905"/>
      <c r="B103" s="939">
        <v>5</v>
      </c>
      <c r="C103" s="940">
        <f t="shared" si="16"/>
        <v>40</v>
      </c>
      <c r="D103" s="941">
        <v>138</v>
      </c>
      <c r="E103" s="942">
        <v>3</v>
      </c>
      <c r="F103" s="941">
        <v>44</v>
      </c>
      <c r="G103" s="942">
        <v>2</v>
      </c>
      <c r="H103" s="941">
        <v>10</v>
      </c>
      <c r="I103" s="942">
        <v>0</v>
      </c>
      <c r="J103" s="941">
        <v>3</v>
      </c>
      <c r="K103" s="942">
        <v>0</v>
      </c>
      <c r="L103" s="943" t="s">
        <v>2123</v>
      </c>
      <c r="M103" s="34"/>
      <c r="N103" s="34"/>
      <c r="O103" s="34"/>
      <c r="P103" s="34"/>
      <c r="Q103" s="34"/>
      <c r="R103" s="34"/>
      <c r="S103" s="34"/>
      <c r="T103" s="34"/>
      <c r="U103" s="34"/>
      <c r="V103" s="34"/>
      <c r="W103" s="34"/>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row>
    <row r="104" spans="1:55" ht="14.25">
      <c r="A104" s="905"/>
      <c r="B104" s="939">
        <v>6</v>
      </c>
      <c r="C104" s="940">
        <f t="shared" si="16"/>
        <v>40</v>
      </c>
      <c r="D104" s="941">
        <v>136</v>
      </c>
      <c r="E104" s="942">
        <v>3</v>
      </c>
      <c r="F104" s="941">
        <v>42</v>
      </c>
      <c r="G104" s="942">
        <v>4</v>
      </c>
      <c r="H104" s="941">
        <v>11</v>
      </c>
      <c r="I104" s="942">
        <v>1</v>
      </c>
      <c r="J104" s="941">
        <v>2</v>
      </c>
      <c r="K104" s="942">
        <v>1</v>
      </c>
      <c r="L104" s="943" t="s">
        <v>2124</v>
      </c>
      <c r="M104" s="34"/>
      <c r="N104" s="34"/>
      <c r="O104" s="34"/>
      <c r="P104" s="34"/>
      <c r="Q104" s="34"/>
      <c r="R104" s="34"/>
      <c r="S104" s="34"/>
      <c r="T104" s="34"/>
      <c r="U104" s="34"/>
      <c r="V104" s="34"/>
      <c r="W104" s="34"/>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row>
    <row r="105" spans="1:55" ht="14.25">
      <c r="A105" s="905"/>
      <c r="B105" s="939">
        <v>7</v>
      </c>
      <c r="C105" s="940">
        <f t="shared" si="16"/>
        <v>40</v>
      </c>
      <c r="D105" s="941">
        <v>141</v>
      </c>
      <c r="E105" s="942">
        <v>4</v>
      </c>
      <c r="F105" s="941">
        <v>41</v>
      </c>
      <c r="G105" s="942">
        <v>2</v>
      </c>
      <c r="H105" s="941">
        <v>10</v>
      </c>
      <c r="I105" s="942">
        <v>0</v>
      </c>
      <c r="J105" s="941">
        <v>1</v>
      </c>
      <c r="K105" s="942">
        <v>1</v>
      </c>
      <c r="L105" s="943" t="s">
        <v>2125</v>
      </c>
      <c r="M105" s="34"/>
      <c r="N105" s="34"/>
      <c r="O105" s="34"/>
      <c r="P105" s="34"/>
      <c r="Q105" s="34"/>
      <c r="R105" s="34"/>
      <c r="S105" s="34"/>
      <c r="T105" s="34"/>
      <c r="U105" s="34"/>
      <c r="V105" s="34"/>
      <c r="W105" s="34"/>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row>
    <row r="106" spans="1:55" ht="14.25">
      <c r="A106" s="905"/>
      <c r="B106" s="939">
        <v>8</v>
      </c>
      <c r="C106" s="940">
        <f t="shared" si="16"/>
        <v>240</v>
      </c>
      <c r="D106" s="941">
        <v>844</v>
      </c>
      <c r="E106" s="942">
        <v>12</v>
      </c>
      <c r="F106" s="941">
        <v>262</v>
      </c>
      <c r="G106" s="942">
        <v>19</v>
      </c>
      <c r="H106" s="941">
        <v>48</v>
      </c>
      <c r="I106" s="942">
        <v>3</v>
      </c>
      <c r="J106" s="941">
        <v>10</v>
      </c>
      <c r="K106" s="942">
        <v>2</v>
      </c>
      <c r="L106" s="943" t="s">
        <v>2126</v>
      </c>
      <c r="M106" s="34"/>
      <c r="N106" s="34"/>
      <c r="O106" s="34"/>
      <c r="P106" s="34"/>
      <c r="Q106" s="34"/>
      <c r="R106" s="34"/>
      <c r="S106" s="34"/>
      <c r="T106" s="34"/>
      <c r="U106" s="34"/>
      <c r="V106" s="34"/>
      <c r="W106" s="34"/>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row>
    <row r="107" spans="1:55" ht="14.25">
      <c r="A107" s="905"/>
      <c r="B107" s="939">
        <v>9</v>
      </c>
      <c r="C107" s="940">
        <f t="shared" si="16"/>
        <v>323</v>
      </c>
      <c r="D107" s="941">
        <v>1124</v>
      </c>
      <c r="E107" s="942">
        <v>29</v>
      </c>
      <c r="F107" s="941">
        <v>349</v>
      </c>
      <c r="G107" s="942">
        <v>24</v>
      </c>
      <c r="H107" s="941">
        <v>64</v>
      </c>
      <c r="I107" s="942">
        <v>4</v>
      </c>
      <c r="J107" s="941">
        <v>20</v>
      </c>
      <c r="K107" s="942">
        <v>1</v>
      </c>
      <c r="L107" s="943" t="s">
        <v>2127</v>
      </c>
      <c r="M107" s="34"/>
      <c r="N107" s="34"/>
      <c r="O107" s="34"/>
      <c r="P107" s="34"/>
      <c r="Q107" s="34"/>
      <c r="R107" s="34"/>
      <c r="S107" s="34"/>
      <c r="T107" s="34"/>
      <c r="U107" s="34"/>
      <c r="V107" s="34"/>
      <c r="W107" s="34"/>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row>
    <row r="108" spans="1:55" ht="14.25">
      <c r="A108" s="905"/>
      <c r="B108" s="939">
        <v>10</v>
      </c>
      <c r="C108" s="940">
        <f t="shared" si="16"/>
        <v>11359</v>
      </c>
      <c r="D108" s="940">
        <v>39746</v>
      </c>
      <c r="E108" s="944">
        <v>835</v>
      </c>
      <c r="F108" s="940">
        <v>12148</v>
      </c>
      <c r="G108" s="944">
        <v>780</v>
      </c>
      <c r="H108" s="940">
        <v>2433</v>
      </c>
      <c r="I108" s="944">
        <v>175</v>
      </c>
      <c r="J108" s="940">
        <v>615</v>
      </c>
      <c r="K108" s="944">
        <v>63</v>
      </c>
      <c r="L108" s="945" t="s">
        <v>2128</v>
      </c>
      <c r="M108" s="278"/>
      <c r="N108" s="278"/>
      <c r="O108" s="278"/>
      <c r="P108" s="278"/>
      <c r="Q108" s="278"/>
      <c r="R108" s="278"/>
      <c r="S108" s="278"/>
      <c r="T108" s="278"/>
      <c r="U108" s="278"/>
      <c r="V108" s="278"/>
      <c r="W108" s="278"/>
      <c r="X108" s="778"/>
      <c r="Y108" s="778"/>
      <c r="Z108" s="778"/>
      <c r="AA108" s="778"/>
      <c r="AB108" s="778"/>
      <c r="AC108" s="778"/>
      <c r="AD108" s="778"/>
      <c r="AE108" s="778"/>
      <c r="AF108" s="778"/>
      <c r="AG108" s="778"/>
      <c r="AH108" s="778"/>
      <c r="AI108" s="778"/>
      <c r="AJ108" s="778"/>
      <c r="AK108" s="778"/>
      <c r="AL108" s="778"/>
      <c r="AM108" s="778"/>
      <c r="AN108" s="778"/>
      <c r="AO108" s="778"/>
      <c r="AP108" s="778"/>
      <c r="AQ108" s="778"/>
      <c r="AR108" s="778"/>
      <c r="AS108" s="778"/>
      <c r="AT108" s="778"/>
      <c r="AU108" s="778"/>
      <c r="AV108" s="778"/>
      <c r="AW108" s="778"/>
      <c r="AX108" s="778"/>
      <c r="AY108" s="778"/>
      <c r="AZ108" s="173"/>
      <c r="BA108" s="173"/>
      <c r="BB108" s="173"/>
      <c r="BC108" s="173"/>
    </row>
    <row r="109" spans="1:55" ht="14.25">
      <c r="A109" s="905"/>
      <c r="B109" s="939">
        <v>11</v>
      </c>
      <c r="C109" s="940">
        <f t="shared" si="16"/>
        <v>250</v>
      </c>
      <c r="D109" s="940">
        <v>870</v>
      </c>
      <c r="E109" s="944">
        <v>20</v>
      </c>
      <c r="F109" s="940">
        <v>276</v>
      </c>
      <c r="G109" s="944">
        <v>14</v>
      </c>
      <c r="H109" s="940">
        <v>53</v>
      </c>
      <c r="I109" s="944">
        <v>3</v>
      </c>
      <c r="J109" s="940">
        <v>13</v>
      </c>
      <c r="K109" s="944">
        <v>1</v>
      </c>
      <c r="L109" s="946" t="s">
        <v>2129</v>
      </c>
      <c r="M109" s="278"/>
      <c r="N109" s="278"/>
      <c r="O109" s="278"/>
      <c r="P109" s="278"/>
      <c r="Q109" s="278"/>
      <c r="R109" s="278"/>
      <c r="S109" s="278"/>
      <c r="T109" s="278"/>
      <c r="U109" s="278"/>
      <c r="V109" s="278"/>
      <c r="W109" s="278"/>
      <c r="X109" s="778"/>
      <c r="Y109" s="778"/>
      <c r="Z109" s="778"/>
      <c r="AA109" s="778"/>
      <c r="AB109" s="778"/>
      <c r="AC109" s="778"/>
      <c r="AD109" s="778"/>
      <c r="AE109" s="778"/>
      <c r="AF109" s="778"/>
      <c r="AG109" s="778"/>
      <c r="AH109" s="778"/>
      <c r="AI109" s="778"/>
      <c r="AJ109" s="778"/>
      <c r="AK109" s="778"/>
      <c r="AL109" s="778"/>
      <c r="AM109" s="778"/>
      <c r="AN109" s="778"/>
      <c r="AO109" s="778"/>
      <c r="AP109" s="778"/>
      <c r="AQ109" s="778"/>
      <c r="AR109" s="778"/>
      <c r="AS109" s="778"/>
      <c r="AT109" s="778"/>
      <c r="AU109" s="778"/>
      <c r="AV109" s="778"/>
      <c r="AW109" s="778"/>
      <c r="AX109" s="778"/>
      <c r="AY109" s="778"/>
      <c r="AZ109" s="778"/>
      <c r="BA109" s="778"/>
      <c r="BB109" s="778"/>
      <c r="BC109" s="778"/>
    </row>
    <row r="110" spans="1:55" ht="14.25">
      <c r="A110" s="781"/>
      <c r="B110" s="947">
        <v>12</v>
      </c>
      <c r="C110" s="940">
        <f t="shared" si="16"/>
        <v>40</v>
      </c>
      <c r="D110" s="940">
        <v>138</v>
      </c>
      <c r="E110" s="944">
        <v>3</v>
      </c>
      <c r="F110" s="940">
        <v>45</v>
      </c>
      <c r="G110" s="944">
        <v>5</v>
      </c>
      <c r="H110" s="940">
        <v>7</v>
      </c>
      <c r="I110" s="944">
        <v>1</v>
      </c>
      <c r="J110" s="940">
        <v>1</v>
      </c>
      <c r="K110" s="944">
        <v>0</v>
      </c>
      <c r="L110" s="946" t="s">
        <v>2130</v>
      </c>
      <c r="M110" s="34"/>
      <c r="N110" s="34"/>
      <c r="O110" s="34"/>
      <c r="P110" s="34"/>
      <c r="Q110" s="34"/>
      <c r="R110" s="34"/>
      <c r="S110" s="34"/>
      <c r="T110" s="34"/>
      <c r="U110" s="34"/>
      <c r="V110" s="34"/>
      <c r="W110" s="34"/>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row>
    <row r="111" spans="1:55" ht="14.25">
      <c r="A111" s="905"/>
      <c r="B111" s="939">
        <v>13</v>
      </c>
      <c r="C111" s="940">
        <f t="shared" si="16"/>
        <v>400</v>
      </c>
      <c r="D111" s="940">
        <v>1390</v>
      </c>
      <c r="E111" s="944">
        <v>29</v>
      </c>
      <c r="F111" s="940">
        <v>432</v>
      </c>
      <c r="G111" s="944">
        <v>30</v>
      </c>
      <c r="H111" s="940">
        <v>92</v>
      </c>
      <c r="I111" s="944">
        <v>5</v>
      </c>
      <c r="J111" s="941">
        <v>20</v>
      </c>
      <c r="K111" s="942">
        <v>2</v>
      </c>
      <c r="L111" s="946" t="s">
        <v>2131</v>
      </c>
      <c r="M111" s="34"/>
      <c r="N111" s="34"/>
      <c r="O111" s="34"/>
      <c r="P111" s="34"/>
      <c r="Q111" s="34"/>
      <c r="R111" s="34"/>
      <c r="S111" s="34"/>
      <c r="T111" s="34"/>
      <c r="U111" s="34"/>
      <c r="V111" s="34"/>
      <c r="W111" s="34"/>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row>
    <row r="112" spans="1:55" ht="14.25">
      <c r="A112" s="905"/>
      <c r="B112" s="939">
        <v>14</v>
      </c>
      <c r="C112" s="940">
        <f t="shared" si="16"/>
        <v>66</v>
      </c>
      <c r="D112" s="940">
        <v>231</v>
      </c>
      <c r="E112" s="944">
        <v>8</v>
      </c>
      <c r="F112" s="940">
        <v>71</v>
      </c>
      <c r="G112" s="944">
        <v>17</v>
      </c>
      <c r="H112" s="940">
        <v>0</v>
      </c>
      <c r="I112" s="944">
        <v>0</v>
      </c>
      <c r="J112" s="941">
        <v>2</v>
      </c>
      <c r="K112" s="942">
        <v>1</v>
      </c>
      <c r="L112" s="946" t="s">
        <v>2132</v>
      </c>
      <c r="M112" s="278"/>
      <c r="N112" s="278"/>
      <c r="O112" s="278"/>
      <c r="P112" s="278"/>
      <c r="Q112" s="278"/>
      <c r="R112" s="278"/>
      <c r="S112" s="278"/>
      <c r="T112" s="278"/>
      <c r="U112" s="278"/>
      <c r="V112" s="278"/>
      <c r="W112" s="278"/>
      <c r="X112" s="778"/>
      <c r="Y112" s="778"/>
      <c r="Z112" s="778"/>
      <c r="AA112" s="778"/>
      <c r="AB112" s="778"/>
      <c r="AC112" s="778"/>
      <c r="AD112" s="778"/>
      <c r="AE112" s="778"/>
      <c r="AF112" s="778"/>
      <c r="AG112" s="778"/>
      <c r="AH112" s="778"/>
      <c r="AI112" s="778"/>
      <c r="AJ112" s="778"/>
      <c r="AK112" s="778"/>
      <c r="AL112" s="778"/>
      <c r="AM112" s="778"/>
      <c r="AN112" s="778"/>
      <c r="AO112" s="778"/>
      <c r="AP112" s="778"/>
      <c r="AQ112" s="778"/>
      <c r="AR112" s="778"/>
      <c r="AS112" s="778"/>
      <c r="AT112" s="778"/>
      <c r="AU112" s="778"/>
      <c r="AV112" s="778"/>
      <c r="AW112" s="778"/>
      <c r="AX112" s="778"/>
      <c r="AY112" s="778"/>
      <c r="AZ112" s="778"/>
      <c r="BA112" s="778"/>
      <c r="BB112" s="778"/>
      <c r="BC112" s="778"/>
    </row>
    <row r="113" spans="1:55" ht="14.25">
      <c r="A113" s="905"/>
      <c r="B113" s="939">
        <v>15</v>
      </c>
      <c r="C113" s="940">
        <f t="shared" si="16"/>
        <v>40</v>
      </c>
      <c r="D113" s="940">
        <v>140</v>
      </c>
      <c r="E113" s="944">
        <v>3</v>
      </c>
      <c r="F113" s="940">
        <v>45</v>
      </c>
      <c r="G113" s="944">
        <v>3</v>
      </c>
      <c r="H113" s="940">
        <v>8</v>
      </c>
      <c r="I113" s="944">
        <v>0</v>
      </c>
      <c r="J113" s="941">
        <v>1</v>
      </c>
      <c r="K113" s="942">
        <v>0</v>
      </c>
      <c r="L113" s="946" t="s">
        <v>2133</v>
      </c>
      <c r="M113" s="34"/>
      <c r="N113" s="34"/>
      <c r="O113" s="34"/>
      <c r="P113" s="34"/>
      <c r="Q113" s="34"/>
      <c r="R113" s="34"/>
      <c r="S113" s="34"/>
      <c r="T113" s="34"/>
      <c r="U113" s="34"/>
      <c r="V113" s="34"/>
      <c r="W113" s="34"/>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row>
    <row r="114" spans="1:55" ht="14.25">
      <c r="A114" s="905"/>
      <c r="B114" s="939">
        <v>16</v>
      </c>
      <c r="C114" s="940">
        <f t="shared" si="16"/>
        <v>40</v>
      </c>
      <c r="D114" s="940">
        <v>137</v>
      </c>
      <c r="E114" s="944">
        <v>4</v>
      </c>
      <c r="F114" s="940">
        <v>47</v>
      </c>
      <c r="G114" s="944">
        <v>3</v>
      </c>
      <c r="H114" s="940">
        <v>7</v>
      </c>
      <c r="I114" s="944">
        <v>0</v>
      </c>
      <c r="J114" s="941">
        <v>2</v>
      </c>
      <c r="K114" s="942">
        <v>0</v>
      </c>
      <c r="L114" s="946" t="s">
        <v>2134</v>
      </c>
      <c r="M114" s="34"/>
      <c r="N114" s="34"/>
      <c r="O114" s="34"/>
      <c r="P114" s="34"/>
      <c r="Q114" s="34"/>
      <c r="R114" s="34"/>
      <c r="S114" s="34"/>
      <c r="T114" s="34"/>
      <c r="U114" s="34"/>
      <c r="V114" s="34"/>
      <c r="W114" s="34"/>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row>
    <row r="115" spans="1:55" ht="14.25">
      <c r="A115" s="905"/>
      <c r="B115" s="939">
        <v>17</v>
      </c>
      <c r="C115" s="940">
        <f t="shared" si="16"/>
        <v>421</v>
      </c>
      <c r="D115" s="940">
        <v>1479</v>
      </c>
      <c r="E115" s="944">
        <v>28</v>
      </c>
      <c r="F115" s="940">
        <v>467</v>
      </c>
      <c r="G115" s="944">
        <v>30</v>
      </c>
      <c r="H115" s="940">
        <v>77</v>
      </c>
      <c r="I115" s="944">
        <v>4</v>
      </c>
      <c r="J115" s="941">
        <v>19</v>
      </c>
      <c r="K115" s="942">
        <v>1</v>
      </c>
      <c r="L115" s="946" t="s">
        <v>2135</v>
      </c>
      <c r="M115" s="34"/>
      <c r="N115" s="34"/>
      <c r="O115" s="34"/>
      <c r="P115" s="34"/>
      <c r="Q115" s="34"/>
      <c r="R115" s="34"/>
      <c r="S115" s="34"/>
      <c r="T115" s="34"/>
      <c r="U115" s="34"/>
      <c r="V115" s="34"/>
      <c r="W115" s="34"/>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row>
    <row r="116" spans="1:55" ht="14.25">
      <c r="A116" s="905"/>
      <c r="B116" s="939">
        <v>18</v>
      </c>
      <c r="C116" s="940">
        <f t="shared" si="16"/>
        <v>172</v>
      </c>
      <c r="D116" s="940">
        <v>600</v>
      </c>
      <c r="E116" s="944">
        <v>15</v>
      </c>
      <c r="F116" s="940">
        <v>187</v>
      </c>
      <c r="G116" s="944">
        <v>11</v>
      </c>
      <c r="H116" s="940">
        <v>34</v>
      </c>
      <c r="I116" s="944">
        <v>3</v>
      </c>
      <c r="J116" s="941">
        <v>9</v>
      </c>
      <c r="K116" s="942">
        <v>1</v>
      </c>
      <c r="L116" s="946" t="s">
        <v>2136</v>
      </c>
      <c r="M116" s="34"/>
      <c r="N116" s="34"/>
      <c r="O116" s="34"/>
      <c r="P116" s="34"/>
      <c r="Q116" s="34"/>
      <c r="R116" s="34"/>
      <c r="S116" s="34"/>
      <c r="T116" s="34"/>
      <c r="U116" s="34"/>
      <c r="V116" s="34"/>
      <c r="W116" s="34"/>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row>
    <row r="117" spans="1:55" ht="14.25">
      <c r="A117" s="905"/>
      <c r="B117" s="939">
        <v>19</v>
      </c>
      <c r="C117" s="940">
        <f t="shared" si="16"/>
        <v>250</v>
      </c>
      <c r="D117" s="940">
        <v>870</v>
      </c>
      <c r="E117" s="944">
        <v>20</v>
      </c>
      <c r="F117" s="940">
        <v>276</v>
      </c>
      <c r="G117" s="944">
        <v>14</v>
      </c>
      <c r="H117" s="940">
        <v>53</v>
      </c>
      <c r="I117" s="944">
        <v>3</v>
      </c>
      <c r="J117" s="941">
        <v>13</v>
      </c>
      <c r="K117" s="942">
        <v>1</v>
      </c>
      <c r="L117" s="946" t="s">
        <v>2137</v>
      </c>
      <c r="M117" s="34"/>
      <c r="N117" s="34"/>
      <c r="O117" s="34"/>
      <c r="P117" s="34"/>
      <c r="Q117" s="34"/>
      <c r="R117" s="34"/>
      <c r="S117" s="34"/>
      <c r="T117" s="34"/>
      <c r="U117" s="34"/>
      <c r="V117" s="34"/>
      <c r="W117" s="34"/>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row>
    <row r="118" spans="1:55" ht="14.25">
      <c r="A118" s="905"/>
      <c r="B118" s="939">
        <v>20</v>
      </c>
      <c r="C118" s="940">
        <f t="shared" si="16"/>
        <v>665</v>
      </c>
      <c r="D118" s="940">
        <v>2310</v>
      </c>
      <c r="E118" s="944">
        <v>58</v>
      </c>
      <c r="F118" s="940">
        <v>730</v>
      </c>
      <c r="G118" s="944">
        <v>45</v>
      </c>
      <c r="H118" s="940">
        <v>140</v>
      </c>
      <c r="I118" s="944">
        <v>6</v>
      </c>
      <c r="J118" s="941">
        <v>34</v>
      </c>
      <c r="K118" s="942">
        <v>2</v>
      </c>
      <c r="L118" s="946" t="s">
        <v>2138</v>
      </c>
      <c r="M118" s="34"/>
      <c r="N118" s="34"/>
      <c r="O118" s="34"/>
      <c r="P118" s="34"/>
      <c r="Q118" s="34"/>
      <c r="R118" s="34"/>
      <c r="S118" s="34"/>
      <c r="T118" s="34"/>
      <c r="U118" s="34"/>
      <c r="V118" s="34"/>
      <c r="W118" s="34"/>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row>
    <row r="119" spans="1:55" ht="14.25">
      <c r="A119" s="905"/>
      <c r="B119" s="939">
        <v>21</v>
      </c>
      <c r="C119" s="940">
        <f t="shared" si="16"/>
        <v>1334</v>
      </c>
      <c r="D119" s="940">
        <v>4641</v>
      </c>
      <c r="E119" s="944">
        <v>112</v>
      </c>
      <c r="F119" s="940">
        <v>1433</v>
      </c>
      <c r="G119" s="944">
        <v>109</v>
      </c>
      <c r="H119" s="940">
        <v>263</v>
      </c>
      <c r="I119" s="944">
        <v>17</v>
      </c>
      <c r="J119" s="941">
        <v>86</v>
      </c>
      <c r="K119" s="942">
        <v>9</v>
      </c>
      <c r="L119" s="948" t="s">
        <v>2139</v>
      </c>
      <c r="M119" s="778"/>
      <c r="N119" s="778"/>
      <c r="O119" s="778"/>
      <c r="P119" s="778"/>
      <c r="Q119" s="173"/>
      <c r="R119" s="173"/>
      <c r="S119" s="173"/>
      <c r="T119" s="34"/>
      <c r="U119" s="34"/>
      <c r="V119" s="34"/>
      <c r="W119" s="34"/>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row>
    <row r="120" spans="1:55" ht="14.25">
      <c r="A120" s="905"/>
      <c r="B120" s="949">
        <v>22</v>
      </c>
      <c r="C120" s="940">
        <f t="shared" si="16"/>
        <v>284</v>
      </c>
      <c r="D120" s="950">
        <v>1002</v>
      </c>
      <c r="E120" s="951">
        <v>21</v>
      </c>
      <c r="F120" s="950">
        <v>297</v>
      </c>
      <c r="G120" s="951">
        <v>18</v>
      </c>
      <c r="H120" s="950">
        <v>58</v>
      </c>
      <c r="I120" s="951">
        <v>4</v>
      </c>
      <c r="J120" s="952">
        <v>18</v>
      </c>
      <c r="K120" s="953">
        <v>2</v>
      </c>
      <c r="L120" s="948" t="s">
        <v>2140</v>
      </c>
      <c r="M120" s="778"/>
      <c r="N120" s="778"/>
      <c r="O120" s="778"/>
      <c r="P120" s="778"/>
      <c r="Q120" s="173"/>
      <c r="R120" s="173"/>
      <c r="S120" s="173"/>
      <c r="T120" s="34"/>
      <c r="U120" s="34"/>
      <c r="V120" s="34"/>
      <c r="W120" s="34"/>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row>
    <row r="121" spans="1:55" ht="14.25">
      <c r="A121" s="905"/>
      <c r="B121" s="949">
        <v>23</v>
      </c>
      <c r="C121" s="940">
        <f t="shared" si="16"/>
        <v>470</v>
      </c>
      <c r="D121" s="950">
        <v>1660</v>
      </c>
      <c r="E121" s="951">
        <v>34</v>
      </c>
      <c r="F121" s="950">
        <v>484</v>
      </c>
      <c r="G121" s="951">
        <v>36</v>
      </c>
      <c r="H121" s="950">
        <v>101</v>
      </c>
      <c r="I121" s="951">
        <v>8</v>
      </c>
      <c r="J121" s="952">
        <v>25</v>
      </c>
      <c r="K121" s="953">
        <v>2</v>
      </c>
      <c r="L121" s="948" t="s">
        <v>2141</v>
      </c>
      <c r="M121" s="778"/>
      <c r="N121" s="778"/>
      <c r="O121" s="778"/>
      <c r="P121" s="778"/>
      <c r="Q121" s="173"/>
      <c r="R121" s="173"/>
      <c r="S121" s="173"/>
      <c r="T121" s="34"/>
      <c r="U121" s="34"/>
      <c r="V121" s="34"/>
      <c r="W121" s="34"/>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row>
    <row r="122" spans="1:55" ht="14.25">
      <c r="A122" s="905"/>
      <c r="B122" s="949">
        <v>24</v>
      </c>
      <c r="C122" s="940">
        <f t="shared" si="16"/>
        <v>306</v>
      </c>
      <c r="D122" s="940">
        <v>1039</v>
      </c>
      <c r="E122" s="944">
        <v>31</v>
      </c>
      <c r="F122" s="940">
        <v>358</v>
      </c>
      <c r="G122" s="944">
        <v>23</v>
      </c>
      <c r="H122" s="940">
        <v>57</v>
      </c>
      <c r="I122" s="944">
        <v>3</v>
      </c>
      <c r="J122" s="941">
        <v>17</v>
      </c>
      <c r="K122" s="942">
        <v>2</v>
      </c>
      <c r="L122" s="948" t="s">
        <v>2142</v>
      </c>
      <c r="M122" s="778"/>
      <c r="N122" s="778"/>
      <c r="O122" s="778"/>
      <c r="P122" s="778"/>
      <c r="Q122" s="173"/>
      <c r="R122" s="173"/>
      <c r="S122" s="173"/>
      <c r="T122" s="34"/>
      <c r="U122" s="34"/>
      <c r="V122" s="34"/>
      <c r="W122" s="34"/>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row>
    <row r="123" spans="1:55" ht="14.25">
      <c r="A123" s="905"/>
      <c r="B123" s="949">
        <v>25</v>
      </c>
      <c r="C123" s="940">
        <f t="shared" si="16"/>
        <v>50</v>
      </c>
      <c r="D123" s="940">
        <v>182</v>
      </c>
      <c r="E123" s="944">
        <v>2</v>
      </c>
      <c r="F123" s="940">
        <v>49</v>
      </c>
      <c r="G123" s="944">
        <v>2</v>
      </c>
      <c r="H123" s="940">
        <v>12</v>
      </c>
      <c r="I123" s="944">
        <v>1</v>
      </c>
      <c r="J123" s="941">
        <v>2</v>
      </c>
      <c r="K123" s="942">
        <v>0</v>
      </c>
      <c r="L123" s="948" t="s">
        <v>2143</v>
      </c>
      <c r="M123" s="778"/>
      <c r="N123" s="778"/>
      <c r="O123" s="778"/>
      <c r="P123" s="778"/>
      <c r="Q123" s="173"/>
      <c r="R123" s="173"/>
      <c r="S123" s="173"/>
      <c r="T123" s="34"/>
      <c r="U123" s="34"/>
      <c r="V123" s="34"/>
      <c r="W123" s="34"/>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row>
    <row r="124" spans="1:55" ht="14.25">
      <c r="A124" s="905"/>
      <c r="B124" s="949">
        <v>26</v>
      </c>
      <c r="C124" s="940">
        <f t="shared" si="16"/>
        <v>15109</v>
      </c>
      <c r="D124" s="940">
        <v>53151</v>
      </c>
      <c r="E124" s="944">
        <v>1120</v>
      </c>
      <c r="F124" s="940">
        <v>16319</v>
      </c>
      <c r="G124" s="944">
        <v>957</v>
      </c>
      <c r="H124" s="940">
        <v>3086</v>
      </c>
      <c r="I124" s="944">
        <v>146</v>
      </c>
      <c r="J124" s="941">
        <v>710</v>
      </c>
      <c r="K124" s="942">
        <v>56</v>
      </c>
      <c r="L124" s="948" t="s">
        <v>2144</v>
      </c>
      <c r="M124" s="778"/>
      <c r="N124" s="778"/>
      <c r="O124" s="778"/>
      <c r="P124" s="778"/>
      <c r="Q124" s="173"/>
      <c r="R124" s="173"/>
      <c r="S124" s="173"/>
      <c r="T124" s="34"/>
      <c r="U124" s="34"/>
      <c r="V124" s="34"/>
      <c r="W124" s="34"/>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row>
    <row r="125" spans="1:55" ht="14.25">
      <c r="A125" s="905"/>
      <c r="B125" s="949">
        <v>27</v>
      </c>
      <c r="C125" s="940">
        <f t="shared" si="16"/>
        <v>1100</v>
      </c>
      <c r="D125" s="950">
        <v>3808</v>
      </c>
      <c r="E125" s="951">
        <v>97</v>
      </c>
      <c r="F125" s="950">
        <v>1207</v>
      </c>
      <c r="G125" s="951">
        <v>89</v>
      </c>
      <c r="H125" s="950">
        <v>228</v>
      </c>
      <c r="I125" s="951">
        <v>15</v>
      </c>
      <c r="J125" s="952">
        <v>52</v>
      </c>
      <c r="K125" s="953">
        <v>4</v>
      </c>
      <c r="L125" s="948" t="s">
        <v>2145</v>
      </c>
      <c r="M125" s="778"/>
      <c r="N125" s="778"/>
      <c r="O125" s="778"/>
      <c r="P125" s="778"/>
      <c r="Q125" s="173"/>
      <c r="R125" s="173"/>
      <c r="S125" s="173"/>
      <c r="T125" s="34"/>
      <c r="U125" s="34"/>
      <c r="V125" s="34"/>
      <c r="W125" s="34"/>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row>
    <row r="126" spans="1:55" ht="14.25">
      <c r="A126" s="905"/>
      <c r="B126" s="949">
        <v>28</v>
      </c>
      <c r="C126" s="940"/>
      <c r="D126" s="940"/>
      <c r="E126" s="944"/>
      <c r="F126" s="940"/>
      <c r="G126" s="944"/>
      <c r="H126" s="940"/>
      <c r="I126" s="944"/>
      <c r="J126" s="941"/>
      <c r="K126" s="942"/>
      <c r="L126" s="778"/>
      <c r="M126" s="778"/>
      <c r="N126" s="778"/>
      <c r="O126" s="778"/>
      <c r="P126" s="778"/>
      <c r="Q126" s="173"/>
      <c r="R126" s="173"/>
      <c r="S126" s="173"/>
      <c r="T126" s="34"/>
      <c r="U126" s="34"/>
      <c r="V126" s="34"/>
      <c r="W126" s="34"/>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row>
    <row r="127" spans="1:55" ht="14.25">
      <c r="A127" s="905"/>
      <c r="B127" s="949">
        <v>29</v>
      </c>
      <c r="C127" s="940"/>
      <c r="D127" s="940"/>
      <c r="E127" s="944"/>
      <c r="F127" s="940"/>
      <c r="G127" s="944"/>
      <c r="H127" s="940"/>
      <c r="I127" s="944"/>
      <c r="J127" s="941"/>
      <c r="K127" s="942"/>
      <c r="L127" s="778"/>
      <c r="M127" s="778"/>
      <c r="N127" s="778"/>
      <c r="O127" s="778"/>
      <c r="P127" s="778"/>
      <c r="Q127" s="173"/>
      <c r="R127" s="173"/>
      <c r="S127" s="173"/>
      <c r="T127" s="34"/>
      <c r="U127" s="34"/>
      <c r="V127" s="34"/>
      <c r="W127" s="34"/>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row>
    <row r="128" spans="1:55" ht="14.25">
      <c r="A128" s="905"/>
      <c r="B128" s="949">
        <v>30</v>
      </c>
      <c r="C128" s="940"/>
      <c r="D128" s="940"/>
      <c r="E128" s="944"/>
      <c r="F128" s="940"/>
      <c r="G128" s="944"/>
      <c r="H128" s="940"/>
      <c r="I128" s="944"/>
      <c r="J128" s="941"/>
      <c r="K128" s="942"/>
      <c r="L128" s="778"/>
      <c r="M128" s="778"/>
      <c r="N128" s="778"/>
      <c r="O128" s="778"/>
      <c r="P128" s="778"/>
      <c r="Q128" s="173"/>
      <c r="R128" s="173"/>
      <c r="S128" s="173"/>
      <c r="T128" s="34"/>
      <c r="U128" s="34"/>
      <c r="V128" s="34"/>
      <c r="W128" s="34"/>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row>
    <row r="129" spans="1:55" ht="14.25">
      <c r="A129" s="905"/>
      <c r="B129" s="949">
        <v>31</v>
      </c>
      <c r="C129" s="940"/>
      <c r="D129" s="950"/>
      <c r="E129" s="951"/>
      <c r="F129" s="950"/>
      <c r="G129" s="951"/>
      <c r="H129" s="950"/>
      <c r="I129" s="951"/>
      <c r="J129" s="952"/>
      <c r="K129" s="953"/>
      <c r="L129" s="778"/>
      <c r="M129" s="778"/>
      <c r="N129" s="778"/>
      <c r="O129" s="778"/>
      <c r="P129" s="778"/>
      <c r="Q129" s="173"/>
      <c r="R129" s="173"/>
      <c r="S129" s="173"/>
      <c r="T129" s="34"/>
      <c r="U129" s="34"/>
      <c r="V129" s="34"/>
      <c r="W129" s="34"/>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row>
    <row r="130" spans="1:55" ht="14.25">
      <c r="A130" s="905"/>
      <c r="B130" s="949">
        <v>32</v>
      </c>
      <c r="C130" s="940"/>
      <c r="D130" s="950"/>
      <c r="E130" s="951"/>
      <c r="F130" s="950"/>
      <c r="G130" s="951"/>
      <c r="H130" s="950"/>
      <c r="I130" s="951"/>
      <c r="J130" s="952"/>
      <c r="K130" s="953"/>
      <c r="L130" s="778"/>
      <c r="M130" s="778"/>
      <c r="N130" s="778"/>
      <c r="O130" s="778"/>
      <c r="P130" s="778"/>
      <c r="Q130" s="173"/>
      <c r="R130" s="173"/>
      <c r="S130" s="173"/>
      <c r="T130" s="34"/>
      <c r="U130" s="34"/>
      <c r="V130" s="34"/>
      <c r="W130" s="34"/>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row>
    <row r="131" spans="1:55" ht="14.25">
      <c r="A131" s="905"/>
      <c r="B131" s="949">
        <v>33</v>
      </c>
      <c r="C131" s="940"/>
      <c r="D131" s="940"/>
      <c r="E131" s="944"/>
      <c r="F131" s="940"/>
      <c r="G131" s="944"/>
      <c r="H131" s="940"/>
      <c r="I131" s="944"/>
      <c r="J131" s="941"/>
      <c r="K131" s="942"/>
      <c r="L131" s="778"/>
      <c r="M131" s="778"/>
      <c r="N131" s="778"/>
      <c r="O131" s="778"/>
      <c r="P131" s="778"/>
      <c r="Q131" s="173"/>
      <c r="R131" s="173"/>
      <c r="S131" s="173"/>
      <c r="T131" s="34"/>
      <c r="U131" s="34"/>
      <c r="V131" s="34"/>
      <c r="W131" s="34"/>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row>
    <row r="132" spans="1:55" ht="12.75">
      <c r="A132" s="905"/>
      <c r="B132" s="954" t="s">
        <v>2146</v>
      </c>
      <c r="C132" s="955">
        <f t="shared" ref="C132:K132" si="17">SUM(C99:C131)</f>
        <v>33315</v>
      </c>
      <c r="D132" s="955">
        <f t="shared" si="17"/>
        <v>116745</v>
      </c>
      <c r="E132" s="956">
        <f t="shared" si="17"/>
        <v>2512</v>
      </c>
      <c r="F132" s="955">
        <f t="shared" si="17"/>
        <v>35908</v>
      </c>
      <c r="G132" s="956">
        <f t="shared" si="17"/>
        <v>2255</v>
      </c>
      <c r="H132" s="955">
        <f t="shared" si="17"/>
        <v>6907</v>
      </c>
      <c r="I132" s="956">
        <f t="shared" si="17"/>
        <v>407</v>
      </c>
      <c r="J132" s="955">
        <f t="shared" si="17"/>
        <v>1689</v>
      </c>
      <c r="K132" s="956">
        <f t="shared" si="17"/>
        <v>152</v>
      </c>
      <c r="L132" s="278"/>
      <c r="M132" s="278"/>
      <c r="N132" s="278"/>
      <c r="O132" s="278"/>
      <c r="P132" s="278"/>
      <c r="Q132" s="278"/>
      <c r="R132" s="278"/>
      <c r="S132" s="278"/>
      <c r="T132" s="278"/>
      <c r="U132" s="278"/>
      <c r="V132" s="278"/>
      <c r="W132" s="278"/>
      <c r="X132" s="778"/>
      <c r="Y132" s="778"/>
      <c r="Z132" s="778"/>
      <c r="AA132" s="778"/>
      <c r="AB132" s="778"/>
      <c r="AC132" s="778"/>
      <c r="AD132" s="778"/>
      <c r="AE132" s="778"/>
      <c r="AF132" s="778"/>
      <c r="AG132" s="778"/>
      <c r="AH132" s="778"/>
      <c r="AI132" s="778"/>
      <c r="AJ132" s="778"/>
      <c r="AK132" s="778"/>
      <c r="AL132" s="778"/>
      <c r="AM132" s="778"/>
      <c r="AN132" s="778"/>
      <c r="AO132" s="778"/>
      <c r="AP132" s="778"/>
      <c r="AQ132" s="778"/>
      <c r="AR132" s="778"/>
      <c r="AS132" s="778"/>
      <c r="AT132" s="778"/>
      <c r="AU132" s="778"/>
      <c r="AV132" s="778"/>
      <c r="AW132" s="778"/>
      <c r="AX132" s="778"/>
      <c r="AY132" s="778"/>
      <c r="AZ132" s="778"/>
      <c r="BA132" s="778"/>
      <c r="BB132" s="778"/>
      <c r="BC132" s="778"/>
    </row>
    <row r="133" spans="1:55" ht="12.75">
      <c r="A133" s="34"/>
      <c r="B133" s="34"/>
      <c r="C133" s="837"/>
      <c r="D133" s="837"/>
      <c r="E133" s="816"/>
      <c r="F133" s="816"/>
      <c r="G133" s="778"/>
      <c r="H133" s="816"/>
      <c r="I133" s="816"/>
      <c r="J133" s="816"/>
      <c r="K133" s="278"/>
      <c r="L133" s="278"/>
      <c r="M133" s="278"/>
      <c r="N133" s="278"/>
      <c r="O133" s="278"/>
      <c r="P133" s="278"/>
      <c r="Q133" s="278"/>
      <c r="R133" s="278"/>
      <c r="S133" s="278"/>
      <c r="T133" s="278"/>
      <c r="U133" s="278"/>
      <c r="V133" s="278"/>
      <c r="W133" s="278"/>
      <c r="X133" s="778"/>
      <c r="Y133" s="778"/>
      <c r="Z133" s="778"/>
      <c r="AA133" s="778"/>
      <c r="AB133" s="778"/>
      <c r="AC133" s="778"/>
      <c r="AD133" s="778"/>
      <c r="AE133" s="778"/>
      <c r="AF133" s="778"/>
      <c r="AG133" s="778"/>
      <c r="AH133" s="778"/>
      <c r="AI133" s="778"/>
      <c r="AJ133" s="778"/>
      <c r="AK133" s="778"/>
      <c r="AL133" s="778"/>
      <c r="AM133" s="778"/>
      <c r="AN133" s="778"/>
      <c r="AO133" s="778"/>
      <c r="AP133" s="778"/>
      <c r="AQ133" s="778"/>
      <c r="AR133" s="778"/>
      <c r="AS133" s="778"/>
      <c r="AT133" s="778"/>
      <c r="AU133" s="778"/>
      <c r="AV133" s="778"/>
      <c r="AW133" s="778"/>
      <c r="AX133" s="778"/>
      <c r="AY133" s="778"/>
      <c r="AZ133" s="778"/>
      <c r="BA133" s="778"/>
      <c r="BB133" s="778"/>
      <c r="BC133" s="778"/>
    </row>
    <row r="134" spans="1:55" ht="14.25">
      <c r="A134" s="34"/>
      <c r="B134" s="781"/>
      <c r="C134" s="1222" t="s">
        <v>2147</v>
      </c>
      <c r="D134" s="1034"/>
      <c r="E134" s="1034"/>
      <c r="F134" s="1018"/>
      <c r="G134" s="905"/>
      <c r="H134" s="1222" t="s">
        <v>2148</v>
      </c>
      <c r="I134" s="1034"/>
      <c r="J134" s="1018"/>
      <c r="K134" s="34"/>
      <c r="L134" s="34"/>
      <c r="M134" s="34"/>
      <c r="N134" s="34"/>
      <c r="O134" s="34"/>
      <c r="P134" s="34"/>
      <c r="Q134" s="34"/>
      <c r="R134" s="34"/>
      <c r="S134" s="34"/>
      <c r="T134" s="34"/>
      <c r="U134" s="34"/>
      <c r="V134" s="34"/>
      <c r="W134" s="34"/>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row>
    <row r="135" spans="1:55" ht="14.25">
      <c r="A135" s="278"/>
      <c r="B135" s="905"/>
      <c r="C135" s="957"/>
      <c r="D135" s="939" t="s">
        <v>119</v>
      </c>
      <c r="E135" s="958" t="s">
        <v>40</v>
      </c>
      <c r="F135" s="939" t="s">
        <v>22</v>
      </c>
      <c r="G135" s="905"/>
      <c r="H135" s="1224" t="s">
        <v>2149</v>
      </c>
      <c r="I135" s="1018"/>
      <c r="J135" s="941">
        <f>SUM(D132:K132)</f>
        <v>166575</v>
      </c>
      <c r="K135" s="278"/>
      <c r="L135" s="278"/>
      <c r="M135" s="278"/>
      <c r="N135" s="278"/>
      <c r="O135" s="278"/>
      <c r="P135" s="278"/>
      <c r="Q135" s="278"/>
      <c r="R135" s="278"/>
      <c r="S135" s="278"/>
      <c r="T135" s="278"/>
      <c r="U135" s="278"/>
      <c r="V135" s="278"/>
      <c r="W135" s="278"/>
      <c r="X135" s="778"/>
      <c r="Y135" s="778"/>
      <c r="Z135" s="778"/>
      <c r="AA135" s="778"/>
      <c r="AB135" s="778"/>
      <c r="AC135" s="778"/>
      <c r="AD135" s="778"/>
      <c r="AE135" s="778"/>
      <c r="AF135" s="778"/>
      <c r="AG135" s="778"/>
      <c r="AH135" s="778"/>
      <c r="AI135" s="778"/>
      <c r="AJ135" s="778"/>
      <c r="AK135" s="778"/>
      <c r="AL135" s="778"/>
      <c r="AM135" s="778"/>
      <c r="AN135" s="778"/>
      <c r="AO135" s="778"/>
      <c r="AP135" s="778"/>
      <c r="AQ135" s="778"/>
      <c r="AR135" s="778"/>
      <c r="AS135" s="778"/>
      <c r="AT135" s="778"/>
      <c r="AU135" s="778"/>
      <c r="AV135" s="778"/>
      <c r="AW135" s="778"/>
      <c r="AX135" s="778"/>
      <c r="AY135" s="778"/>
      <c r="AZ135" s="778"/>
      <c r="BA135" s="778"/>
      <c r="BB135" s="778"/>
      <c r="BC135" s="778"/>
    </row>
    <row r="136" spans="1:55" ht="14.25">
      <c r="A136" s="34"/>
      <c r="B136" s="781"/>
      <c r="C136" s="947" t="s">
        <v>63</v>
      </c>
      <c r="D136" s="959">
        <f>D132/J135</f>
        <v>0.70085547050877983</v>
      </c>
      <c r="E136" s="960">
        <f>E132/J135</f>
        <v>1.5080294161788984E-2</v>
      </c>
      <c r="F136" s="961">
        <f t="shared" ref="F136:F140" si="18">SUM(D136:E136)</f>
        <v>0.71593576467056885</v>
      </c>
      <c r="G136" s="781"/>
      <c r="H136" s="1224" t="s">
        <v>106</v>
      </c>
      <c r="I136" s="1018"/>
      <c r="J136" s="941">
        <f>J135/5</f>
        <v>33315</v>
      </c>
      <c r="K136" s="34"/>
      <c r="L136" s="34"/>
      <c r="M136" s="34"/>
      <c r="N136" s="34"/>
      <c r="O136" s="34"/>
      <c r="P136" s="34"/>
      <c r="Q136" s="34"/>
      <c r="R136" s="34"/>
      <c r="S136" s="34"/>
      <c r="T136" s="34"/>
      <c r="U136" s="34"/>
      <c r="V136" s="34"/>
      <c r="W136" s="34"/>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row>
    <row r="137" spans="1:55" ht="14.25">
      <c r="A137" s="278"/>
      <c r="B137" s="905"/>
      <c r="C137" s="939" t="s">
        <v>68</v>
      </c>
      <c r="D137" s="959">
        <f>F132/J135</f>
        <v>0.21556656160888488</v>
      </c>
      <c r="E137" s="960">
        <f>G132/J135</f>
        <v>1.3537445595077292E-2</v>
      </c>
      <c r="F137" s="961">
        <f t="shared" si="18"/>
        <v>0.22910400720396218</v>
      </c>
      <c r="G137" s="905"/>
      <c r="H137" s="1224" t="s">
        <v>2150</v>
      </c>
      <c r="I137" s="1018"/>
      <c r="J137" s="962">
        <f>SUM((D132*5)+(E132*50)+(F132*20)+(G132*100)+(H132*100)+(I132*400)+(J132*400)+(K132*1600))/C132</f>
        <v>102.81509830406723</v>
      </c>
      <c r="K137" s="34"/>
      <c r="L137" s="34"/>
      <c r="M137" s="34"/>
      <c r="N137" s="34"/>
      <c r="O137" s="34"/>
      <c r="P137" s="34"/>
      <c r="Q137" s="34"/>
      <c r="R137" s="34"/>
      <c r="S137" s="34"/>
      <c r="T137" s="34"/>
      <c r="U137" s="34"/>
      <c r="V137" s="34"/>
      <c r="W137" s="34"/>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row>
    <row r="138" spans="1:55" ht="14.25">
      <c r="A138" s="278"/>
      <c r="B138" s="905"/>
      <c r="C138" s="939" t="s">
        <v>69</v>
      </c>
      <c r="D138" s="959">
        <f>H132/J135</f>
        <v>4.146480564310371E-2</v>
      </c>
      <c r="E138" s="960">
        <f>I132/J135</f>
        <v>2.4433438391115113E-3</v>
      </c>
      <c r="F138" s="961">
        <f t="shared" si="18"/>
        <v>4.390814948221522E-2</v>
      </c>
      <c r="G138" s="278"/>
      <c r="H138" s="278"/>
      <c r="I138" s="278"/>
      <c r="J138" s="278"/>
      <c r="K138" s="278"/>
      <c r="L138" s="278"/>
      <c r="M138" s="278"/>
      <c r="N138" s="278"/>
      <c r="O138" s="278"/>
      <c r="P138" s="278"/>
      <c r="Q138" s="278"/>
      <c r="R138" s="278"/>
      <c r="S138" s="278"/>
      <c r="T138" s="278"/>
      <c r="U138" s="278"/>
      <c r="V138" s="278"/>
      <c r="W138" s="278"/>
      <c r="X138" s="778"/>
      <c r="Y138" s="778"/>
      <c r="Z138" s="778"/>
      <c r="AA138" s="778"/>
      <c r="AB138" s="778"/>
      <c r="AC138" s="778"/>
      <c r="AD138" s="778"/>
      <c r="AE138" s="778"/>
      <c r="AF138" s="778"/>
      <c r="AG138" s="778"/>
      <c r="AH138" s="778"/>
      <c r="AI138" s="778"/>
      <c r="AJ138" s="778"/>
      <c r="AK138" s="778"/>
      <c r="AL138" s="778"/>
      <c r="AM138" s="778"/>
      <c r="AN138" s="778"/>
      <c r="AO138" s="778"/>
      <c r="AP138" s="778"/>
      <c r="AQ138" s="778"/>
      <c r="AR138" s="778"/>
      <c r="AS138" s="778"/>
      <c r="AT138" s="778"/>
      <c r="AU138" s="778"/>
      <c r="AV138" s="778"/>
      <c r="AW138" s="778"/>
      <c r="AX138" s="778"/>
      <c r="AY138" s="778"/>
      <c r="AZ138" s="778"/>
      <c r="BA138" s="778"/>
      <c r="BB138" s="778"/>
      <c r="BC138" s="778"/>
    </row>
    <row r="139" spans="1:55" ht="14.25">
      <c r="A139" s="278"/>
      <c r="B139" s="905"/>
      <c r="C139" s="939" t="s">
        <v>70</v>
      </c>
      <c r="D139" s="959">
        <f>J132/J135</f>
        <v>1.0139576767221973E-2</v>
      </c>
      <c r="E139" s="960">
        <f>K132/J135</f>
        <v>9.1250187603181753E-4</v>
      </c>
      <c r="F139" s="961">
        <f t="shared" si="18"/>
        <v>1.105207864325379E-2</v>
      </c>
      <c r="G139" s="34"/>
      <c r="H139" s="963">
        <f>G139*(1/33)</f>
        <v>0</v>
      </c>
      <c r="I139" s="34"/>
      <c r="J139" s="34"/>
      <c r="K139" s="34"/>
      <c r="L139" s="34"/>
      <c r="M139" s="34"/>
      <c r="N139" s="34"/>
      <c r="O139" s="34"/>
      <c r="P139" s="34"/>
      <c r="Q139" s="34"/>
      <c r="R139" s="34"/>
      <c r="S139" s="34"/>
      <c r="T139" s="34"/>
      <c r="U139" s="34"/>
      <c r="V139" s="34"/>
      <c r="W139" s="34"/>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row>
    <row r="140" spans="1:55" ht="14.25">
      <c r="A140" s="278"/>
      <c r="B140" s="905"/>
      <c r="C140" s="957"/>
      <c r="D140" s="959">
        <f t="shared" ref="D140:E140" si="19">SUM(D136:D139)</f>
        <v>0.96802641452799043</v>
      </c>
      <c r="E140" s="960">
        <f t="shared" si="19"/>
        <v>3.1973585472009604E-2</v>
      </c>
      <c r="F140" s="961">
        <f t="shared" si="18"/>
        <v>1</v>
      </c>
      <c r="G140" s="34"/>
      <c r="H140" s="34"/>
      <c r="I140" s="34"/>
      <c r="J140" s="34"/>
      <c r="K140" s="34"/>
      <c r="L140" s="34"/>
      <c r="M140" s="34"/>
      <c r="N140" s="34"/>
      <c r="O140" s="34"/>
      <c r="P140" s="34"/>
      <c r="Q140" s="34"/>
      <c r="R140" s="34"/>
      <c r="S140" s="34"/>
      <c r="T140" s="34"/>
      <c r="U140" s="34"/>
      <c r="V140" s="34"/>
      <c r="W140" s="34"/>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row>
    <row r="141" spans="1:55" ht="12.75">
      <c r="A141" s="278"/>
      <c r="B141" s="278"/>
      <c r="C141" s="278"/>
      <c r="D141" s="278"/>
      <c r="E141" s="278"/>
      <c r="F141" s="278"/>
      <c r="G141" s="278"/>
      <c r="H141" s="34"/>
      <c r="I141" s="34"/>
      <c r="J141" s="34"/>
      <c r="K141" s="34"/>
      <c r="L141" s="34"/>
      <c r="M141" s="34"/>
      <c r="N141" s="34"/>
      <c r="O141" s="34"/>
      <c r="P141" s="34"/>
      <c r="Q141" s="34"/>
      <c r="R141" s="34"/>
      <c r="S141" s="34"/>
      <c r="T141" s="34"/>
      <c r="U141" s="34"/>
      <c r="V141" s="34"/>
      <c r="W141" s="34"/>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row>
    <row r="142" spans="1:55" ht="12.75">
      <c r="A142" s="896"/>
      <c r="B142" s="1205" t="s">
        <v>2151</v>
      </c>
      <c r="C142" s="1007"/>
      <c r="D142" s="1007"/>
      <c r="E142" s="1007"/>
      <c r="F142" s="1007"/>
      <c r="G142" s="1007"/>
      <c r="H142" s="1007"/>
      <c r="I142" s="1007"/>
      <c r="J142" s="1007"/>
      <c r="K142" s="1007"/>
      <c r="L142" s="897"/>
      <c r="M142" s="897"/>
      <c r="N142" s="897"/>
      <c r="O142" s="897"/>
      <c r="P142" s="897"/>
      <c r="Q142" s="897"/>
      <c r="R142" s="897"/>
      <c r="S142" s="34"/>
      <c r="T142" s="34"/>
      <c r="U142" s="34"/>
      <c r="V142" s="34"/>
      <c r="W142" s="34"/>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row>
    <row r="143" spans="1:55" ht="12.75">
      <c r="B143" s="964"/>
      <c r="C143" s="964"/>
      <c r="D143" s="964"/>
      <c r="E143" s="964"/>
      <c r="F143" s="964"/>
      <c r="G143" s="964"/>
      <c r="H143" s="964"/>
    </row>
    <row r="144" spans="1:55" ht="12.75">
      <c r="B144" s="1221" t="s">
        <v>2152</v>
      </c>
      <c r="C144" s="1102"/>
      <c r="D144" s="1102"/>
      <c r="E144" s="1102"/>
      <c r="F144" s="1102"/>
      <c r="G144" s="1102"/>
      <c r="H144" s="1030"/>
    </row>
    <row r="145" spans="2:8" ht="12.75">
      <c r="B145" s="965" t="s">
        <v>2153</v>
      </c>
      <c r="C145" s="965" t="s">
        <v>2154</v>
      </c>
      <c r="D145" s="966" t="s">
        <v>2155</v>
      </c>
      <c r="E145" s="1223" t="s">
        <v>2156</v>
      </c>
      <c r="F145" s="1102"/>
      <c r="G145" s="1102"/>
      <c r="H145" s="1030"/>
    </row>
    <row r="146" spans="2:8" ht="12.75">
      <c r="B146" s="967">
        <v>20</v>
      </c>
      <c r="C146" s="1201" t="s">
        <v>2157</v>
      </c>
      <c r="D146" s="967">
        <v>55</v>
      </c>
      <c r="E146" s="1216" t="s">
        <v>2158</v>
      </c>
      <c r="F146" s="1007"/>
      <c r="G146" s="1007"/>
      <c r="H146" s="1038"/>
    </row>
    <row r="147" spans="2:8" ht="12.75">
      <c r="B147" s="968">
        <v>19</v>
      </c>
      <c r="C147" s="1175"/>
      <c r="D147" s="968">
        <v>60</v>
      </c>
      <c r="E147" s="1216" t="s">
        <v>2159</v>
      </c>
      <c r="F147" s="1007"/>
      <c r="G147" s="1007"/>
      <c r="H147" s="1038"/>
    </row>
    <row r="148" spans="2:8" ht="12.75">
      <c r="B148" s="968">
        <v>18</v>
      </c>
      <c r="C148" s="1175"/>
      <c r="D148" s="968">
        <v>65</v>
      </c>
      <c r="E148" s="1216" t="s">
        <v>2160</v>
      </c>
      <c r="F148" s="1007"/>
      <c r="G148" s="1007"/>
      <c r="H148" s="1038"/>
    </row>
    <row r="149" spans="2:8" ht="12.75">
      <c r="B149" s="968">
        <v>17</v>
      </c>
      <c r="C149" s="1175"/>
      <c r="D149" s="968">
        <v>70</v>
      </c>
      <c r="E149" s="1216" t="s">
        <v>2161</v>
      </c>
      <c r="F149" s="1007"/>
      <c r="G149" s="1007"/>
      <c r="H149" s="1038"/>
    </row>
    <row r="150" spans="2:8" ht="12.75">
      <c r="B150" s="969">
        <v>16</v>
      </c>
      <c r="C150" s="1170"/>
      <c r="D150" s="968">
        <v>75</v>
      </c>
      <c r="E150" s="1219" t="s">
        <v>2162</v>
      </c>
      <c r="F150" s="1034"/>
      <c r="G150" s="1034"/>
      <c r="H150" s="1018"/>
    </row>
    <row r="151" spans="2:8" ht="12.75">
      <c r="B151" s="970">
        <v>15</v>
      </c>
      <c r="C151" s="1202" t="s">
        <v>2163</v>
      </c>
      <c r="D151" s="970">
        <v>155</v>
      </c>
      <c r="E151" s="1213" t="s">
        <v>2164</v>
      </c>
      <c r="F151" s="1014"/>
      <c r="G151" s="1014"/>
      <c r="H151" s="1016"/>
    </row>
    <row r="152" spans="2:8" ht="12.75">
      <c r="B152" s="971">
        <v>14</v>
      </c>
      <c r="C152" s="1175"/>
      <c r="D152" s="971">
        <v>160</v>
      </c>
      <c r="E152" s="1212" t="s">
        <v>2165</v>
      </c>
      <c r="F152" s="1007"/>
      <c r="G152" s="1007"/>
      <c r="H152" s="1038"/>
    </row>
    <row r="153" spans="2:8" ht="12.75">
      <c r="B153" s="971">
        <v>13</v>
      </c>
      <c r="C153" s="1175"/>
      <c r="D153" s="971">
        <v>165</v>
      </c>
      <c r="E153" s="1212" t="s">
        <v>2166</v>
      </c>
      <c r="F153" s="1007"/>
      <c r="G153" s="1007"/>
      <c r="H153" s="1038"/>
    </row>
    <row r="154" spans="2:8" ht="12.75">
      <c r="B154" s="971">
        <v>12</v>
      </c>
      <c r="C154" s="1175"/>
      <c r="D154" s="971">
        <v>170</v>
      </c>
      <c r="E154" s="1212" t="s">
        <v>2167</v>
      </c>
      <c r="F154" s="1007"/>
      <c r="G154" s="1007"/>
      <c r="H154" s="1038"/>
    </row>
    <row r="155" spans="2:8" ht="12.75">
      <c r="B155" s="972">
        <v>11</v>
      </c>
      <c r="C155" s="1170"/>
      <c r="D155" s="972">
        <v>175</v>
      </c>
      <c r="E155" s="1214" t="s">
        <v>2168</v>
      </c>
      <c r="F155" s="1034"/>
      <c r="G155" s="1034"/>
      <c r="H155" s="1018"/>
    </row>
    <row r="156" spans="2:8" ht="12.75">
      <c r="B156" s="967">
        <v>10</v>
      </c>
      <c r="C156" s="1201" t="s">
        <v>2169</v>
      </c>
      <c r="D156" s="968">
        <v>205</v>
      </c>
      <c r="E156" s="1215" t="s">
        <v>2170</v>
      </c>
      <c r="F156" s="1014"/>
      <c r="G156" s="1014"/>
      <c r="H156" s="1016"/>
    </row>
    <row r="157" spans="2:8" ht="12.75">
      <c r="B157" s="968">
        <v>9</v>
      </c>
      <c r="C157" s="1175"/>
      <c r="D157" s="968">
        <v>210</v>
      </c>
      <c r="E157" s="1216" t="s">
        <v>2171</v>
      </c>
      <c r="F157" s="1007"/>
      <c r="G157" s="1007"/>
      <c r="H157" s="1038"/>
    </row>
    <row r="158" spans="2:8" ht="12.75">
      <c r="B158" s="968">
        <v>8</v>
      </c>
      <c r="C158" s="1175"/>
      <c r="D158" s="968">
        <v>215</v>
      </c>
      <c r="E158" s="1216" t="s">
        <v>2172</v>
      </c>
      <c r="F158" s="1007"/>
      <c r="G158" s="1007"/>
      <c r="H158" s="1038"/>
    </row>
    <row r="159" spans="2:8" ht="12.75">
      <c r="B159" s="968">
        <v>7</v>
      </c>
      <c r="C159" s="1175"/>
      <c r="D159" s="968">
        <v>220</v>
      </c>
      <c r="E159" s="1216" t="s">
        <v>2173</v>
      </c>
      <c r="F159" s="1007"/>
      <c r="G159" s="1007"/>
      <c r="H159" s="1038"/>
    </row>
    <row r="160" spans="2:8" ht="12.75">
      <c r="B160" s="969">
        <v>6</v>
      </c>
      <c r="C160" s="1170"/>
      <c r="D160" s="968">
        <v>225</v>
      </c>
      <c r="E160" s="1219" t="s">
        <v>2174</v>
      </c>
      <c r="F160" s="1034"/>
      <c r="G160" s="1034"/>
      <c r="H160" s="1018"/>
    </row>
    <row r="161" spans="1:21" ht="12.75">
      <c r="B161" s="970">
        <v>5</v>
      </c>
      <c r="C161" s="1202" t="s">
        <v>2175</v>
      </c>
      <c r="D161" s="970">
        <v>505</v>
      </c>
      <c r="E161" s="1213" t="s">
        <v>2176</v>
      </c>
      <c r="F161" s="1014"/>
      <c r="G161" s="1014"/>
      <c r="H161" s="1016"/>
    </row>
    <row r="162" spans="1:21" ht="12.75">
      <c r="B162" s="971">
        <v>4</v>
      </c>
      <c r="C162" s="1175"/>
      <c r="D162" s="971">
        <v>510</v>
      </c>
      <c r="E162" s="1212" t="s">
        <v>2177</v>
      </c>
      <c r="F162" s="1007"/>
      <c r="G162" s="1007"/>
      <c r="H162" s="1038"/>
    </row>
    <row r="163" spans="1:21" ht="12.75">
      <c r="B163" s="971">
        <v>3</v>
      </c>
      <c r="C163" s="1175"/>
      <c r="D163" s="971">
        <v>515</v>
      </c>
      <c r="E163" s="1212" t="s">
        <v>2178</v>
      </c>
      <c r="F163" s="1007"/>
      <c r="G163" s="1007"/>
      <c r="H163" s="1038"/>
    </row>
    <row r="164" spans="1:21" ht="12.75">
      <c r="B164" s="971">
        <v>2</v>
      </c>
      <c r="C164" s="1175"/>
      <c r="D164" s="971">
        <v>520</v>
      </c>
      <c r="E164" s="1212" t="s">
        <v>2179</v>
      </c>
      <c r="F164" s="1007"/>
      <c r="G164" s="1007"/>
      <c r="H164" s="1038"/>
    </row>
    <row r="165" spans="1:21" ht="12.75">
      <c r="B165" s="972">
        <v>1</v>
      </c>
      <c r="C165" s="1170"/>
      <c r="D165" s="972">
        <v>525</v>
      </c>
      <c r="E165" s="1214" t="s">
        <v>2180</v>
      </c>
      <c r="F165" s="1034"/>
      <c r="G165" s="1034"/>
      <c r="H165" s="1018"/>
    </row>
    <row r="166" spans="1:21" ht="12.75">
      <c r="B166" s="973" t="s">
        <v>2181</v>
      </c>
      <c r="C166" s="973" t="s">
        <v>2182</v>
      </c>
      <c r="D166" s="974">
        <v>550</v>
      </c>
      <c r="E166" s="1218" t="s">
        <v>2183</v>
      </c>
      <c r="F166" s="1102"/>
      <c r="G166" s="1102"/>
      <c r="H166" s="1030"/>
    </row>
    <row r="168" spans="1:21" ht="12.75">
      <c r="A168" s="896"/>
      <c r="B168" s="1205" t="s">
        <v>2184</v>
      </c>
      <c r="C168" s="1007"/>
      <c r="D168" s="1007"/>
      <c r="E168" s="1007"/>
      <c r="F168" s="1007"/>
      <c r="G168" s="1007"/>
      <c r="H168" s="1007"/>
      <c r="I168" s="1007"/>
      <c r="J168" s="1007"/>
      <c r="K168" s="1007"/>
      <c r="L168" s="897"/>
      <c r="M168" s="897"/>
      <c r="N168" s="897"/>
      <c r="O168" s="897"/>
      <c r="P168" s="897"/>
      <c r="Q168" s="897"/>
      <c r="R168" s="897"/>
    </row>
    <row r="170" spans="1:21" ht="12.75">
      <c r="B170" s="1217" t="s">
        <v>2185</v>
      </c>
      <c r="C170" s="1102"/>
      <c r="D170" s="1102"/>
      <c r="E170" s="1102"/>
      <c r="F170" s="1102"/>
      <c r="G170" s="1102"/>
      <c r="H170" s="1102"/>
      <c r="I170" s="1102"/>
      <c r="J170" s="1102"/>
      <c r="K170" s="1030"/>
      <c r="O170" s="975" t="s">
        <v>1308</v>
      </c>
      <c r="Q170" s="975" t="s">
        <v>1093</v>
      </c>
      <c r="S170" s="975" t="s">
        <v>1130</v>
      </c>
      <c r="U170" s="976" t="s">
        <v>2186</v>
      </c>
    </row>
    <row r="171" spans="1:21" ht="12.75">
      <c r="B171" s="977" t="s">
        <v>2187</v>
      </c>
      <c r="C171" s="977" t="s">
        <v>67</v>
      </c>
      <c r="D171" s="977" t="s">
        <v>2188</v>
      </c>
      <c r="E171" s="977" t="s">
        <v>125</v>
      </c>
      <c r="F171" s="977" t="s">
        <v>295</v>
      </c>
      <c r="G171" s="977" t="s">
        <v>1239</v>
      </c>
      <c r="H171" s="977" t="s">
        <v>2189</v>
      </c>
      <c r="I171" s="977" t="s">
        <v>2190</v>
      </c>
      <c r="J171" s="977" t="s">
        <v>1010</v>
      </c>
      <c r="K171" s="977" t="s">
        <v>2191</v>
      </c>
      <c r="O171" s="802"/>
      <c r="Q171" s="975" t="s">
        <v>1136</v>
      </c>
      <c r="S171" s="802"/>
      <c r="U171" s="802" t="s">
        <v>1218</v>
      </c>
    </row>
    <row r="172" spans="1:21" ht="12.75">
      <c r="B172" s="978">
        <v>0</v>
      </c>
      <c r="C172" s="978">
        <f>COUNTIFS(Cards!$B$2:$B1023, B172, Cards!$K$2:$K1023, "Minion")</f>
        <v>3</v>
      </c>
      <c r="D172" s="979">
        <f>SUMIFS(Cards!$M$2:$M1023, Cards!$B$2:$B1023, B172, Cards!$K$2:$K1023, "Minion")/C172</f>
        <v>0.66666666666666663</v>
      </c>
      <c r="E172" s="980">
        <f>SUMIFS(Cards!$N$2:$N1023, Cards!$B$2:$B1023, B172, Cards!$K$2:$K1023, "Minion")/C172</f>
        <v>1.3333333333333333</v>
      </c>
      <c r="F172" s="981">
        <f>COUNTIFS(Cards!$P$2:$P1023, "*Charge*", Cards!$K$2:$K1023, "Minion", Cards!$B$2:B1023,B172 )/C172</f>
        <v>0</v>
      </c>
      <c r="G172" s="982">
        <f>COUNTIFS(Cards!$P$2:$P1023, "*Taunt*", Cards!$K$2:$K1023, "Minion", Cards!$B$2:B1023,B172 )/C172</f>
        <v>0.33333333333333331</v>
      </c>
      <c r="H172" s="983">
        <f>COUNTIFS(Cards!$P$2:$P1023, "*Spell Damage*", Cards!$K$2:$K1023, "Minion", Cards!$B$2:B1023,B172 )/C172</f>
        <v>0</v>
      </c>
      <c r="I172" s="984">
        <f>COUNTIFS(Cards!$P$2:$P1023, "*Deathrattle*", Cards!$K$2:$K1023, "Minion", Cards!$B$2:B1023,B172 )/C172</f>
        <v>0</v>
      </c>
      <c r="J172" s="982">
        <f>COUNTIFS(Cards!$P$2:$P1023, "*Divine Shield*", Cards!$K$2:$K1023, "Minion", Cards!$B$2:B1023,B172 )/C172</f>
        <v>0</v>
      </c>
      <c r="K172" s="983">
        <f>COUNTIFS(Cards!$P$2:$P1023, "*Battlecry*", Cards!$K$2:$K1023, "Minion", Cards!$B$2:B1023,B172 )/C172</f>
        <v>0</v>
      </c>
      <c r="O172" s="975" t="s">
        <v>1154</v>
      </c>
      <c r="Q172" s="975" t="s">
        <v>1543</v>
      </c>
      <c r="S172" s="802" t="s">
        <v>1226</v>
      </c>
      <c r="U172" s="802" t="s">
        <v>2192</v>
      </c>
    </row>
    <row r="173" spans="1:21" ht="12.75">
      <c r="B173" s="978">
        <v>1</v>
      </c>
      <c r="C173" s="978">
        <f>COUNTIFS(Cards!$B$2:$B1023, B173, Cards!$K$2:$K1023, "Minion")</f>
        <v>56</v>
      </c>
      <c r="D173" s="979">
        <f>SUMIFS(Cards!$M$2:$M1023, Cards!$B$2:$B1023, B173, Cards!$K$2:$K1023, "Minion")/C173</f>
        <v>1.3214285714285714</v>
      </c>
      <c r="E173" s="980">
        <f>SUMIFS(Cards!$N$2:$N1023, Cards!$B$2:$B1023, B173, Cards!$K$2:$K1023, "Minion")/C173</f>
        <v>1.625</v>
      </c>
      <c r="F173" s="981">
        <f>COUNTIFS(Cards!$P$2:$P1023, "*Charge*", Cards!$K$2:$K1023, "Minion", Cards!$B$2:B1023,B173 )/C173</f>
        <v>3.5714285714285712E-2</v>
      </c>
      <c r="G173" s="982">
        <f>COUNTIFS(Cards!$P$2:$P1023, "*Taunt*", Cards!$K$2:$K1023, "Minion", Cards!$B$2:B1023,B173 )/C173</f>
        <v>7.1428571428571425E-2</v>
      </c>
      <c r="H173" s="983">
        <f>COUNTIFS(Cards!$P$2:$P1023, "*Spell Damage*", Cards!$K$2:$K1023, "Minion", Cards!$B$2:B1023,B173 )/C173</f>
        <v>0</v>
      </c>
      <c r="I173" s="984">
        <f>COUNTIFS(Cards!$P$2:$P1023, "*Deathrattle*", Cards!$K$2:$K1023, "Minion", Cards!$B$2:B1023,B173 )/C173</f>
        <v>0.16071428571428573</v>
      </c>
      <c r="J173" s="982">
        <f>COUNTIFS(Cards!$P$2:$P1023, "*Divine Shield*", Cards!$K$2:$K1023, "Minion", Cards!$B$2:B1023,B173 )/C173</f>
        <v>1.7857142857142856E-2</v>
      </c>
      <c r="K173" s="983">
        <f>COUNTIFS(Cards!$P$2:$P1023, "*Battlecry*", Cards!$K$2:$K1023, "Minion", Cards!$B$2:B1023,B173 )/C173</f>
        <v>0.26785714285714285</v>
      </c>
      <c r="L173" s="802" t="s">
        <v>2193</v>
      </c>
      <c r="O173" s="975" t="s">
        <v>1583</v>
      </c>
      <c r="Q173" s="975" t="s">
        <v>703</v>
      </c>
      <c r="S173" s="802" t="s">
        <v>2194</v>
      </c>
      <c r="U173" s="802" t="s">
        <v>1256</v>
      </c>
    </row>
    <row r="174" spans="1:21" ht="12.75">
      <c r="B174" s="978">
        <v>2</v>
      </c>
      <c r="C174" s="978">
        <f>COUNTIFS(Cards!$B$2:$B1023, B174, Cards!$K$2:$K1023, "Minion")</f>
        <v>97</v>
      </c>
      <c r="D174" s="979">
        <f>SUMIFS(Cards!$M$2:$M1023, Cards!$B$2:$B1023, B174, Cards!$K$2:$K1023, "Minion")/C174</f>
        <v>2</v>
      </c>
      <c r="E174" s="980">
        <f>SUMIFS(Cards!$N$2:$N1023, Cards!$B$2:$B1023, B174, Cards!$K$2:$K1023, "Minion")/C174</f>
        <v>2.463917525773196</v>
      </c>
      <c r="F174" s="981">
        <f>COUNTIFS(Cards!$P$2:$P1023, "*Charge*", Cards!$K$2:$K1023, "Minion", Cards!$B$2:B1023,B174 )/C174</f>
        <v>1.0309278350515464E-2</v>
      </c>
      <c r="G174" s="982">
        <f>COUNTIFS(Cards!$P$2:$P1023, "*Taunt*", Cards!$K$2:$K1023, "Minion", Cards!$B$2:B1023,B174 )/C174</f>
        <v>6.1855670103092786E-2</v>
      </c>
      <c r="H174" s="983">
        <f>COUNTIFS(Cards!$P$2:$P1023, "*Spell Damage*", Cards!$K$2:$K1023, "Minion", Cards!$B$2:B1023,B174 )/C174</f>
        <v>3.0927835051546393E-2</v>
      </c>
      <c r="I174" s="984">
        <f>COUNTIFS(Cards!$P$2:$P1023, "*Deathrattle*", Cards!$K$2:$K1023, "Minion", Cards!$B$2:B1023,B174 )/C174</f>
        <v>8.247422680412371E-2</v>
      </c>
      <c r="J174" s="982">
        <f>COUNTIFS(Cards!$P$2:$P1023, "*Divine Shield*", Cards!$K$2:$K1023, "Minion", Cards!$B$2:B1023,B174 )/C174</f>
        <v>2.0618556701030927E-2</v>
      </c>
      <c r="K174" s="983">
        <f>COUNTIFS(Cards!$P$2:$P1023, "*Battlecry*", Cards!$K$2:$K1023, "Minion", Cards!$B$2:B1023,B174 )/C174</f>
        <v>0.32989690721649484</v>
      </c>
      <c r="L174" s="802" t="s">
        <v>2195</v>
      </c>
      <c r="O174" s="975" t="s">
        <v>434</v>
      </c>
      <c r="Q174" s="975" t="s">
        <v>1101</v>
      </c>
      <c r="S174" s="802" t="s">
        <v>1244</v>
      </c>
    </row>
    <row r="175" spans="1:21" ht="12.75">
      <c r="B175" s="978">
        <v>3</v>
      </c>
      <c r="C175" s="978">
        <f>COUNTIFS(Cards!$B$2:$B1023, B175, Cards!$K$2:$K1023, "Minion")</f>
        <v>107</v>
      </c>
      <c r="D175" s="979">
        <f>SUMIFS(Cards!$M$2:$M1023, Cards!$B$2:$B1023, B175, Cards!$K$2:$K1023, "Minion")/C175</f>
        <v>2.5607476635514019</v>
      </c>
      <c r="E175" s="980">
        <f>SUMIFS(Cards!$N$2:$N1023, Cards!$B$2:$B1023, B175, Cards!$K$2:$K1023, "Minion")/C175</f>
        <v>3.1869158878504673</v>
      </c>
      <c r="F175" s="981">
        <f>COUNTIFS(Cards!$P$2:$P1023, "*Charge*", Cards!$K$2:$K1023, "Minion", Cards!$B$2:B1023,B175 )/C175</f>
        <v>2.8037383177570093E-2</v>
      </c>
      <c r="G175" s="982">
        <f>COUNTIFS(Cards!$P$2:$P1023, "*Taunt*", Cards!$K$2:$K1023, "Minion", Cards!$B$2:B1023,B175 )/C175</f>
        <v>8.4112149532710276E-2</v>
      </c>
      <c r="H175" s="983">
        <f>COUNTIFS(Cards!$P$2:$P1023, "*Spell Damage*", Cards!$K$2:$K1023, "Minion", Cards!$B$2:B1023,B175 )/C175</f>
        <v>1.8691588785046728E-2</v>
      </c>
      <c r="I175" s="984">
        <f>COUNTIFS(Cards!$P$2:$P1023, "*Deathrattle*", Cards!$K$2:$K1023, "Minion", Cards!$B$2:B1023,B175 )/C175</f>
        <v>5.6074766355140186E-2</v>
      </c>
      <c r="J175" s="982">
        <f>COUNTIFS(Cards!$P$2:$P1023, "*Divine Shield*", Cards!$K$2:$K1023, "Minion", Cards!$B$2:B1023,B175 )/C175</f>
        <v>9.3457943925233638E-3</v>
      </c>
      <c r="K175" s="983">
        <f>COUNTIFS(Cards!$P$2:$P1023, "*Battlecry*", Cards!$K$2:$K1023, "Minion", Cards!$B$2:B1023,B175 )/C175</f>
        <v>0.3364485981308411</v>
      </c>
      <c r="O175" s="975" t="s">
        <v>1480</v>
      </c>
      <c r="Q175" s="802" t="s">
        <v>2196</v>
      </c>
      <c r="S175" s="802"/>
    </row>
    <row r="176" spans="1:21" ht="12.75">
      <c r="B176" s="978">
        <v>4</v>
      </c>
      <c r="C176" s="978">
        <f>COUNTIFS(Cards!$B$2:$B1023, B176, Cards!$K$2:$K1023, "Minion")</f>
        <v>106</v>
      </c>
      <c r="D176" s="979">
        <f>SUMIFS(Cards!$M$2:$M1023, Cards!$B$2:$B1023, B176, Cards!$K$2:$K1023, "Minion")/C176</f>
        <v>3.1792452830188678</v>
      </c>
      <c r="E176" s="980">
        <f>SUMIFS(Cards!$N$2:$N1023, Cards!$B$2:$B1023, B176, Cards!$K$2:$K1023, "Minion")/C176</f>
        <v>4.1792452830188678</v>
      </c>
      <c r="F176" s="981">
        <f>COUNTIFS(Cards!$P$2:$P1023, "*Charge*", Cards!$K$2:$K1023, "Minion", Cards!$B$2:B1023,B176 )/C176</f>
        <v>2.8301886792452831E-2</v>
      </c>
      <c r="G176" s="982">
        <f>COUNTIFS(Cards!$P$2:$P1023, "*Taunt*", Cards!$K$2:$K1023, "Minion", Cards!$B$2:B1023,B176 )/C176</f>
        <v>9.4339622641509441E-2</v>
      </c>
      <c r="H176" s="983">
        <f>COUNTIFS(Cards!$P$2:$P1023, "*Spell Damage*", Cards!$K$2:$K1023, "Minion", Cards!$B$2:B1023,B176 )/C176</f>
        <v>5.6603773584905662E-2</v>
      </c>
      <c r="I176" s="984">
        <f>COUNTIFS(Cards!$P$2:$P1023, "*Deathrattle*", Cards!$K$2:$K1023, "Minion", Cards!$B$2:B1023,B176 )/C176</f>
        <v>0.12264150943396226</v>
      </c>
      <c r="J176" s="982">
        <f>COUNTIFS(Cards!$P$2:$P1023, "*Divine Shield*", Cards!$K$2:$K1023, "Minion", Cards!$B$2:B1023,B176 )/C176</f>
        <v>1.8867924528301886E-2</v>
      </c>
      <c r="K176" s="983">
        <f>COUNTIFS(Cards!$P$2:$P1023, "*Battlecry*", Cards!$K$2:$K1023, "Minion", Cards!$B$2:B1023,B176 )/C176</f>
        <v>0.37735849056603776</v>
      </c>
      <c r="L176" s="1220" t="s">
        <v>2197</v>
      </c>
      <c r="M176" s="1007"/>
      <c r="O176" s="802" t="s">
        <v>1430</v>
      </c>
      <c r="Q176" s="975" t="s">
        <v>1615</v>
      </c>
    </row>
    <row r="177" spans="2:17" ht="12.75">
      <c r="B177" s="978">
        <v>5</v>
      </c>
      <c r="C177" s="978">
        <f>COUNTIFS(Cards!$B$2:$B1023, B177, Cards!$K$2:$K1023, "Minion")</f>
        <v>81</v>
      </c>
      <c r="D177" s="979">
        <f>SUMIFS(Cards!$M$2:$M1023, Cards!$B$2:$B1023, B177, Cards!$K$2:$K1023, "Minion")/C177</f>
        <v>4.1975308641975309</v>
      </c>
      <c r="E177" s="980">
        <f>SUMIFS(Cards!$N$2:$N1023, Cards!$B$2:$B1023, B177, Cards!$K$2:$K1023, "Minion")/C177</f>
        <v>4.6913580246913584</v>
      </c>
      <c r="F177" s="981">
        <f>COUNTIFS(Cards!$P$2:$P1023, "*Charge*", Cards!$K$2:$K1023, "Minion", Cards!$B$2:B1023,B177 )/C177</f>
        <v>3.7037037037037035E-2</v>
      </c>
      <c r="G177" s="982">
        <f>COUNTIFS(Cards!$P$2:$P1023, "*Taunt*", Cards!$K$2:$K1023, "Minion", Cards!$B$2:B1023,B177 )/C177</f>
        <v>9.8765432098765427E-2</v>
      </c>
      <c r="H177" s="983">
        <f>COUNTIFS(Cards!$P$2:$P1023, "*Spell Damage*", Cards!$K$2:$K1023, "Minion", Cards!$B$2:B1023,B177 )/C177</f>
        <v>1.2345679012345678E-2</v>
      </c>
      <c r="I177" s="984">
        <f>COUNTIFS(Cards!$P$2:$P1023, "*Deathrattle*", Cards!$K$2:$K1023, "Minion", Cards!$B$2:B1023,B177 )/C177</f>
        <v>7.407407407407407E-2</v>
      </c>
      <c r="J177" s="982">
        <f>COUNTIFS(Cards!$P$2:$P1023, "*Divine Shield*", Cards!$K$2:$K1023, "Minion", Cards!$B$2:B1023,B177 )/C177</f>
        <v>1.2345679012345678E-2</v>
      </c>
      <c r="K177" s="983">
        <f>COUNTIFS(Cards!$P$2:$P1023, "*Battlecry*", Cards!$K$2:$K1023, "Minion", Cards!$B$2:B1023,B177 )/C177</f>
        <v>0.43209876543209874</v>
      </c>
      <c r="O177" s="975" t="s">
        <v>1442</v>
      </c>
      <c r="Q177" s="975" t="s">
        <v>1296</v>
      </c>
    </row>
    <row r="178" spans="2:17" ht="12.75">
      <c r="B178" s="978">
        <v>6</v>
      </c>
      <c r="C178" s="978">
        <f>COUNTIFS(Cards!$B$2:$B1023, B178, Cards!$K$2:$K1023, "Minion")</f>
        <v>63</v>
      </c>
      <c r="D178" s="979">
        <f>SUMIFS(Cards!$M$2:$M1023, Cards!$B$2:$B1023, B178, Cards!$K$2:$K1023, "Minion")/C178</f>
        <v>5.0952380952380949</v>
      </c>
      <c r="E178" s="980">
        <f>SUMIFS(Cards!$N$2:$N1023, Cards!$B$2:$B1023, B178, Cards!$K$2:$K1023, "Minion")/C178</f>
        <v>5.3492063492063489</v>
      </c>
      <c r="F178" s="981">
        <f>COUNTIFS(Cards!$P$2:$P1023, "*Charge*", Cards!$K$2:$K1023, "Minion", Cards!$B$2:B1023,B178 )/C178</f>
        <v>3.1746031746031744E-2</v>
      </c>
      <c r="G178" s="982">
        <f>COUNTIFS(Cards!$P$2:$P1023, "*Taunt*", Cards!$K$2:$K1023, "Minion", Cards!$B$2:B1023,B178 )/C178</f>
        <v>7.9365079365079361E-2</v>
      </c>
      <c r="H178" s="983">
        <f>COUNTIFS(Cards!$P$2:$P1023, "*Spell Damage*", Cards!$K$2:$K1023, "Minion", Cards!$B$2:B1023,B178 )/C178</f>
        <v>1.5873015873015872E-2</v>
      </c>
      <c r="I178" s="984">
        <f>COUNTIFS(Cards!$P$2:$P1023, "*Deathrattle*", Cards!$K$2:$K1023, "Minion", Cards!$B$2:B1023,B178 )/C178</f>
        <v>0.12698412698412698</v>
      </c>
      <c r="J178" s="982">
        <f>COUNTIFS(Cards!$P$2:$P1023, "*Divine Shield*", Cards!$K$2:$K1023, "Minion", Cards!$B$2:B1023,B178 )/C178</f>
        <v>1.5873015873015872E-2</v>
      </c>
      <c r="K178" s="983">
        <f>COUNTIFS(Cards!$P$2:$P1023, "*Battlecry*", Cards!$K$2:$K1023, "Minion", Cards!$B$2:B1023,B178 )/C178</f>
        <v>0.3968253968253968</v>
      </c>
      <c r="O178" s="975" t="s">
        <v>1242</v>
      </c>
      <c r="Q178" s="802" t="s">
        <v>1111</v>
      </c>
    </row>
    <row r="179" spans="2:17" ht="12.75">
      <c r="B179" s="978">
        <v>7</v>
      </c>
      <c r="C179" s="978">
        <f>COUNTIFS(Cards!$B$2:$B1023, B179, Cards!$K$2:$K1023, "Minion")</f>
        <v>32</v>
      </c>
      <c r="D179" s="979">
        <f>SUMIFS(Cards!$M$2:$M1023, Cards!$B$2:$B1023, B179, Cards!$K$2:$K1023, "Minion")/C179</f>
        <v>6.03125</v>
      </c>
      <c r="E179" s="980">
        <f>SUMIFS(Cards!$N$2:$N1023, Cards!$B$2:$B1023, B179, Cards!$K$2:$K1023, "Minion")/C179</f>
        <v>6.15625</v>
      </c>
      <c r="F179" s="981">
        <f>COUNTIFS(Cards!$P$2:$P1023, "*Charge*", Cards!$K$2:$K1023, "Minion", Cards!$B$2:B1023,B179 )/C179</f>
        <v>3.125E-2</v>
      </c>
      <c r="G179" s="982">
        <f>COUNTIFS(Cards!$P$2:$P1023, "*Taunt*", Cards!$K$2:$K1023, "Minion", Cards!$B$2:B1023,B179 )/C179</f>
        <v>0.125</v>
      </c>
      <c r="H179" s="983">
        <f>COUNTIFS(Cards!$P$2:$P1023, "*Spell Damage*", Cards!$K$2:$K1023, "Minion", Cards!$B$2:B1023,B179 )/C179</f>
        <v>3.125E-2</v>
      </c>
      <c r="I179" s="984">
        <f>COUNTIFS(Cards!$P$2:$P1023, "*Deathrattle*", Cards!$K$2:$K1023, "Minion", Cards!$B$2:B1023,B179 )/C179</f>
        <v>6.25E-2</v>
      </c>
      <c r="J179" s="982">
        <f>COUNTIFS(Cards!$P$2:$P1023, "*Divine Shield*", Cards!$K$2:$K1023, "Minion", Cards!$B$2:B1023,B179 )/C179</f>
        <v>0</v>
      </c>
      <c r="K179" s="983">
        <f>COUNTIFS(Cards!$P$2:$P1023, "*Battlecry*", Cards!$K$2:$K1023, "Minion", Cards!$B$2:B1023,B179 )/C179</f>
        <v>0.28125</v>
      </c>
      <c r="O179" s="975" t="s">
        <v>1035</v>
      </c>
      <c r="Q179" s="975" t="s">
        <v>1507</v>
      </c>
    </row>
    <row r="180" spans="2:17" ht="12.75">
      <c r="B180" s="978">
        <v>8</v>
      </c>
      <c r="C180" s="978">
        <f>COUNTIFS(Cards!$B$2:$B1023, B180, Cards!$K$2:$K1023, "Minion")</f>
        <v>19</v>
      </c>
      <c r="D180" s="979">
        <f>SUMIFS(Cards!$M$2:$M1023, Cards!$B$2:$B1023, B180, Cards!$K$2:$K1023, "Minion")/C180</f>
        <v>6.5263157894736841</v>
      </c>
      <c r="E180" s="980">
        <f>SUMIFS(Cards!$N$2:$N1023, Cards!$B$2:$B1023, B180, Cards!$K$2:$K1023, "Minion")/C180</f>
        <v>7.6315789473684212</v>
      </c>
      <c r="F180" s="981">
        <f>COUNTIFS(Cards!$P$2:$P1023, "*Charge*", Cards!$K$2:$K1023, "Minion", Cards!$B$2:B1023,B180 )/C180</f>
        <v>0.10526315789473684</v>
      </c>
      <c r="G180" s="982">
        <f>COUNTIFS(Cards!$P$2:$P1023, "*Taunt*", Cards!$K$2:$K1023, "Minion", Cards!$B$2:B1023,B180 )/C180</f>
        <v>0.15789473684210525</v>
      </c>
      <c r="H180" s="983">
        <f>COUNTIFS(Cards!$P$2:$P1023, "*Spell Damage*", Cards!$K$2:$K1023, "Minion", Cards!$B$2:B1023,B180 )/C180</f>
        <v>0</v>
      </c>
      <c r="I180" s="984">
        <f>COUNTIFS(Cards!$P$2:$P1023, "*Deathrattle*", Cards!$K$2:$K1023, "Minion", Cards!$B$2:B1023,B180 )/C180</f>
        <v>0.15789473684210525</v>
      </c>
      <c r="J180" s="982">
        <f>COUNTIFS(Cards!$P$2:$P1023, "*Divine Shield*", Cards!$K$2:$K1023, "Minion", Cards!$B$2:B1023,B180 )/C180</f>
        <v>0.10526315789473684</v>
      </c>
      <c r="K180" s="983">
        <f>COUNTIFS(Cards!$P$2:$P1023, "*Battlecry*", Cards!$K$2:$K1023, "Minion", Cards!$B$2:B1023,B180 )/C180</f>
        <v>0.10526315789473684</v>
      </c>
    </row>
    <row r="181" spans="2:17" ht="12.75">
      <c r="B181" s="978">
        <v>9</v>
      </c>
      <c r="C181" s="978">
        <f>COUNTIFS(Cards!$B$2:$B1023, B181, Cards!$K$2:$K1023, "Minion")</f>
        <v>21</v>
      </c>
      <c r="D181" s="979">
        <f>SUMIFS(Cards!$M$2:$M1023, Cards!$B$2:$B1023, B181, Cards!$K$2:$K1023, "Minion")/C181</f>
        <v>7</v>
      </c>
      <c r="E181" s="980">
        <f>SUMIFS(Cards!$N$2:$N1023, Cards!$B$2:$B1023, B181, Cards!$K$2:$K1023, "Minion")/C181</f>
        <v>8.1904761904761898</v>
      </c>
      <c r="F181" s="981">
        <f>COUNTIFS(Cards!$P$2:$P1023, "*Charge*", Cards!$K$2:$K1023, "Minion", Cards!$B$2:B1023,B181 )/C181</f>
        <v>9.5238095238095233E-2</v>
      </c>
      <c r="G181" s="982">
        <f>COUNTIFS(Cards!$P$2:$P1023, "*Taunt*", Cards!$K$2:$K1023, "Minion", Cards!$B$2:B1023,B181 )/C181</f>
        <v>0.14285714285714285</v>
      </c>
      <c r="H181" s="983">
        <f>COUNTIFS(Cards!$P$2:$P1023, "*Spell Damage*", Cards!$K$2:$K1023, "Minion", Cards!$B$2:B1023,B181 )/C181</f>
        <v>4.7619047619047616E-2</v>
      </c>
      <c r="I181" s="984">
        <f>COUNTIFS(Cards!$P$2:$P1023, "*Deathrattle*", Cards!$K$2:$K1023, "Minion", Cards!$B$2:B1023,B181 )/C181</f>
        <v>9.5238095238095233E-2</v>
      </c>
      <c r="J181" s="982">
        <f>COUNTIFS(Cards!$P$2:$P1023, "*Divine Shield*", Cards!$K$2:$K1023, "Minion", Cards!$B$2:B1023,B181 )/C181</f>
        <v>0</v>
      </c>
      <c r="K181" s="983">
        <f>COUNTIFS(Cards!$P$2:$P1023, "*Battlecry*", Cards!$K$2:$K1023, "Minion", Cards!$B$2:B1023,B181 )/C181</f>
        <v>0.33333333333333331</v>
      </c>
    </row>
    <row r="182" spans="2:17" ht="12.75">
      <c r="B182" s="985">
        <v>10</v>
      </c>
      <c r="C182" s="985">
        <f>COUNTIFS(Cards!$B$2:$B1023, B182, Cards!$K$2:$K1023, "Minion")</f>
        <v>10</v>
      </c>
      <c r="D182" s="986">
        <f>SUMIFS(Cards!$M$2:$M1023, Cards!$B$2:$B1023, B182, Cards!$K$2:$K1023, "Minion")/C182</f>
        <v>8.5</v>
      </c>
      <c r="E182" s="987">
        <f>SUMIFS(Cards!$N$2:$N1023, Cards!$B$2:$B1023, B182, Cards!$K$2:$K1023, "Minion")/C182</f>
        <v>8.5</v>
      </c>
      <c r="F182" s="988">
        <f>COUNTIFS(Cards!$P$2:$P1023, "*Charge*", Cards!$K$2:$K1023, "Minion", Cards!$B$2:B1023,B182 )/C182</f>
        <v>0</v>
      </c>
      <c r="G182" s="989">
        <f>COUNTIFS(Cards!$P$2:$P1023, "*Taunt*", Cards!$K$2:$K1023, "Minion", Cards!$B$2:B1023,B182 )/C182</f>
        <v>0</v>
      </c>
      <c r="H182" s="990">
        <f>COUNTIFS(Cards!$P$2:$P1023, "*Spell Damage*", Cards!$K$2:$K1023, "Minion", Cards!$B$2:B1023,B182 )/C182</f>
        <v>0</v>
      </c>
      <c r="I182" s="991">
        <f>COUNTIFS(Cards!$P$2:$P1023, "*Deathrattle*", Cards!$K$2:$K1023, "Minion", Cards!$B$2:B1023,B182 )/C182</f>
        <v>0.1</v>
      </c>
      <c r="J182" s="989">
        <f>COUNTIFS(Cards!$P$2:$P1023, "*Divine Shield*", Cards!$K$2:$K1023, "Minion", Cards!$B$2:B1023,B182 )/C182</f>
        <v>0</v>
      </c>
      <c r="K182" s="990">
        <f>COUNTIFS(Cards!$P$2:$P1023, "*Battlecry*", Cards!$K$2:$K1023, "Minion", Cards!$B$2:B1023,B182 )/C182</f>
        <v>0.5</v>
      </c>
    </row>
    <row r="183" spans="2:17" ht="12.75">
      <c r="B183" s="658"/>
      <c r="C183" s="658"/>
      <c r="D183" s="658"/>
      <c r="E183" s="658"/>
      <c r="F183" s="658"/>
      <c r="G183" s="658"/>
      <c r="H183" s="658"/>
    </row>
    <row r="184" spans="2:17" ht="12.75">
      <c r="B184" s="658"/>
      <c r="C184" s="658"/>
      <c r="D184" s="658"/>
      <c r="E184" s="658"/>
      <c r="F184" s="658"/>
      <c r="G184" s="658"/>
      <c r="H184" s="658"/>
    </row>
    <row r="185" spans="2:17" ht="12.75">
      <c r="B185" s="1217" t="s">
        <v>2198</v>
      </c>
      <c r="C185" s="1102"/>
      <c r="D185" s="1102"/>
      <c r="E185" s="1102"/>
      <c r="F185" s="1102"/>
      <c r="G185" s="1102"/>
      <c r="H185" s="1102"/>
      <c r="I185" s="1102"/>
      <c r="J185" s="1102"/>
      <c r="K185" s="1030"/>
    </row>
    <row r="186" spans="2:17" ht="12.75">
      <c r="B186" s="977" t="s">
        <v>2187</v>
      </c>
      <c r="C186" s="977" t="s">
        <v>67</v>
      </c>
      <c r="D186" s="977" t="s">
        <v>2188</v>
      </c>
      <c r="E186" s="977" t="s">
        <v>125</v>
      </c>
      <c r="F186" s="977" t="s">
        <v>295</v>
      </c>
      <c r="G186" s="977" t="s">
        <v>1239</v>
      </c>
      <c r="H186" s="977" t="s">
        <v>2189</v>
      </c>
      <c r="I186" s="977" t="s">
        <v>2190</v>
      </c>
      <c r="J186" s="977" t="s">
        <v>1010</v>
      </c>
      <c r="K186" s="977" t="s">
        <v>2191</v>
      </c>
    </row>
    <row r="187" spans="2:17" ht="12.75">
      <c r="B187" s="978">
        <v>0</v>
      </c>
      <c r="C187" s="978">
        <f>COUNTIFS(Cards!$B$2:$B1023, B187, Cards!$K$2:$K1023, "Minion",Cards!$Q$2:$Q1023, "Standard")</f>
        <v>2</v>
      </c>
      <c r="D187" s="979">
        <f>SUMIFS(Cards!$M$2:$M1023, Cards!$B$2:$B1023, B187, Cards!$K$2:$K1023, "Minion", Cards!$Q$2:$Q1023, "Standard")/C187</f>
        <v>1</v>
      </c>
      <c r="E187" s="980">
        <f>SUMIFS(Cards!$N$2:$N1023, Cards!$B$2:$B1023, B187, Cards!$K$2:$K1023, "Minion", Cards!$Q$2:$Q1023, "Standard")/C187</f>
        <v>1</v>
      </c>
      <c r="F187" s="981">
        <f>COUNTIFS(Cards!$P$2:$P1023, "*Charge*", Cards!$K$2:$K1023, "Minion", Cards!$B$2:B1023,B187, Cards!$Q$2:$Q1023, "Standard")/C187</f>
        <v>0</v>
      </c>
      <c r="G187" s="982">
        <f>COUNTIFS(Cards!$P$2:$P1023, "*Taunt*", Cards!$K$2:$K1023, "Minion", Cards!$B$2:B1023,B187, Cards!$Q$2:$Q1023, "Standard")/C187</f>
        <v>0</v>
      </c>
      <c r="H187" s="983">
        <f>COUNTIFS(Cards!$P$2:$P1023, "*Spell Damage*", Cards!$K$2:$K1023, "Minion", Cards!$B$2:B1023,B187, Cards!$Q$2:$Q1023, "Standard")/C187</f>
        <v>0</v>
      </c>
      <c r="I187" s="984">
        <f>COUNTIFS(Cards!$P$2:$P1023, "*Deathrattle*", Cards!$K$2:$K1023, "Minion", Cards!$B$2:B1023,B187, Cards!$Q$2:$Q1023, "Standard")/C187</f>
        <v>0</v>
      </c>
      <c r="J187" s="982">
        <f>COUNTIFS(Cards!$P$2:$P1023, "*Divine Shield*", Cards!$K$2:$K1023, "Minion", Cards!$B$2:B1023,B187, Cards!$Q$2:$Q1023, "Standard")/C187</f>
        <v>0</v>
      </c>
      <c r="K187" s="983">
        <f>COUNTIFS(Cards!$P$2:$P1023, "*Battlecry*", Cards!$K$2:$K1023, "Minion", Cards!$B$2:B1023,B187, Cards!$Q$2:$Q1023, "Standard")/C187</f>
        <v>0</v>
      </c>
    </row>
    <row r="188" spans="2:17" ht="12.75">
      <c r="B188" s="978">
        <v>1</v>
      </c>
      <c r="C188" s="978">
        <f>COUNTIFS(Cards!$B$2:$B1023, B188, Cards!$K$2:$K1023, "Minion",Cards!$Q$2:$Q1023, "Standard")</f>
        <v>49</v>
      </c>
      <c r="D188" s="979">
        <f>SUMIFS(Cards!$M$2:$M1023, Cards!$B$2:$B1023, B188, Cards!$K$2:$K1023, "Minion", Cards!$Q$2:$Q1023, "Standard")/C188</f>
        <v>1.3061224489795917</v>
      </c>
      <c r="E188" s="980">
        <f>SUMIFS(Cards!$N$2:$N1023, Cards!$B$2:$B1023, B188, Cards!$K$2:$K1023, "Minion", Cards!$Q$2:$Q1023, "Standard")/C188</f>
        <v>1.5918367346938775</v>
      </c>
      <c r="F188" s="981">
        <f>COUNTIFS(Cards!$P$2:$P1023, "*Charge*", Cards!$K$2:$K1023, "Minion", Cards!$B$2:B1023,B188, Cards!$Q$2:$Q1023, "Standard")/C188</f>
        <v>4.0816326530612242E-2</v>
      </c>
      <c r="G188" s="982">
        <f>COUNTIFS(Cards!$P$2:$P1023, "*Taunt*", Cards!$K$2:$K1023, "Minion", Cards!$B$2:B1023,B188, Cards!$Q$2:$Q1023, "Standard")/C188</f>
        <v>8.1632653061224483E-2</v>
      </c>
      <c r="H188" s="983">
        <f>COUNTIFS(Cards!$P$2:$P1023, "*Spell Damage*", Cards!$K$2:$K1023, "Minion", Cards!$B$2:B1023,B188, Cards!$Q$2:$Q1023, "Standard")/C188</f>
        <v>0</v>
      </c>
      <c r="I188" s="984">
        <f>COUNTIFS(Cards!$P$2:$P1023, "*Deathrattle*", Cards!$K$2:$K1023, "Minion", Cards!$B$2:B1023,B188, Cards!$Q$2:$Q1023, "Standard")/C188</f>
        <v>0.12244897959183673</v>
      </c>
      <c r="J188" s="982">
        <f>COUNTIFS(Cards!$P$2:$P1023, "*Divine Shield*", Cards!$K$2:$K1023, "Minion", Cards!$B$2:B1023,B188, Cards!$Q$2:$Q1023, "Standard")/C188</f>
        <v>2.0408163265306121E-2</v>
      </c>
      <c r="K188" s="983">
        <f>COUNTIFS(Cards!$P$2:$P1023, "*Battlecry*", Cards!$K$2:$K1023, "Minion", Cards!$B$2:B1023,B188, Cards!$Q$2:$Q1023, "Standard")/C188</f>
        <v>0.2857142857142857</v>
      </c>
      <c r="L188" s="802" t="s">
        <v>2193</v>
      </c>
    </row>
    <row r="189" spans="2:17" ht="12.75">
      <c r="B189" s="978">
        <v>2</v>
      </c>
      <c r="C189" s="978">
        <f>COUNTIFS(Cards!$B$2:$B1023, B189, Cards!$K$2:$K1023, "Minion",Cards!$Q$2:$Q1023, "Standard")</f>
        <v>70</v>
      </c>
      <c r="D189" s="979">
        <f>SUMIFS(Cards!$M$2:$M1023, Cards!$B$2:$B1023, B189, Cards!$K$2:$K1023, "Minion", Cards!$Q$2:$Q1023, "Standard")/C189</f>
        <v>2.0714285714285716</v>
      </c>
      <c r="E189" s="980">
        <f>SUMIFS(Cards!$N$2:$N1023, Cards!$B$2:$B1023, B189, Cards!$K$2:$K1023, "Minion", Cards!$Q$2:$Q1023, "Standard")/C189</f>
        <v>2.5</v>
      </c>
      <c r="F189" s="981">
        <f>COUNTIFS(Cards!$P$2:$P1023, "*Charge*", Cards!$K$2:$K1023, "Minion", Cards!$B$2:B1023,B189, Cards!$Q$2:$Q1023, "Standard")/C189</f>
        <v>1.4285714285714285E-2</v>
      </c>
      <c r="G189" s="982">
        <f>COUNTIFS(Cards!$P$2:$P1023, "*Taunt*", Cards!$K$2:$K1023, "Minion", Cards!$B$2:B1023,B189, Cards!$Q$2:$Q1023, "Standard")/C189</f>
        <v>4.2857142857142858E-2</v>
      </c>
      <c r="H189" s="983">
        <f>COUNTIFS(Cards!$P$2:$P1023, "*Spell Damage*", Cards!$K$2:$K1023, "Minion", Cards!$B$2:B1023,B189, Cards!$Q$2:$Q1023, "Standard")/C189</f>
        <v>4.2857142857142858E-2</v>
      </c>
      <c r="I189" s="984">
        <f>COUNTIFS(Cards!$P$2:$P1023, "*Deathrattle*", Cards!$K$2:$K1023, "Minion", Cards!$B$2:B1023,B189, Cards!$Q$2:$Q1023, "Standard")/C189</f>
        <v>5.7142857142857141E-2</v>
      </c>
      <c r="J189" s="982">
        <f>COUNTIFS(Cards!$P$2:$P1023, "*Divine Shield*", Cards!$K$2:$K1023, "Minion", Cards!$B$2:B1023,B189, Cards!$Q$2:$Q1023, "Standard")/C189</f>
        <v>0</v>
      </c>
      <c r="K189" s="983">
        <f>COUNTIFS(Cards!$P$2:$P1023, "*Battlecry*", Cards!$K$2:$K1023, "Minion", Cards!$B$2:B1023,B189, Cards!$Q$2:$Q1023, "Standard")/C189</f>
        <v>0.37142857142857144</v>
      </c>
    </row>
    <row r="190" spans="2:17" ht="12.75">
      <c r="B190" s="978">
        <v>3</v>
      </c>
      <c r="C190" s="978">
        <f>COUNTIFS(Cards!$B$2:$B1023, B190, Cards!$K$2:$K1023, "Minion",Cards!$Q$2:$Q1023, "Standard")</f>
        <v>87</v>
      </c>
      <c r="D190" s="979">
        <f>SUMIFS(Cards!$M$2:$M1023, Cards!$B$2:$B1023, B190, Cards!$K$2:$K1023, "Minion", Cards!$Q$2:$Q1023, "Standard")/C190</f>
        <v>2.5862068965517242</v>
      </c>
      <c r="E190" s="980">
        <f>SUMIFS(Cards!$N$2:$N1023, Cards!$B$2:$B1023, B190, Cards!$K$2:$K1023, "Minion", Cards!$Q$2:$Q1023, "Standard")/C190</f>
        <v>3.0919540229885056</v>
      </c>
      <c r="F190" s="981">
        <f>COUNTIFS(Cards!$P$2:$P1023, "*Charge*", Cards!$K$2:$K1023, "Minion", Cards!$B$2:B1023,B190, Cards!$Q$2:$Q1023, "Standard")/C190</f>
        <v>2.2988505747126436E-2</v>
      </c>
      <c r="G190" s="982">
        <f>COUNTIFS(Cards!$P$2:$P1023, "*Taunt*", Cards!$K$2:$K1023, "Minion", Cards!$B$2:B1023,B190, Cards!$Q$2:$Q1023, "Standard")/C190</f>
        <v>6.8965517241379309E-2</v>
      </c>
      <c r="H190" s="983">
        <f>COUNTIFS(Cards!$P$2:$P1023, "*Spell Damage*", Cards!$K$2:$K1023, "Minion", Cards!$B$2:B1023,B190, Cards!$Q$2:$Q1023, "Standard")/C190</f>
        <v>1.1494252873563218E-2</v>
      </c>
      <c r="I190" s="984">
        <f>COUNTIFS(Cards!$P$2:$P1023, "*Deathrattle*", Cards!$K$2:$K1023, "Minion", Cards!$B$2:B1023,B190, Cards!$Q$2:$Q1023, "Standard")/C190</f>
        <v>3.4482758620689655E-2</v>
      </c>
      <c r="J190" s="982">
        <f>COUNTIFS(Cards!$P$2:$P1023, "*Divine Shield*", Cards!$K$2:$K1023, "Minion", Cards!$B$2:B1023,B190, Cards!$Q$2:$Q1023, "Standard")/C190</f>
        <v>1.1494252873563218E-2</v>
      </c>
      <c r="K190" s="983">
        <f>COUNTIFS(Cards!$P$2:$P1023, "*Battlecry*", Cards!$K$2:$K1023, "Minion", Cards!$B$2:B1023,B190, Cards!$Q$2:$Q1023, "Standard")/C190</f>
        <v>0.36781609195402298</v>
      </c>
    </row>
    <row r="191" spans="2:17" ht="12.75">
      <c r="B191" s="978">
        <v>4</v>
      </c>
      <c r="C191" s="978">
        <f>COUNTIFS(Cards!$B$2:$B1023, B191, Cards!$K$2:$K1023, "Minion",Cards!$Q$2:$Q1023, "Standard")</f>
        <v>86</v>
      </c>
      <c r="D191" s="979">
        <f>SUMIFS(Cards!$M$2:$M1023, Cards!$B$2:$B1023, B191, Cards!$K$2:$K1023, "Minion", Cards!$Q$2:$Q1023, "Standard")/C191</f>
        <v>3.1860465116279069</v>
      </c>
      <c r="E191" s="980">
        <f>SUMIFS(Cards!$N$2:$N1023, Cards!$B$2:$B1023, B191, Cards!$K$2:$K1023, "Minion", Cards!$Q$2:$Q1023, "Standard")/C191</f>
        <v>4.1627906976744189</v>
      </c>
      <c r="F191" s="981">
        <f>COUNTIFS(Cards!$P$2:$P1023, "*Charge*", Cards!$K$2:$K1023, "Minion", Cards!$B$2:B1023,B191, Cards!$Q$2:$Q1023, "Standard")/C191</f>
        <v>2.3255813953488372E-2</v>
      </c>
      <c r="G191" s="982">
        <f>COUNTIFS(Cards!$P$2:$P1023, "*Taunt*", Cards!$K$2:$K1023, "Minion", Cards!$B$2:B1023,B191, Cards!$Q$2:$Q1023, "Standard")/C191</f>
        <v>0.10465116279069768</v>
      </c>
      <c r="H191" s="983">
        <f>COUNTIFS(Cards!$P$2:$P1023, "*Spell Damage*", Cards!$K$2:$K1023, "Minion", Cards!$B$2:B1023,B191, Cards!$Q$2:$Q1023, "Standard")/C191</f>
        <v>5.8139534883720929E-2</v>
      </c>
      <c r="I191" s="984">
        <f>COUNTIFS(Cards!$P$2:$P1023, "*Deathrattle*", Cards!$K$2:$K1023, "Minion", Cards!$B$2:B1023,B191, Cards!$Q$2:$Q1023, "Standard")/C191</f>
        <v>0.10465116279069768</v>
      </c>
      <c r="J191" s="982">
        <f>COUNTIFS(Cards!$P$2:$P1023, "*Divine Shield*", Cards!$K$2:$K1023, "Minion", Cards!$B$2:B1023,B191, Cards!$Q$2:$Q1023, "Standard")/C191</f>
        <v>2.3255813953488372E-2</v>
      </c>
      <c r="K191" s="983">
        <f>COUNTIFS(Cards!$P$2:$P1023, "*Battlecry*", Cards!$K$2:$K1023, "Minion", Cards!$B$2:B1023,B191, Cards!$Q$2:$Q1023, "Standard")/C191</f>
        <v>0.40697674418604651</v>
      </c>
    </row>
    <row r="192" spans="2:17" ht="12.75">
      <c r="B192" s="978">
        <v>5</v>
      </c>
      <c r="C192" s="978">
        <f>COUNTIFS(Cards!$B$2:$B1023, B192, Cards!$K$2:$K1023, "Minion",Cards!$Q$2:$Q1023, "Standard")</f>
        <v>56</v>
      </c>
      <c r="D192" s="979">
        <f>SUMIFS(Cards!$M$2:$M1023, Cards!$B$2:$B1023, B192, Cards!$K$2:$K1023, "Minion", Cards!$Q$2:$Q1023, "Standard")/C192</f>
        <v>4.125</v>
      </c>
      <c r="E192" s="980">
        <f>SUMIFS(Cards!$N$2:$N1023, Cards!$B$2:$B1023, B192, Cards!$K$2:$K1023, "Minion", Cards!$Q$2:$Q1023, "Standard")/C192</f>
        <v>4.6785714285714288</v>
      </c>
      <c r="F192" s="981">
        <f>COUNTIFS(Cards!$P$2:$P1023, "*Charge*", Cards!$K$2:$K1023, "Minion", Cards!$B$2:B1023,B192, Cards!$Q$2:$Q1023, "Standard")/C192</f>
        <v>5.3571428571428568E-2</v>
      </c>
      <c r="G192" s="982">
        <f>COUNTIFS(Cards!$P$2:$P1023, "*Taunt*", Cards!$K$2:$K1023, "Minion", Cards!$B$2:B1023,B192, Cards!$Q$2:$Q1023, "Standard")/C192</f>
        <v>0.10714285714285714</v>
      </c>
      <c r="H192" s="983">
        <f>COUNTIFS(Cards!$P$2:$P1023, "*Spell Damage*", Cards!$K$2:$K1023, "Minion", Cards!$B$2:B1023,B192, Cards!$Q$2:$Q1023, "Standard")/C192</f>
        <v>1.7857142857142856E-2</v>
      </c>
      <c r="I192" s="984">
        <f>COUNTIFS(Cards!$P$2:$P1023, "*Deathrattle*", Cards!$K$2:$K1023, "Minion", Cards!$B$2:B1023,B192, Cards!$Q$2:$Q1023, "Standard")/C192</f>
        <v>5.3571428571428568E-2</v>
      </c>
      <c r="J192" s="982">
        <f>COUNTIFS(Cards!$P$2:$P1023, "*Divine Shield*", Cards!$K$2:$K1023, "Minion", Cards!$B$2:B1023,B192, Cards!$Q$2:$Q1023, "Standard")/C192</f>
        <v>1.7857142857142856E-2</v>
      </c>
      <c r="K192" s="983">
        <f>COUNTIFS(Cards!$P$2:$P1023, "*Battlecry*", Cards!$K$2:$K1023, "Minion", Cards!$B$2:B1023,B192, Cards!$Q$2:$Q1023, "Standard")/C192</f>
        <v>0.42857142857142855</v>
      </c>
    </row>
    <row r="193" spans="1:18" ht="12.75">
      <c r="B193" s="978">
        <v>6</v>
      </c>
      <c r="C193" s="978">
        <f>COUNTIFS(Cards!$B$2:$B1023, B193, Cards!$K$2:$K1023, "Minion",Cards!$Q$2:$Q1023, "Standard")</f>
        <v>52</v>
      </c>
      <c r="D193" s="979">
        <f>SUMIFS(Cards!$M$2:$M1023, Cards!$B$2:$B1023, B193, Cards!$K$2:$K1023, "Minion", Cards!$Q$2:$Q1023, "Standard")/C193</f>
        <v>5</v>
      </c>
      <c r="E193" s="980">
        <f>SUMIFS(Cards!$N$2:$N1023, Cards!$B$2:$B1023, B193, Cards!$K$2:$K1023, "Minion", Cards!$Q$2:$Q1023, "Standard")/C193</f>
        <v>5.134615384615385</v>
      </c>
      <c r="F193" s="981">
        <f>COUNTIFS(Cards!$P$2:$P1023, "*Charge*", Cards!$K$2:$K1023, "Minion", Cards!$B$2:B1023,B193, Cards!$Q$2:$Q1023, "Standard")/C193</f>
        <v>3.8461538461538464E-2</v>
      </c>
      <c r="G193" s="982">
        <f>COUNTIFS(Cards!$P$2:$P1023, "*Taunt*", Cards!$K$2:$K1023, "Minion", Cards!$B$2:B1023,B193, Cards!$Q$2:$Q1023, "Standard")/C193</f>
        <v>9.6153846153846159E-2</v>
      </c>
      <c r="H193" s="983">
        <f>COUNTIFS(Cards!$P$2:$P1023, "*Spell Damage*", Cards!$K$2:$K1023, "Minion", Cards!$B$2:B1023,B193, Cards!$Q$2:$Q1023, "Standard")/C193</f>
        <v>1.9230769230769232E-2</v>
      </c>
      <c r="I193" s="984">
        <f>COUNTIFS(Cards!$P$2:$P1023, "*Deathrattle*", Cards!$K$2:$K1023, "Minion", Cards!$B$2:B1023,B193, Cards!$Q$2:$Q1023, "Standard")/C193</f>
        <v>0.11538461538461539</v>
      </c>
      <c r="J193" s="982">
        <f>COUNTIFS(Cards!$P$2:$P1023, "*Divine Shield*", Cards!$K$2:$K1023, "Minion", Cards!$B$2:B1023,B193, Cards!$Q$2:$Q1023, "Standard")/C193</f>
        <v>1.9230769230769232E-2</v>
      </c>
      <c r="K193" s="983">
        <f>COUNTIFS(Cards!$P$2:$P1023, "*Battlecry*", Cards!$K$2:$K1023, "Minion", Cards!$B$2:B1023,B193, Cards!$Q$2:$Q1023, "Standard")/C193</f>
        <v>0.40384615384615385</v>
      </c>
    </row>
    <row r="194" spans="1:18" ht="12.75">
      <c r="B194" s="978">
        <v>7</v>
      </c>
      <c r="C194" s="978">
        <f>COUNTIFS(Cards!$B$2:$B1023, B194, Cards!$K$2:$K1023, "Minion",Cards!$Q$2:$Q1023, "Standard")</f>
        <v>26</v>
      </c>
      <c r="D194" s="979">
        <f>SUMIFS(Cards!$M$2:$M1023, Cards!$B$2:$B1023, B194, Cards!$K$2:$K1023, "Minion", Cards!$Q$2:$Q1023, "Standard")/C194</f>
        <v>5.8076923076923075</v>
      </c>
      <c r="E194" s="980">
        <f>SUMIFS(Cards!$N$2:$N1023, Cards!$B$2:$B1023, B194, Cards!$K$2:$K1023, "Minion", Cards!$Q$2:$Q1023, "Standard")/C194</f>
        <v>5.9230769230769234</v>
      </c>
      <c r="F194" s="981">
        <f>COUNTIFS(Cards!$P$2:$P1023, "*Charge*", Cards!$K$2:$K1023, "Minion", Cards!$B$2:B1023,B194, Cards!$Q$2:$Q1023, "Standard")/C194</f>
        <v>3.8461538461538464E-2</v>
      </c>
      <c r="G194" s="982">
        <f>COUNTIFS(Cards!$P$2:$P1023, "*Taunt*", Cards!$K$2:$K1023, "Minion", Cards!$B$2:B1023,B194, Cards!$Q$2:$Q1023, "Standard")/C194</f>
        <v>0.15384615384615385</v>
      </c>
      <c r="H194" s="983">
        <f>COUNTIFS(Cards!$P$2:$P1023, "*Spell Damage*", Cards!$K$2:$K1023, "Minion", Cards!$B$2:B1023,B194, Cards!$Q$2:$Q1023, "Standard")/C194</f>
        <v>3.8461538461538464E-2</v>
      </c>
      <c r="I194" s="984">
        <f>COUNTIFS(Cards!$P$2:$P1023, "*Deathrattle*", Cards!$K$2:$K1023, "Minion", Cards!$B$2:B1023,B194, Cards!$Q$2:$Q1023, "Standard")/C194</f>
        <v>3.8461538461538464E-2</v>
      </c>
      <c r="J194" s="982">
        <f>COUNTIFS(Cards!$P$2:$P1023, "*Divine Shield*", Cards!$K$2:$K1023, "Minion", Cards!$B$2:B1023,B194, Cards!$Q$2:$Q1023, "Standard")/C194</f>
        <v>0</v>
      </c>
      <c r="K194" s="983">
        <f>COUNTIFS(Cards!$P$2:$P1023, "*Battlecry*", Cards!$K$2:$K1023, "Minion", Cards!$B$2:B1023,B194, Cards!$Q$2:$Q1023, "Standard")/C194</f>
        <v>0.26923076923076922</v>
      </c>
    </row>
    <row r="195" spans="1:18" ht="12.75">
      <c r="B195" s="978">
        <v>8</v>
      </c>
      <c r="C195" s="978">
        <f>COUNTIFS(Cards!$B$2:$B1023, B195, Cards!$K$2:$K1023, "Minion",Cards!$Q$2:$Q1023, "Standard")</f>
        <v>15</v>
      </c>
      <c r="D195" s="979">
        <f>SUMIFS(Cards!$M$2:$M1023, Cards!$B$2:$B1023, B195, Cards!$K$2:$K1023, "Minion", Cards!$Q$2:$Q1023, "Standard")/C195</f>
        <v>6.666666666666667</v>
      </c>
      <c r="E195" s="980">
        <f>SUMIFS(Cards!$N$2:$N1023, Cards!$B$2:$B1023, B195, Cards!$K$2:$K1023, "Minion", Cards!$Q$2:$Q1023, "Standard")/C195</f>
        <v>7.6</v>
      </c>
      <c r="F195" s="981">
        <f>COUNTIFS(Cards!$P$2:$P1023, "*Charge*", Cards!$K$2:$K1023, "Minion", Cards!$B$2:B1023,B195, Cards!$Q$2:$Q1023, "Standard")/C195</f>
        <v>0.13333333333333333</v>
      </c>
      <c r="G195" s="982">
        <f>COUNTIFS(Cards!$P$2:$P1023, "*Taunt*", Cards!$K$2:$K1023, "Minion", Cards!$B$2:B1023,B195, Cards!$Q$2:$Q1023, "Standard")/C195</f>
        <v>0.2</v>
      </c>
      <c r="H195" s="983">
        <f>COUNTIFS(Cards!$P$2:$P1023, "*Spell Damage*", Cards!$K$2:$K1023, "Minion", Cards!$B$2:B1023,B195, Cards!$Q$2:$Q1023, "Standard")/C195</f>
        <v>0</v>
      </c>
      <c r="I195" s="984">
        <f>COUNTIFS(Cards!$P$2:$P1023, "*Deathrattle*", Cards!$K$2:$K1023, "Minion", Cards!$B$2:B1023,B195, Cards!$Q$2:$Q1023, "Standard")/C195</f>
        <v>0.13333333333333333</v>
      </c>
      <c r="J195" s="982">
        <f>COUNTIFS(Cards!$P$2:$P1023, "*Divine Shield*", Cards!$K$2:$K1023, "Minion", Cards!$B$2:B1023,B195, Cards!$Q$2:$Q1023, "Standard")/C195</f>
        <v>6.6666666666666666E-2</v>
      </c>
      <c r="K195" s="983">
        <f>COUNTIFS(Cards!$P$2:$P1023, "*Battlecry*", Cards!$K$2:$K1023, "Minion", Cards!$B$2:B1023,B195, Cards!$Q$2:$Q1023, "Standard")/C195</f>
        <v>0.13333333333333333</v>
      </c>
    </row>
    <row r="196" spans="1:18" ht="12.75">
      <c r="B196" s="978">
        <v>9</v>
      </c>
      <c r="C196" s="978">
        <f>COUNTIFS(Cards!$B$2:$B1023, B196, Cards!$K$2:$K1023, "Minion",Cards!$Q$2:$Q1023, "Standard")</f>
        <v>19</v>
      </c>
      <c r="D196" s="979">
        <f>SUMIFS(Cards!$M$2:$M1023, Cards!$B$2:$B1023, B196, Cards!$K$2:$K1023, "Minion", Cards!$Q$2:$Q1023, "Standard")/C196</f>
        <v>6.7894736842105265</v>
      </c>
      <c r="E196" s="980">
        <f>SUMIFS(Cards!$N$2:$N1023, Cards!$B$2:$B1023, B196, Cards!$K$2:$K1023, "Minion", Cards!$Q$2:$Q1023, "Standard")/C196</f>
        <v>8.3157894736842106</v>
      </c>
      <c r="F196" s="981">
        <f>COUNTIFS(Cards!$P$2:$P1023, "*Charge*", Cards!$K$2:$K1023, "Minion", Cards!$B$2:B1023,B196, Cards!$Q$2:$Q1023, "Standard")/C196</f>
        <v>0.10526315789473684</v>
      </c>
      <c r="G196" s="982">
        <f>COUNTIFS(Cards!$P$2:$P1023, "*Taunt*", Cards!$K$2:$K1023, "Minion", Cards!$B$2:B1023,B196, Cards!$Q$2:$Q1023, "Standard")/C196</f>
        <v>0.10526315789473684</v>
      </c>
      <c r="H196" s="983">
        <f>COUNTIFS(Cards!$P$2:$P1023, "*Spell Damage*", Cards!$K$2:$K1023, "Minion", Cards!$B$2:B1023,B196, Cards!$Q$2:$Q1023, "Standard")/C196</f>
        <v>5.2631578947368418E-2</v>
      </c>
      <c r="I196" s="984">
        <f>COUNTIFS(Cards!$P$2:$P1023, "*Deathrattle*", Cards!$K$2:$K1023, "Minion", Cards!$B$2:B1023,B196, Cards!$Q$2:$Q1023, "Standard")/C196</f>
        <v>0.10526315789473684</v>
      </c>
      <c r="J196" s="982">
        <f>COUNTIFS(Cards!$P$2:$P1023, "*Divine Shield*", Cards!$K$2:$K1023, "Minion", Cards!$B$2:B1023,B196, Cards!$Q$2:$Q1023, "Standard")/C196</f>
        <v>0</v>
      </c>
      <c r="K196" s="983">
        <f>COUNTIFS(Cards!$P$2:$P1023, "*Battlecry*", Cards!$K$2:$K1023, "Minion", Cards!$B$2:B1023,B196, Cards!$Q$2:$Q1023, "Standard")/C196</f>
        <v>0.36842105263157893</v>
      </c>
    </row>
    <row r="197" spans="1:18" ht="12.75">
      <c r="B197" s="985">
        <v>10</v>
      </c>
      <c r="C197" s="985">
        <f>COUNTIFS(Cards!$B$2:$B1023, B197, Cards!$K$2:$K1023, "Minion",Cards!$Q$2:$Q1023, "Standard")</f>
        <v>10</v>
      </c>
      <c r="D197" s="986">
        <f>SUMIFS(Cards!$M$2:$M1023, Cards!$B$2:$B1023, B197, Cards!$K$2:$K1023, "Minion", Cards!$Q$2:$Q1023, "Standard")/C197</f>
        <v>8.5</v>
      </c>
      <c r="E197" s="987">
        <f>SUMIFS(Cards!$N$2:$N1023, Cards!$B$2:$B1023, B197, Cards!$K$2:$K1023, "Minion", Cards!$Q$2:$Q1023, "Standard")/C197</f>
        <v>8.5</v>
      </c>
      <c r="F197" s="988">
        <f>COUNTIFS(Cards!$P$2:$P1023, "*Charge*", Cards!$K$2:$K1023, "Minion", Cards!$B$2:B1023,B197, Cards!$Q$2:$Q1023, "Standard")/C197</f>
        <v>0</v>
      </c>
      <c r="G197" s="989">
        <f>COUNTIFS(Cards!$P$2:$P1023, "*Taunt*", Cards!$K$2:$K1023, "Minion", Cards!$B$2:B1023,B197, Cards!$Q$2:$Q1023, "Standard")/C197</f>
        <v>0</v>
      </c>
      <c r="H197" s="990">
        <f>COUNTIFS(Cards!$P$2:$P1023, "*Spell Damage*", Cards!$K$2:$K1023, "Minion", Cards!$B$2:B1023,B197, Cards!$Q$2:$Q1023, "Standard")/C197</f>
        <v>0</v>
      </c>
      <c r="I197" s="991">
        <f>COUNTIFS(Cards!$P$2:$P1023, "*Deathrattle*", Cards!$K$2:$K1023, "Minion", Cards!$B$2:B1023,B197, Cards!$Q$2:$Q1023, "Standard")/C197</f>
        <v>0.1</v>
      </c>
      <c r="J197" s="989">
        <f>COUNTIFS(Cards!$P$2:$P1023, "*Divine Shield*", Cards!$K$2:$K1023, "Minion", Cards!$B$2:B1023,B197, Cards!$Q$2:$Q1023, "Standard")/C197</f>
        <v>0</v>
      </c>
      <c r="K197" s="990">
        <f>COUNTIFS(Cards!$P$2:$P1023, "*Battlecry*", Cards!$K$2:$K1023, "Minion", Cards!$B$2:B1023,B197, Cards!$Q$2:$Q1023, "Standard")/C197</f>
        <v>0.5</v>
      </c>
    </row>
    <row r="199" spans="1:18" ht="12.75">
      <c r="A199" s="992"/>
      <c r="B199" s="1205" t="s">
        <v>2199</v>
      </c>
      <c r="C199" s="1007"/>
      <c r="D199" s="1007"/>
      <c r="E199" s="1007"/>
      <c r="F199" s="1007"/>
      <c r="G199" s="1007"/>
      <c r="H199" s="1007"/>
      <c r="I199" s="1007"/>
      <c r="J199" s="1007"/>
      <c r="K199" s="1007"/>
      <c r="L199" s="992"/>
      <c r="M199" s="992"/>
      <c r="N199" s="992"/>
      <c r="O199" s="992"/>
      <c r="P199" s="992"/>
      <c r="Q199" s="992"/>
      <c r="R199" s="992"/>
    </row>
    <row r="201" spans="1:18" ht="12.75">
      <c r="B201" s="1217" t="s">
        <v>2200</v>
      </c>
      <c r="C201" s="1102"/>
      <c r="D201" s="1102"/>
      <c r="E201" s="1102"/>
      <c r="F201" s="1102"/>
      <c r="G201" s="1102"/>
      <c r="H201" s="1102"/>
      <c r="I201" s="1102"/>
      <c r="J201" s="1102"/>
      <c r="K201" s="1030"/>
    </row>
    <row r="202" spans="1:18" ht="12.75">
      <c r="B202" s="977" t="s">
        <v>2187</v>
      </c>
      <c r="C202" s="977" t="s">
        <v>67</v>
      </c>
      <c r="D202" s="977" t="s">
        <v>2188</v>
      </c>
      <c r="E202" s="977" t="s">
        <v>125</v>
      </c>
      <c r="F202" s="977" t="s">
        <v>295</v>
      </c>
      <c r="G202" s="977" t="s">
        <v>1239</v>
      </c>
      <c r="H202" s="977" t="s">
        <v>2189</v>
      </c>
      <c r="I202" s="977" t="s">
        <v>2190</v>
      </c>
      <c r="J202" s="977" t="s">
        <v>1010</v>
      </c>
      <c r="K202" s="977" t="s">
        <v>2191</v>
      </c>
    </row>
    <row r="203" spans="1:18" ht="12.75">
      <c r="B203" s="978">
        <v>0</v>
      </c>
      <c r="C203" s="978">
        <f>COUNTIFS(Cards!$B$2:$B1023, B203, Cards!$L$2:$L1023, "Beast")</f>
        <v>0</v>
      </c>
      <c r="D203" s="979">
        <f>IFERROR((SUMIFS(Cards!$M$2:$M1023, Cards!$B$2:$B1023, B203, Cards!$L$2:$L1023, "Beast")/C203),0)</f>
        <v>0</v>
      </c>
      <c r="E203" s="980">
        <f>IFERROR((SUMIFS(Cards!$N$2:$N1023, Cards!$B$2:$B1023, B203, Cards!$L$2:$L1023, "Beast")/C203),0)</f>
        <v>0</v>
      </c>
      <c r="F203" s="981">
        <f>IFERROR((COUNTIFS(Cards!$P$2:$P1023, "*Charge*", Cards!$L$2:$L1023, "Beast", Cards!$B$2:B1023,B203 )/C203),0)</f>
        <v>0</v>
      </c>
      <c r="G203" s="982">
        <f>IFERROR((COUNTIFS(Cards!$P$2:$P1023, "*Taunt*", Cards!$L$2:$L1023, "Beast", Cards!$B$2:B1023,B203 )/C203),0)</f>
        <v>0</v>
      </c>
      <c r="H203" s="983">
        <f>IFERROR((COUNTIFS(Cards!$P$2:$P1023, "*Spell Damage*", Cards!$L$2:$L1023, "Beast", Cards!$B$2:B1023,B203 )/C203),0)</f>
        <v>0</v>
      </c>
      <c r="I203" s="984">
        <f>IFERROR((COUNTIFS(Cards!$P$2:$P1023, "*Deathrattle*", Cards!$L$2:$L1023, "Beast", Cards!$B$2:B1023,B203 )/C203),0)</f>
        <v>0</v>
      </c>
      <c r="J203" s="982">
        <f>IFERROR((COUNTIFS(Cards!$P$2:$P1023, "*Divine Shield*", Cards!$L$2:$L1023, "Beast", Cards!$B$2:B1023,B203 )/C203),0)</f>
        <v>0</v>
      </c>
      <c r="K203" s="983">
        <f>IFERROR((COUNTIFS(Cards!$P$2:$P1023, "*Battlecry*", Cards!$L$2:$L1023, "Beast", Cards!$B$2:B1023,B203 )/C203),0)</f>
        <v>0</v>
      </c>
    </row>
    <row r="204" spans="1:18" ht="12.75">
      <c r="B204" s="978">
        <v>1</v>
      </c>
      <c r="C204" s="978">
        <f>COUNTIFS(Cards!$B$2:$B1023, B204, Cards!$L$2:$L1023, "Beast")</f>
        <v>7</v>
      </c>
      <c r="D204" s="979">
        <f>IFERROR((SUMIFS(Cards!$M$2:$M1023, Cards!$B$2:$B1023, B204, Cards!$L$2:$L1023, "Beast")/C204),0)</f>
        <v>1.1428571428571428</v>
      </c>
      <c r="E204" s="980">
        <f>IFERROR((SUMIFS(Cards!$N$2:$N1023, Cards!$B$2:$B1023, B204, Cards!$L$2:$L1023, "Beast")/C204),0)</f>
        <v>1.1428571428571428</v>
      </c>
      <c r="F204" s="981">
        <f>IFERROR((COUNTIFS(Cards!$P$2:$P1023, "*Charge*", Cards!$L$2:$L1023, "Beast", Cards!$B$2:B1023,B204 )/C204),0)</f>
        <v>0.14285714285714285</v>
      </c>
      <c r="G204" s="982">
        <f>IFERROR((COUNTIFS(Cards!$P$2:$P1023, "*Taunt*", Cards!$L$2:$L1023, "Beast", Cards!$B$2:B1023,B204 )/C204),0)</f>
        <v>0</v>
      </c>
      <c r="H204" s="983">
        <f>IFERROR((COUNTIFS(Cards!$P$2:$P1023, "*Spell Damage*", Cards!$L$2:$L1023, "Beast", Cards!$B$2:B1023,B204 )/C204),0)</f>
        <v>0</v>
      </c>
      <c r="I204" s="984">
        <f>IFERROR((COUNTIFS(Cards!$P$2:$P1023, "*Deathrattle*", Cards!$L$2:$L1023, "Beast", Cards!$B$2:B1023,B204 )/C204),0)</f>
        <v>0.2857142857142857</v>
      </c>
      <c r="J204" s="982">
        <f>IFERROR((COUNTIFS(Cards!$P$2:$P1023, "*Divine Shield*", Cards!$L$2:$L1023, "Beast", Cards!$B$2:B1023,B204 )/C204),0)</f>
        <v>0</v>
      </c>
      <c r="K204" s="983">
        <f>IFERROR((COUNTIFS(Cards!$P$2:$P1023, "*Battlecry*", Cards!$L$2:$L1023, "Beast", Cards!$B$2:B1023,B204 )/C204),0)</f>
        <v>0.14285714285714285</v>
      </c>
    </row>
    <row r="205" spans="1:18" ht="12.75">
      <c r="B205" s="978">
        <v>2</v>
      </c>
      <c r="C205" s="978">
        <f>COUNTIFS(Cards!$B$2:$B1023, B205, Cards!$L$2:$L1023, "Beast")</f>
        <v>10</v>
      </c>
      <c r="D205" s="979">
        <f>IFERROR((SUMIFS(Cards!$M$2:$M1023, Cards!$B$2:$B1023, B205, Cards!$L$2:$L1023, "Beast")/C205),0)</f>
        <v>1.9</v>
      </c>
      <c r="E205" s="980">
        <f>IFERROR((SUMIFS(Cards!$N$2:$N1023, Cards!$B$2:$B1023, B205, Cards!$L$2:$L1023, "Beast")/C205),0)</f>
        <v>2.1</v>
      </c>
      <c r="F205" s="981">
        <f>IFERROR((COUNTIFS(Cards!$P$2:$P1023, "*Charge*", Cards!$L$2:$L1023, "Beast", Cards!$B$2:B1023,B205 )/C205),0)</f>
        <v>0</v>
      </c>
      <c r="G205" s="982">
        <f>IFERROR((COUNTIFS(Cards!$P$2:$P1023, "*Taunt*", Cards!$L$2:$L1023, "Beast", Cards!$B$2:B1023,B205 )/C205),0)</f>
        <v>0</v>
      </c>
      <c r="H205" s="983">
        <f>IFERROR((COUNTIFS(Cards!$P$2:$P1023, "*Spell Damage*", Cards!$L$2:$L1023, "Beast", Cards!$B$2:B1023,B205 )/C205),0)</f>
        <v>0</v>
      </c>
      <c r="I205" s="984">
        <f>IFERROR((COUNTIFS(Cards!$P$2:$P1023, "*Deathrattle*", Cards!$L$2:$L1023, "Beast", Cards!$B$2:B1023,B205 )/C205),0)</f>
        <v>0.2</v>
      </c>
      <c r="J205" s="982">
        <f>IFERROR((COUNTIFS(Cards!$P$2:$P1023, "*Divine Shield*", Cards!$L$2:$L1023, "Beast", Cards!$B$2:B1023,B205 )/C205),0)</f>
        <v>0</v>
      </c>
      <c r="K205" s="983">
        <f>IFERROR((COUNTIFS(Cards!$P$2:$P1023, "*Battlecry*", Cards!$L$2:$L1023, "Beast", Cards!$B$2:B1023,B205 )/C205),0)</f>
        <v>0.3</v>
      </c>
    </row>
    <row r="206" spans="1:18" ht="12.75">
      <c r="B206" s="978">
        <v>3</v>
      </c>
      <c r="C206" s="978">
        <f>COUNTIFS(Cards!$B$2:$B1023, B206, Cards!$L$2:$L1023, "Beast")</f>
        <v>12</v>
      </c>
      <c r="D206" s="979">
        <f>IFERROR((SUMIFS(Cards!$M$2:$M1023, Cards!$B$2:$B1023, B206, Cards!$L$2:$L1023, "Beast")/C206),0)</f>
        <v>2.75</v>
      </c>
      <c r="E206" s="980">
        <f>IFERROR((SUMIFS(Cards!$N$2:$N1023, Cards!$B$2:$B1023, B206, Cards!$L$2:$L1023, "Beast")/C206),0)</f>
        <v>3.0833333333333335</v>
      </c>
      <c r="F206" s="981">
        <f>IFERROR((COUNTIFS(Cards!$P$2:$P1023, "*Charge*", Cards!$L$2:$L1023, "Beast", Cards!$B$2:B1023,B206 )/C206),0)</f>
        <v>0</v>
      </c>
      <c r="G206" s="982">
        <f>IFERROR((COUNTIFS(Cards!$P$2:$P1023, "*Taunt*", Cards!$L$2:$L1023, "Beast", Cards!$B$2:B1023,B206 )/C206),0)</f>
        <v>0.25</v>
      </c>
      <c r="H206" s="983">
        <f>IFERROR((COUNTIFS(Cards!$P$2:$P1023, "*Spell Damage*", Cards!$L$2:$L1023, "Beast", Cards!$B$2:B1023,B206 )/C206),0)</f>
        <v>0</v>
      </c>
      <c r="I206" s="984">
        <f>IFERROR((COUNTIFS(Cards!$P$2:$P1023, "*Deathrattle*", Cards!$L$2:$L1023, "Beast", Cards!$B$2:B1023,B206 )/C206),0)</f>
        <v>8.3333333333333329E-2</v>
      </c>
      <c r="J206" s="982">
        <f>IFERROR((COUNTIFS(Cards!$P$2:$P1023, "*Divine Shield*", Cards!$L$2:$L1023, "Beast", Cards!$B$2:B1023,B206 )/C206),0)</f>
        <v>0</v>
      </c>
      <c r="K206" s="983">
        <f>IFERROR((COUNTIFS(Cards!$P$2:$P1023, "*Battlecry*", Cards!$L$2:$L1023, "Beast", Cards!$B$2:B1023,B206 )/C206),0)</f>
        <v>0.25</v>
      </c>
    </row>
    <row r="207" spans="1:18" ht="12.75">
      <c r="B207" s="978">
        <v>4</v>
      </c>
      <c r="C207" s="978">
        <f>COUNTIFS(Cards!$B$2:$B1023, B207, Cards!$L$2:$L1023, "Beast")</f>
        <v>6</v>
      </c>
      <c r="D207" s="979">
        <f>IFERROR((SUMIFS(Cards!$M$2:$M1023, Cards!$B$2:$B1023, B207, Cards!$L$2:$L1023, "Beast")/C207),0)</f>
        <v>4</v>
      </c>
      <c r="E207" s="980">
        <f>IFERROR((SUMIFS(Cards!$N$2:$N1023, Cards!$B$2:$B1023, B207, Cards!$L$2:$L1023, "Beast")/C207),0)</f>
        <v>4.166666666666667</v>
      </c>
      <c r="F207" s="981">
        <f>IFERROR((COUNTIFS(Cards!$P$2:$P1023, "*Charge*", Cards!$L$2:$L1023, "Beast", Cards!$B$2:B1023,B207 )/C207),0)</f>
        <v>0</v>
      </c>
      <c r="G207" s="982">
        <f>IFERROR((COUNTIFS(Cards!$P$2:$P1023, "*Taunt*", Cards!$L$2:$L1023, "Beast", Cards!$B$2:B1023,B207 )/C207),0)</f>
        <v>0</v>
      </c>
      <c r="H207" s="983">
        <f>IFERROR((COUNTIFS(Cards!$P$2:$P1023, "*Spell Damage*", Cards!$L$2:$L1023, "Beast", Cards!$B$2:B1023,B207 )/C207),0)</f>
        <v>0.16666666666666666</v>
      </c>
      <c r="I207" s="984">
        <f>IFERROR((COUNTIFS(Cards!$P$2:$P1023, "*Deathrattle*", Cards!$L$2:$L1023, "Beast", Cards!$B$2:B1023,B207 )/C207),0)</f>
        <v>0</v>
      </c>
      <c r="J207" s="982">
        <f>IFERROR((COUNTIFS(Cards!$P$2:$P1023, "*Divine Shield*", Cards!$L$2:$L1023, "Beast", Cards!$B$2:B1023,B207 )/C207),0)</f>
        <v>0</v>
      </c>
      <c r="K207" s="983">
        <f>IFERROR((COUNTIFS(Cards!$P$2:$P1023, "*Battlecry*", Cards!$L$2:$L1023, "Beast", Cards!$B$2:B1023,B207 )/C207),0)</f>
        <v>0.33333333333333331</v>
      </c>
    </row>
    <row r="208" spans="1:18" ht="12.75">
      <c r="B208" s="978">
        <v>5</v>
      </c>
      <c r="C208" s="978">
        <f>COUNTIFS(Cards!$B$2:$B1023, B208, Cards!$L$2:$L1023, "Beast")</f>
        <v>6</v>
      </c>
      <c r="D208" s="979">
        <f>IFERROR((SUMIFS(Cards!$M$2:$M1023, Cards!$B$2:$B1023, B208, Cards!$L$2:$L1023, "Beast")/C208),0)</f>
        <v>3.1666666666666665</v>
      </c>
      <c r="E208" s="980">
        <f>IFERROR((SUMIFS(Cards!$N$2:$N1023, Cards!$B$2:$B1023, B208, Cards!$L$2:$L1023, "Beast")/C208),0)</f>
        <v>4.333333333333333</v>
      </c>
      <c r="F208" s="981">
        <f>IFERROR((COUNTIFS(Cards!$P$2:$P1023, "*Charge*", Cards!$L$2:$L1023, "Beast", Cards!$B$2:B1023,B208 )/C208),0)</f>
        <v>0.16666666666666666</v>
      </c>
      <c r="G208" s="982">
        <f>IFERROR((COUNTIFS(Cards!$P$2:$P1023, "*Taunt*", Cards!$L$2:$L1023, "Beast", Cards!$B$2:B1023,B208 )/C208),0)</f>
        <v>0.16666666666666666</v>
      </c>
      <c r="H208" s="983">
        <f>IFERROR((COUNTIFS(Cards!$P$2:$P1023, "*Spell Damage*", Cards!$L$2:$L1023, "Beast", Cards!$B$2:B1023,B208 )/C208),0)</f>
        <v>0</v>
      </c>
      <c r="I208" s="984">
        <f>IFERROR((COUNTIFS(Cards!$P$2:$P1023, "*Deathrattle*", Cards!$L$2:$L1023, "Beast", Cards!$B$2:B1023,B208 )/C208),0)</f>
        <v>0</v>
      </c>
      <c r="J208" s="982">
        <f>IFERROR((COUNTIFS(Cards!$P$2:$P1023, "*Divine Shield*", Cards!$L$2:$L1023, "Beast", Cards!$B$2:B1023,B208 )/C208),0)</f>
        <v>0</v>
      </c>
      <c r="K208" s="983">
        <f>IFERROR((COUNTIFS(Cards!$P$2:$P1023, "*Battlecry*", Cards!$L$2:$L1023, "Beast", Cards!$B$2:B1023,B208 )/C208),0)</f>
        <v>0.16666666666666666</v>
      </c>
    </row>
    <row r="209" spans="2:11" ht="12.75">
      <c r="B209" s="978">
        <v>6</v>
      </c>
      <c r="C209" s="978">
        <f>COUNTIFS(Cards!$B$2:$B1023, B209, Cards!$L$2:$L1023, "Beast")</f>
        <v>3</v>
      </c>
      <c r="D209" s="979">
        <f>IFERROR((SUMIFS(Cards!$M$2:$M1023, Cards!$B$2:$B1023, B209, Cards!$L$2:$L1023, "Beast")/C209),0)</f>
        <v>6.666666666666667</v>
      </c>
      <c r="E209" s="980">
        <f>IFERROR((SUMIFS(Cards!$N$2:$N1023, Cards!$B$2:$B1023, B209, Cards!$L$2:$L1023, "Beast")/C209),0)</f>
        <v>5.666666666666667</v>
      </c>
      <c r="F209" s="981">
        <f>IFERROR((COUNTIFS(Cards!$P$2:$P1023, "*Charge*", Cards!$L$2:$L1023, "Beast", Cards!$B$2:B1023,B209 )/C209),0)</f>
        <v>0</v>
      </c>
      <c r="G209" s="982">
        <f>IFERROR((COUNTIFS(Cards!$P$2:$P1023, "*Taunt*", Cards!$L$2:$L1023, "Beast", Cards!$B$2:B1023,B209 )/C209),0)</f>
        <v>0</v>
      </c>
      <c r="H209" s="983">
        <f>IFERROR((COUNTIFS(Cards!$P$2:$P1023, "*Spell Damage*", Cards!$L$2:$L1023, "Beast", Cards!$B$2:B1023,B209 )/C209),0)</f>
        <v>0</v>
      </c>
      <c r="I209" s="984">
        <f>IFERROR((COUNTIFS(Cards!$P$2:$P1023, "*Deathrattle*", Cards!$L$2:$L1023, "Beast", Cards!$B$2:B1023,B209 )/C209),0)</f>
        <v>0.66666666666666663</v>
      </c>
      <c r="J209" s="982">
        <f>IFERROR((COUNTIFS(Cards!$P$2:$P1023, "*Divine Shield*", Cards!$L$2:$L1023, "Beast", Cards!$B$2:B1023,B209 )/C209),0)</f>
        <v>0</v>
      </c>
      <c r="K209" s="983">
        <f>IFERROR((COUNTIFS(Cards!$P$2:$P1023, "*Battlecry*", Cards!$L$2:$L1023, "Beast", Cards!$B$2:B1023,B209 )/C209),0)</f>
        <v>0.33333333333333331</v>
      </c>
    </row>
    <row r="210" spans="2:11" ht="12.75">
      <c r="B210" s="978">
        <v>7</v>
      </c>
      <c r="C210" s="978">
        <f>COUNTIFS(Cards!$B$2:$B1023, B210, Cards!$L$2:$L1023, "Beast")</f>
        <v>6</v>
      </c>
      <c r="D210" s="979">
        <f>IFERROR((SUMIFS(Cards!$M$2:$M1023, Cards!$B$2:$B1023, B210, Cards!$L$2:$L1023, "Beast")/C210),0)</f>
        <v>6.333333333333333</v>
      </c>
      <c r="E210" s="980">
        <f>IFERROR((SUMIFS(Cards!$N$2:$N1023, Cards!$B$2:$B1023, B210, Cards!$L$2:$L1023, "Beast")/C210),0)</f>
        <v>6.166666666666667</v>
      </c>
      <c r="F210" s="981">
        <f>IFERROR((COUNTIFS(Cards!$P$2:$P1023, "*Charge*", Cards!$L$2:$L1023, "Beast", Cards!$B$2:B1023,B210 )/C210),0)</f>
        <v>0</v>
      </c>
      <c r="G210" s="982">
        <f>IFERROR((COUNTIFS(Cards!$P$2:$P1023, "*Taunt*", Cards!$L$2:$L1023, "Beast", Cards!$B$2:B1023,B210 )/C210),0)</f>
        <v>0</v>
      </c>
      <c r="H210" s="983">
        <f>IFERROR((COUNTIFS(Cards!$P$2:$P1023, "*Spell Damage*", Cards!$L$2:$L1023, "Beast", Cards!$B$2:B1023,B210 )/C210),0)</f>
        <v>0</v>
      </c>
      <c r="I210" s="984">
        <f>IFERROR((COUNTIFS(Cards!$P$2:$P1023, "*Deathrattle*", Cards!$L$2:$L1023, "Beast", Cards!$B$2:B1023,B210 )/C210),0)</f>
        <v>0.16666666666666666</v>
      </c>
      <c r="J210" s="982">
        <f>IFERROR((COUNTIFS(Cards!$P$2:$P1023, "*Divine Shield*", Cards!$L$2:$L1023, "Beast", Cards!$B$2:B1023,B210 )/C210),0)</f>
        <v>0</v>
      </c>
      <c r="K210" s="983">
        <f>IFERROR((COUNTIFS(Cards!$P$2:$P1023, "*Battlecry*", Cards!$L$2:$L1023, "Beast", Cards!$B$2:B1023,B210 )/C210),0)</f>
        <v>0</v>
      </c>
    </row>
    <row r="211" spans="2:11" ht="12.75">
      <c r="B211" s="978">
        <v>8</v>
      </c>
      <c r="C211" s="978">
        <f>COUNTIFS(Cards!$B$2:$B1023, B211, Cards!$L$2:$L1023, "Beast")</f>
        <v>1</v>
      </c>
      <c r="D211" s="979">
        <f>IFERROR((SUMIFS(Cards!$M$2:$M1023, Cards!$B$2:$B1023, B211, Cards!$L$2:$L1023, "Beast")/C211),0)</f>
        <v>8</v>
      </c>
      <c r="E211" s="980">
        <f>IFERROR((SUMIFS(Cards!$N$2:$N1023, Cards!$B$2:$B1023, B211, Cards!$L$2:$L1023, "Beast")/C211),0)</f>
        <v>8</v>
      </c>
      <c r="F211" s="981">
        <f>IFERROR((COUNTIFS(Cards!$P$2:$P1023, "*Charge*", Cards!$L$2:$L1023, "Beast", Cards!$B$2:B1023,B211 )/C211),0)</f>
        <v>0</v>
      </c>
      <c r="G211" s="982">
        <f>IFERROR((COUNTIFS(Cards!$P$2:$P1023, "*Taunt*", Cards!$L$2:$L1023, "Beast", Cards!$B$2:B1023,B211 )/C211),0)</f>
        <v>0</v>
      </c>
      <c r="H211" s="983">
        <f>IFERROR((COUNTIFS(Cards!$P$2:$P1023, "*Spell Damage*", Cards!$L$2:$L1023, "Beast", Cards!$B$2:B1023,B211 )/C211),0)</f>
        <v>0</v>
      </c>
      <c r="I211" s="984">
        <f>IFERROR((COUNTIFS(Cards!$P$2:$P1023, "*Deathrattle*", Cards!$L$2:$L1023, "Beast", Cards!$B$2:B1023,B211 )/C211),0)</f>
        <v>0</v>
      </c>
      <c r="J211" s="982">
        <f>IFERROR((COUNTIFS(Cards!$P$2:$P1023, "*Divine Shield*", Cards!$L$2:$L1023, "Beast", Cards!$B$2:B1023,B211 )/C211),0)</f>
        <v>0</v>
      </c>
      <c r="K211" s="983">
        <f>IFERROR((COUNTIFS(Cards!$P$2:$P1023, "*Battlecry*", Cards!$L$2:$L1023, "Beast", Cards!$B$2:B1023,B211 )/C211),0)</f>
        <v>0</v>
      </c>
    </row>
    <row r="212" spans="2:11" ht="12.75">
      <c r="B212" s="978">
        <v>9</v>
      </c>
      <c r="C212" s="978">
        <f>COUNTIFS(Cards!$B$2:$B1023, B212, Cards!$L$2:$L1023, "Beast")</f>
        <v>1</v>
      </c>
      <c r="D212" s="979">
        <f>IFERROR((SUMIFS(Cards!$M$2:$M1023, Cards!$B$2:$B1023, B212, Cards!$L$2:$L1023, "Beast")/C212),0)</f>
        <v>8</v>
      </c>
      <c r="E212" s="980">
        <f>IFERROR((SUMIFS(Cards!$N$2:$N1023, Cards!$B$2:$B1023, B212, Cards!$L$2:$L1023, "Beast")/C212),0)</f>
        <v>8</v>
      </c>
      <c r="F212" s="981">
        <f>IFERROR((COUNTIFS(Cards!$P$2:$P1023, "*Charge*", Cards!$L$2:$L1023, "Beast", Cards!$B$2:B1023,B212 )/C212),0)</f>
        <v>1</v>
      </c>
      <c r="G212" s="982">
        <f>IFERROR((COUNTIFS(Cards!$P$2:$P1023, "*Taunt*", Cards!$L$2:$L1023, "Beast", Cards!$B$2:B1023,B212 )/C212),0)</f>
        <v>0</v>
      </c>
      <c r="H212" s="983">
        <f>IFERROR((COUNTIFS(Cards!$P$2:$P1023, "*Spell Damage*", Cards!$L$2:$L1023, "Beast", Cards!$B$2:B1023,B212 )/C212),0)</f>
        <v>0</v>
      </c>
      <c r="I212" s="984">
        <f>IFERROR((COUNTIFS(Cards!$P$2:$P1023, "*Deathrattle*", Cards!$L$2:$L1023, "Beast", Cards!$B$2:B1023,B212 )/C212),0)</f>
        <v>0</v>
      </c>
      <c r="J212" s="982">
        <f>IFERROR((COUNTIFS(Cards!$P$2:$P1023, "*Divine Shield*", Cards!$L$2:$L1023, "Beast", Cards!$B$2:B1023,B212 )/C212),0)</f>
        <v>0</v>
      </c>
      <c r="K212" s="983">
        <f>IFERROR((COUNTIFS(Cards!$P$2:$P1023, "*Battlecry*", Cards!$L$2:$L1023, "Beast", Cards!$B$2:B1023,B212 )/C212),0)</f>
        <v>0</v>
      </c>
    </row>
    <row r="213" spans="2:11" ht="12.75">
      <c r="B213" s="985">
        <v>10</v>
      </c>
      <c r="C213" s="985">
        <f>COUNTIFS(Cards!$B$2:$B1023, B213, Cards!$L$2:$L1023, "Beast")</f>
        <v>0</v>
      </c>
      <c r="D213" s="986">
        <f>IFERROR((SUMIFS(Cards!$M$2:$M1023, Cards!$B$2:$B1023, B213, Cards!$L$2:$L1023, "Beast")/C213),0)</f>
        <v>0</v>
      </c>
      <c r="E213" s="987">
        <f>IFERROR((SUMIFS(Cards!$N$2:$N1023, Cards!$B$2:$B1023, B213, Cards!$L$2:$L1023, "Beast")/C213),0)</f>
        <v>0</v>
      </c>
      <c r="F213" s="988">
        <f>IFERROR((COUNTIFS(Cards!$P$2:$P1023, "*Charge*", Cards!$L$2:$L1023, "Beast", Cards!$B$2:B1023,B213 )/C213),0)</f>
        <v>0</v>
      </c>
      <c r="G213" s="989">
        <f>IFERROR((COUNTIFS(Cards!$P$2:$P1023, "*Taunt*", Cards!$L$2:$L1023, "Beast", Cards!$B$2:B1023,B213 )/C213),0)</f>
        <v>0</v>
      </c>
      <c r="H213" s="990">
        <f>IFERROR((COUNTIFS(Cards!$P$2:$P1023, "*Spell Damage*", Cards!$L$2:$L1023, "Beast", Cards!$B$2:B1023,B213 )/C213),0)</f>
        <v>0</v>
      </c>
      <c r="I213" s="991">
        <f>IFERROR((COUNTIFS(Cards!$P$2:$P1023, "*Deathrattle*", Cards!$L$2:$L1023, "Beast", Cards!$B$2:B1023,B213 )/C213),0)</f>
        <v>0</v>
      </c>
      <c r="J213" s="989">
        <f>IFERROR((COUNTIFS(Cards!$P$2:$P1023, "*Divine Shield*", Cards!$L$2:$L1023, "Beast", Cards!$B$2:B1023,B213 )/C213),0)</f>
        <v>0</v>
      </c>
      <c r="K213" s="990">
        <f>IFERROR((COUNTIFS(Cards!$P$2:$P1023, "*Battlecry*", Cards!$L$2:$L1023, "Beast", Cards!$B$2:B1023,B213 )/C213),0)</f>
        <v>0</v>
      </c>
    </row>
    <row r="214" spans="2:11" ht="12.75">
      <c r="B214" s="993" t="s">
        <v>2201</v>
      </c>
      <c r="C214" s="994">
        <f>SUM(C203:C213)</f>
        <v>52</v>
      </c>
      <c r="D214" s="995">
        <f>SUMIFS(Cards!$M$2:$M1023, Cards!$L$2:$L1023, "Beast")/C214</f>
        <v>3.4038461538461537</v>
      </c>
      <c r="E214" s="996">
        <f>SUMIFS(Cards!$N$2:$N1023, Cards!$L$2:$L1023, "Beast")/C214</f>
        <v>3.5961538461538463</v>
      </c>
      <c r="F214" s="997">
        <f>COUNTIFS(Cards!$P$2:$P1023, "*Charge*", Cards!$L$2:$L1023, "Beast")/C214</f>
        <v>5.7692307692307696E-2</v>
      </c>
      <c r="G214" s="997">
        <f>COUNTIFS(Cards!$P$2:$P1023, "*Taunt*", Cards!$L$2:$L1023, "Beast")/C214</f>
        <v>7.6923076923076927E-2</v>
      </c>
      <c r="H214" s="997">
        <f>COUNTIFS(Cards!$P$2:$P1023, "*Spell Damage*", Cards!$L$2:$L1023, "Beast")/C214</f>
        <v>1.9230769230769232E-2</v>
      </c>
      <c r="I214" s="997">
        <f>COUNTIFS(Cards!$P$2:$P1023, "*Deathrattle*", Cards!$L$2:$L1023, "Beast")/C214</f>
        <v>0.15384615384615385</v>
      </c>
      <c r="J214" s="997">
        <f>COUNTIFS(Cards!$P$2:$P1023, "*Divine Shield*", Cards!$L$2:$L1023, "Beast")/C214</f>
        <v>0</v>
      </c>
      <c r="K214" s="998">
        <f>COUNTIFS(Cards!$P$2:$P1023, "*Battlecry*", Cards!$L$2:$L1023, "Beast")/C214</f>
        <v>0.21153846153846154</v>
      </c>
    </row>
    <row r="216" spans="2:11" ht="12.75">
      <c r="B216" s="1217" t="s">
        <v>2202</v>
      </c>
      <c r="C216" s="1102"/>
      <c r="D216" s="1102"/>
      <c r="E216" s="1102"/>
      <c r="F216" s="1102"/>
      <c r="G216" s="1102"/>
      <c r="H216" s="1102"/>
      <c r="I216" s="1102"/>
      <c r="J216" s="1102"/>
      <c r="K216" s="1030"/>
    </row>
    <row r="217" spans="2:11" ht="12.75">
      <c r="B217" s="977" t="s">
        <v>2187</v>
      </c>
      <c r="C217" s="977" t="s">
        <v>67</v>
      </c>
      <c r="D217" s="977" t="s">
        <v>2188</v>
      </c>
      <c r="E217" s="977" t="s">
        <v>125</v>
      </c>
      <c r="F217" s="977" t="s">
        <v>295</v>
      </c>
      <c r="G217" s="977" t="s">
        <v>1239</v>
      </c>
      <c r="H217" s="977" t="s">
        <v>2189</v>
      </c>
      <c r="I217" s="977" t="s">
        <v>2190</v>
      </c>
      <c r="J217" s="977" t="s">
        <v>1010</v>
      </c>
      <c r="K217" s="977" t="s">
        <v>2191</v>
      </c>
    </row>
    <row r="218" spans="2:11" ht="12.75">
      <c r="B218" s="978">
        <v>0</v>
      </c>
      <c r="C218" s="978">
        <f>COUNTIFS(Cards!$B$2:$B1023, B218, Cards!$L$2:$L1023, "Beast",Cards!$Q$2:$Q1023, "Standard")</f>
        <v>0</v>
      </c>
      <c r="D218" s="979">
        <f>IFERROR((SUMIFS(Cards!$M$2:$M1023, Cards!$B$2:$B1023, B218, Cards!$L$2:$L1023, "Beast",Cards!$Q$2:$Q1023, "Standard")/C218),0)</f>
        <v>0</v>
      </c>
      <c r="E218" s="980">
        <f>IFERROR((SUMIFS(Cards!$N$2:$N1023, Cards!$B$2:$B1023, B218, Cards!$L$2:$L1023, "Beast",Cards!$Q$2:$Q1023, "Standard")/C218),0)</f>
        <v>0</v>
      </c>
      <c r="F218" s="981">
        <f>IFERROR((COUNTIFS(Cards!$P$2:$P1023, "*Charge*", Cards!$L$2:$L1023, "Beast",Cards!$Q$2:$Q1023, "Standard", Cards!$B$2:B1023,B218 )/C218),0)</f>
        <v>0</v>
      </c>
      <c r="G218" s="982">
        <f>IFERROR((COUNTIFS(Cards!$P$2:$P1023, "*Taunt*", Cards!$L$2:$L1023, "Beast",Cards!$Q$2:$Q1023, "Standard", Cards!$B$2:B1023,B218 )/C218),0)</f>
        <v>0</v>
      </c>
      <c r="H218" s="983">
        <f>IFERROR((COUNTIFS(Cards!$P$2:$P1023, "*Spell Damage*", Cards!$L$2:$L1023, "Beast",Cards!$Q$2:$Q1023, "Standard", Cards!$B$2:B1023,B218 )/C218),0)</f>
        <v>0</v>
      </c>
      <c r="I218" s="984">
        <f>IFERROR((COUNTIFS(Cards!$P$2:$P1023, "*Deathrattle*", Cards!$L$2:$L1023, "Beast",Cards!$Q$2:$Q1023, "Standard", Cards!$B$2:B1023,B218 )/C218),0)</f>
        <v>0</v>
      </c>
      <c r="J218" s="982">
        <f>IFERROR((COUNTIFS(Cards!$P$2:$P1023, "*Divine Shield*", Cards!$L$2:$L1023, "Beast",Cards!$Q$2:$Q1023, "Standard", Cards!$B$2:B1023,B218 )/C218),0)</f>
        <v>0</v>
      </c>
      <c r="K218" s="983">
        <f>IFERROR((COUNTIFS(Cards!$P$2:$P1023, "*Battlecry*", Cards!$L$2:$L1023, "Beast",Cards!$Q$2:$Q1023, "Standard", Cards!$B$2:B1023,B218 )/C218),0)</f>
        <v>0</v>
      </c>
    </row>
    <row r="219" spans="2:11" ht="12.75">
      <c r="B219" s="978">
        <v>1</v>
      </c>
      <c r="C219" s="978">
        <f>COUNTIFS(Cards!$B$2:$B1023, B219, Cards!$L$2:$L1023, "Beast",Cards!$Q$2:$Q1023, "Standard")</f>
        <v>6</v>
      </c>
      <c r="D219" s="979">
        <f>IFERROR((SUMIFS(Cards!$M$2:$M1023, Cards!$B$2:$B1023, B219, Cards!$L$2:$L1023, "Beast",Cards!$Q$2:$Q1023, "Standard")/C219),0)</f>
        <v>1.1666666666666667</v>
      </c>
      <c r="E219" s="980">
        <f>IFERROR((SUMIFS(Cards!$N$2:$N1023, Cards!$B$2:$B1023, B219, Cards!$L$2:$L1023, "Beast",Cards!$Q$2:$Q1023, "Standard")/C219),0)</f>
        <v>1.1666666666666667</v>
      </c>
      <c r="F219" s="981">
        <f>IFERROR((COUNTIFS(Cards!$P$2:$P1023, "*Charge*", Cards!$L$2:$L1023, "Beast",Cards!$Q$2:$Q1023, "Standard", Cards!$B$2:B1023,B219 )/C219),0)</f>
        <v>0.16666666666666666</v>
      </c>
      <c r="G219" s="982">
        <f>IFERROR((COUNTIFS(Cards!$P$2:$P1023, "*Taunt*", Cards!$L$2:$L1023, "Beast",Cards!$Q$2:$Q1023, "Standard", Cards!$B$2:B1023,B219 )/C219),0)</f>
        <v>0</v>
      </c>
      <c r="H219" s="983">
        <f>IFERROR((COUNTIFS(Cards!$P$2:$P1023, "*Spell Damage*", Cards!$L$2:$L1023, "Beast",Cards!$Q$2:$Q1023, "Standard", Cards!$B$2:B1023,B219 )/C219),0)</f>
        <v>0</v>
      </c>
      <c r="I219" s="984">
        <f>IFERROR((COUNTIFS(Cards!$P$2:$P1023, "*Deathrattle*", Cards!$L$2:$L1023, "Beast",Cards!$Q$2:$Q1023, "Standard", Cards!$B$2:B1023,B219 )/C219),0)</f>
        <v>0.16666666666666666</v>
      </c>
      <c r="J219" s="982">
        <f>IFERROR((COUNTIFS(Cards!$P$2:$P1023, "*Divine Shield*", Cards!$L$2:$L1023, "Beast",Cards!$Q$2:$Q1023, "Standard", Cards!$B$2:B1023,B219 )/C219),0)</f>
        <v>0</v>
      </c>
      <c r="K219" s="983">
        <f>IFERROR((COUNTIFS(Cards!$P$2:$P1023, "*Battlecry*", Cards!$L$2:$L1023, "Beast",Cards!$Q$2:$Q1023, "Standard", Cards!$B$2:B1023,B219 )/C219),0)</f>
        <v>0.16666666666666666</v>
      </c>
    </row>
    <row r="220" spans="2:11" ht="12.75">
      <c r="B220" s="978">
        <v>2</v>
      </c>
      <c r="C220" s="978">
        <f>COUNTIFS(Cards!$B$2:$B1023, B220, Cards!$L$2:$L1023, "Beast",Cards!$Q$2:$Q1023, "Standard")</f>
        <v>8</v>
      </c>
      <c r="D220" s="979">
        <f>IFERROR((SUMIFS(Cards!$M$2:$M1023, Cards!$B$2:$B1023, B220, Cards!$L$2:$L1023, "Beast",Cards!$Q$2:$Q1023, "Standard")/C220),0)</f>
        <v>2.125</v>
      </c>
      <c r="E220" s="980">
        <f>IFERROR((SUMIFS(Cards!$N$2:$N1023, Cards!$B$2:$B1023, B220, Cards!$L$2:$L1023, "Beast",Cards!$Q$2:$Q1023, "Standard")/C220),0)</f>
        <v>2.25</v>
      </c>
      <c r="F220" s="981">
        <f>IFERROR((COUNTIFS(Cards!$P$2:$P1023, "*Charge*", Cards!$L$2:$L1023, "Beast",Cards!$Q$2:$Q1023, "Standard", Cards!$B$2:B1023,B220 )/C220),0)</f>
        <v>0</v>
      </c>
      <c r="G220" s="982">
        <f>IFERROR((COUNTIFS(Cards!$P$2:$P1023, "*Taunt*", Cards!$L$2:$L1023, "Beast",Cards!$Q$2:$Q1023, "Standard", Cards!$B$2:B1023,B220 )/C220),0)</f>
        <v>0</v>
      </c>
      <c r="H220" s="983">
        <f>IFERROR((COUNTIFS(Cards!$P$2:$P1023, "*Spell Damage*", Cards!$L$2:$L1023, "Beast",Cards!$Q$2:$Q1023, "Standard", Cards!$B$2:B1023,B220 )/C220),0)</f>
        <v>0</v>
      </c>
      <c r="I220" s="984">
        <f>IFERROR((COUNTIFS(Cards!$P$2:$P1023, "*Deathrattle*", Cards!$L$2:$L1023, "Beast",Cards!$Q$2:$Q1023, "Standard", Cards!$B$2:B1023,B220 )/C220),0)</f>
        <v>0.125</v>
      </c>
      <c r="J220" s="982">
        <f>IFERROR((COUNTIFS(Cards!$P$2:$P1023, "*Divine Shield*", Cards!$L$2:$L1023, "Beast",Cards!$Q$2:$Q1023, "Standard", Cards!$B$2:B1023,B220 )/C220),0)</f>
        <v>0</v>
      </c>
      <c r="K220" s="983">
        <f>IFERROR((COUNTIFS(Cards!$P$2:$P1023, "*Battlecry*", Cards!$L$2:$L1023, "Beast",Cards!$Q$2:$Q1023, "Standard", Cards!$B$2:B1023,B220 )/C220),0)</f>
        <v>0.25</v>
      </c>
    </row>
    <row r="221" spans="2:11" ht="12.75">
      <c r="B221" s="978">
        <v>3</v>
      </c>
      <c r="C221" s="978">
        <f>COUNTIFS(Cards!$B$2:$B1023, B221, Cards!$L$2:$L1023, "Beast",Cards!$Q$2:$Q1023, "Standard")</f>
        <v>12</v>
      </c>
      <c r="D221" s="979">
        <f>IFERROR((SUMIFS(Cards!$M$2:$M1023, Cards!$B$2:$B1023, B221, Cards!$L$2:$L1023, "Beast",Cards!$Q$2:$Q1023, "Standard")/C221),0)</f>
        <v>2.75</v>
      </c>
      <c r="E221" s="980">
        <f>IFERROR((SUMIFS(Cards!$N$2:$N1023, Cards!$B$2:$B1023, B221, Cards!$L$2:$L1023, "Beast",Cards!$Q$2:$Q1023, "Standard")/C221),0)</f>
        <v>3.0833333333333335</v>
      </c>
      <c r="F221" s="981">
        <f>IFERROR((COUNTIFS(Cards!$P$2:$P1023, "*Charge*", Cards!$L$2:$L1023, "Beast",Cards!$Q$2:$Q1023, "Standard", Cards!$B$2:B1023,B221 )/C221),0)</f>
        <v>0</v>
      </c>
      <c r="G221" s="982">
        <f>IFERROR((COUNTIFS(Cards!$P$2:$P1023, "*Taunt*", Cards!$L$2:$L1023, "Beast",Cards!$Q$2:$Q1023, "Standard", Cards!$B$2:B1023,B221 )/C221),0)</f>
        <v>0.25</v>
      </c>
      <c r="H221" s="983">
        <f>IFERROR((COUNTIFS(Cards!$P$2:$P1023, "*Spell Damage*", Cards!$L$2:$L1023, "Beast",Cards!$Q$2:$Q1023, "Standard", Cards!$B$2:B1023,B221 )/C221),0)</f>
        <v>0</v>
      </c>
      <c r="I221" s="984">
        <f>IFERROR((COUNTIFS(Cards!$P$2:$P1023, "*Deathrattle*", Cards!$L$2:$L1023, "Beast",Cards!$Q$2:$Q1023, "Standard", Cards!$B$2:B1023,B221 )/C221),0)</f>
        <v>8.3333333333333329E-2</v>
      </c>
      <c r="J221" s="982">
        <f>IFERROR((COUNTIFS(Cards!$P$2:$P1023, "*Divine Shield*", Cards!$L$2:$L1023, "Beast",Cards!$Q$2:$Q1023, "Standard", Cards!$B$2:B1023,B221 )/C221),0)</f>
        <v>0</v>
      </c>
      <c r="K221" s="983">
        <f>IFERROR((COUNTIFS(Cards!$P$2:$P1023, "*Battlecry*", Cards!$L$2:$L1023, "Beast",Cards!$Q$2:$Q1023, "Standard", Cards!$B$2:B1023,B221 )/C221),0)</f>
        <v>0.25</v>
      </c>
    </row>
    <row r="222" spans="2:11" ht="12.75">
      <c r="B222" s="978">
        <v>4</v>
      </c>
      <c r="C222" s="978">
        <f>COUNTIFS(Cards!$B$2:$B1023, B222, Cards!$L$2:$L1023, "Beast",Cards!$Q$2:$Q1023, "Standard")</f>
        <v>5</v>
      </c>
      <c r="D222" s="979">
        <f>IFERROR((SUMIFS(Cards!$M$2:$M1023, Cards!$B$2:$B1023, B222, Cards!$L$2:$L1023, "Beast",Cards!$Q$2:$Q1023, "Standard")/C222),0)</f>
        <v>3.8</v>
      </c>
      <c r="E222" s="980">
        <f>IFERROR((SUMIFS(Cards!$N$2:$N1023, Cards!$B$2:$B1023, B222, Cards!$L$2:$L1023, "Beast",Cards!$Q$2:$Q1023, "Standard")/C222),0)</f>
        <v>4.2</v>
      </c>
      <c r="F222" s="981">
        <f>IFERROR((COUNTIFS(Cards!$P$2:$P1023, "*Charge*", Cards!$L$2:$L1023, "Beast",Cards!$Q$2:$Q1023, "Standard", Cards!$B$2:B1023,B222 )/C222),0)</f>
        <v>0</v>
      </c>
      <c r="G222" s="982">
        <f>IFERROR((COUNTIFS(Cards!$P$2:$P1023, "*Taunt*", Cards!$L$2:$L1023, "Beast",Cards!$Q$2:$Q1023, "Standard", Cards!$B$2:B1023,B222 )/C222),0)</f>
        <v>0</v>
      </c>
      <c r="H222" s="983">
        <f>IFERROR((COUNTIFS(Cards!$P$2:$P1023, "*Spell Damage*", Cards!$L$2:$L1023, "Beast",Cards!$Q$2:$Q1023, "Standard", Cards!$B$2:B1023,B222 )/C222),0)</f>
        <v>0.2</v>
      </c>
      <c r="I222" s="984">
        <f>IFERROR((COUNTIFS(Cards!$P$2:$P1023, "*Deathrattle*", Cards!$L$2:$L1023, "Beast",Cards!$Q$2:$Q1023, "Standard", Cards!$B$2:B1023,B222 )/C222),0)</f>
        <v>0</v>
      </c>
      <c r="J222" s="982">
        <f>IFERROR((COUNTIFS(Cards!$P$2:$P1023, "*Divine Shield*", Cards!$L$2:$L1023, "Beast",Cards!$Q$2:$Q1023, "Standard", Cards!$B$2:B1023,B222 )/C222),0)</f>
        <v>0</v>
      </c>
      <c r="K222" s="983">
        <f>IFERROR((COUNTIFS(Cards!$P$2:$P1023, "*Battlecry*", Cards!$L$2:$L1023, "Beast",Cards!$Q$2:$Q1023, "Standard", Cards!$B$2:B1023,B222 )/C222),0)</f>
        <v>0.4</v>
      </c>
    </row>
    <row r="223" spans="2:11" ht="12.75">
      <c r="B223" s="978">
        <v>5</v>
      </c>
      <c r="C223" s="978">
        <f>COUNTIFS(Cards!$B$2:$B1023, B223, Cards!$L$2:$L1023, "Beast",Cards!$Q$2:$Q1023, "Standard")</f>
        <v>5</v>
      </c>
      <c r="D223" s="979">
        <f>IFERROR((SUMIFS(Cards!$M$2:$M1023, Cards!$B$2:$B1023, B223, Cards!$L$2:$L1023, "Beast",Cards!$Q$2:$Q1023, "Standard")/C223),0)</f>
        <v>3.4</v>
      </c>
      <c r="E223" s="980">
        <f>IFERROR((SUMIFS(Cards!$N$2:$N1023, Cards!$B$2:$B1023, B223, Cards!$L$2:$L1023, "Beast",Cards!$Q$2:$Q1023, "Standard")/C223),0)</f>
        <v>4</v>
      </c>
      <c r="F223" s="981">
        <f>IFERROR((COUNTIFS(Cards!$P$2:$P1023, "*Charge*", Cards!$L$2:$L1023, "Beast",Cards!$Q$2:$Q1023, "Standard", Cards!$B$2:B1023,B223 )/C223),0)</f>
        <v>0.2</v>
      </c>
      <c r="G223" s="982">
        <f>IFERROR((COUNTIFS(Cards!$P$2:$P1023, "*Taunt*", Cards!$L$2:$L1023, "Beast",Cards!$Q$2:$Q1023, "Standard", Cards!$B$2:B1023,B223 )/C223),0)</f>
        <v>0</v>
      </c>
      <c r="H223" s="983">
        <f>IFERROR((COUNTIFS(Cards!$P$2:$P1023, "*Spell Damage*", Cards!$L$2:$L1023, "Beast",Cards!$Q$2:$Q1023, "Standard", Cards!$B$2:B1023,B223 )/C223),0)</f>
        <v>0</v>
      </c>
      <c r="I223" s="984">
        <f>IFERROR((COUNTIFS(Cards!$P$2:$P1023, "*Deathrattle*", Cards!$L$2:$L1023, "Beast",Cards!$Q$2:$Q1023, "Standard", Cards!$B$2:B1023,B223 )/C223),0)</f>
        <v>0</v>
      </c>
      <c r="J223" s="982">
        <f>IFERROR((COUNTIFS(Cards!$P$2:$P1023, "*Divine Shield*", Cards!$L$2:$L1023, "Beast",Cards!$Q$2:$Q1023, "Standard", Cards!$B$2:B1023,B223 )/C223),0)</f>
        <v>0</v>
      </c>
      <c r="K223" s="983">
        <f>IFERROR((COUNTIFS(Cards!$P$2:$P1023, "*Battlecry*", Cards!$L$2:$L1023, "Beast",Cards!$Q$2:$Q1023, "Standard", Cards!$B$2:B1023,B223 )/C223),0)</f>
        <v>0.2</v>
      </c>
    </row>
    <row r="224" spans="2:11" ht="12.75">
      <c r="B224" s="978">
        <v>6</v>
      </c>
      <c r="C224" s="978">
        <f>COUNTIFS(Cards!$B$2:$B1023, B224, Cards!$L$2:$L1023, "Beast",Cards!$Q$2:$Q1023, "Standard")</f>
        <v>3</v>
      </c>
      <c r="D224" s="979">
        <f>IFERROR((SUMIFS(Cards!$M$2:$M1023, Cards!$B$2:$B1023, B224, Cards!$L$2:$L1023, "Beast",Cards!$Q$2:$Q1023, "Standard")/C224),0)</f>
        <v>6.666666666666667</v>
      </c>
      <c r="E224" s="980">
        <f>IFERROR((SUMIFS(Cards!$N$2:$N1023, Cards!$B$2:$B1023, B224, Cards!$L$2:$L1023, "Beast",Cards!$Q$2:$Q1023, "Standard")/C224),0)</f>
        <v>5.666666666666667</v>
      </c>
      <c r="F224" s="981">
        <f>IFERROR((COUNTIFS(Cards!$P$2:$P1023, "*Charge*", Cards!$L$2:$L1023, "Beast",Cards!$Q$2:$Q1023, "Standard", Cards!$B$2:B1023,B224 )/C224),0)</f>
        <v>0</v>
      </c>
      <c r="G224" s="982">
        <f>IFERROR((COUNTIFS(Cards!$P$2:$P1023, "*Taunt*", Cards!$L$2:$L1023, "Beast",Cards!$Q$2:$Q1023, "Standard", Cards!$B$2:B1023,B224 )/C224),0)</f>
        <v>0</v>
      </c>
      <c r="H224" s="983">
        <f>IFERROR((COUNTIFS(Cards!$P$2:$P1023, "*Spell Damage*", Cards!$L$2:$L1023, "Beast",Cards!$Q$2:$Q1023, "Standard", Cards!$B$2:B1023,B224 )/C224),0)</f>
        <v>0</v>
      </c>
      <c r="I224" s="984">
        <f>IFERROR((COUNTIFS(Cards!$P$2:$P1023, "*Deathrattle*", Cards!$L$2:$L1023, "Beast",Cards!$Q$2:$Q1023, "Standard", Cards!$B$2:B1023,B224 )/C224),0)</f>
        <v>0.66666666666666663</v>
      </c>
      <c r="J224" s="982">
        <f>IFERROR((COUNTIFS(Cards!$P$2:$P1023, "*Divine Shield*", Cards!$L$2:$L1023, "Beast",Cards!$Q$2:$Q1023, "Standard", Cards!$B$2:B1023,B224 )/C224),0)</f>
        <v>0</v>
      </c>
      <c r="K224" s="983">
        <f>IFERROR((COUNTIFS(Cards!$P$2:$P1023, "*Battlecry*", Cards!$L$2:$L1023, "Beast",Cards!$Q$2:$Q1023, "Standard", Cards!$B$2:B1023,B224 )/C224),0)</f>
        <v>0.33333333333333331</v>
      </c>
    </row>
    <row r="225" spans="1:18" ht="12.75">
      <c r="B225" s="978">
        <v>7</v>
      </c>
      <c r="C225" s="978">
        <f>COUNTIFS(Cards!$B$2:$B1023, B225, Cards!$L$2:$L1023, "Beast",Cards!$Q$2:$Q1023, "Standard")</f>
        <v>4</v>
      </c>
      <c r="D225" s="979">
        <f>IFERROR((SUMIFS(Cards!$M$2:$M1023, Cards!$B$2:$B1023, B225, Cards!$L$2:$L1023, "Beast",Cards!$Q$2:$Q1023, "Standard")/C225),0)</f>
        <v>5.75</v>
      </c>
      <c r="E225" s="980">
        <f>IFERROR((SUMIFS(Cards!$N$2:$N1023, Cards!$B$2:$B1023, B225, Cards!$L$2:$L1023, "Beast",Cards!$Q$2:$Q1023, "Standard")/C225),0)</f>
        <v>5.25</v>
      </c>
      <c r="F225" s="981">
        <f>IFERROR((COUNTIFS(Cards!$P$2:$P1023, "*Charge*", Cards!$L$2:$L1023, "Beast",Cards!$Q$2:$Q1023, "Standard", Cards!$B$2:B1023,B225 )/C225),0)</f>
        <v>0</v>
      </c>
      <c r="G225" s="982">
        <f>IFERROR((COUNTIFS(Cards!$P$2:$P1023, "*Taunt*", Cards!$L$2:$L1023, "Beast",Cards!$Q$2:$Q1023, "Standard", Cards!$B$2:B1023,B225 )/C225),0)</f>
        <v>0</v>
      </c>
      <c r="H225" s="983">
        <f>IFERROR((COUNTIFS(Cards!$P$2:$P1023, "*Spell Damage*", Cards!$L$2:$L1023, "Beast",Cards!$Q$2:$Q1023, "Standard", Cards!$B$2:B1023,B225 )/C225),0)</f>
        <v>0</v>
      </c>
      <c r="I225" s="984">
        <f>IFERROR((COUNTIFS(Cards!$P$2:$P1023, "*Deathrattle*", Cards!$L$2:$L1023, "Beast",Cards!$Q$2:$Q1023, "Standard", Cards!$B$2:B1023,B225 )/C225),0)</f>
        <v>0</v>
      </c>
      <c r="J225" s="982">
        <f>IFERROR((COUNTIFS(Cards!$P$2:$P1023, "*Divine Shield*", Cards!$L$2:$L1023, "Beast",Cards!$Q$2:$Q1023, "Standard", Cards!$B$2:B1023,B225 )/C225),0)</f>
        <v>0</v>
      </c>
      <c r="K225" s="983">
        <f>IFERROR((COUNTIFS(Cards!$P$2:$P1023, "*Battlecry*", Cards!$L$2:$L1023, "Beast",Cards!$Q$2:$Q1023, "Standard", Cards!$B$2:B1023,B225 )/C225),0)</f>
        <v>0</v>
      </c>
    </row>
    <row r="226" spans="1:18" ht="12.75">
      <c r="B226" s="978">
        <v>8</v>
      </c>
      <c r="C226" s="978">
        <f>COUNTIFS(Cards!$B$2:$B1023, B226, Cards!$L$2:$L1023, "Beast",Cards!$Q$2:$Q1023, "Standard")</f>
        <v>1</v>
      </c>
      <c r="D226" s="979">
        <f>IFERROR((SUMIFS(Cards!$M$2:$M1023, Cards!$B$2:$B1023, B226, Cards!$L$2:$L1023, "Beast",Cards!$Q$2:$Q1023, "Standard")/C226),0)</f>
        <v>8</v>
      </c>
      <c r="E226" s="980">
        <f>IFERROR((SUMIFS(Cards!$N$2:$N1023, Cards!$B$2:$B1023, B226, Cards!$L$2:$L1023, "Beast",Cards!$Q$2:$Q1023, "Standard")/C226),0)</f>
        <v>8</v>
      </c>
      <c r="F226" s="981">
        <f>IFERROR((COUNTIFS(Cards!$P$2:$P1023, "*Charge*", Cards!$L$2:$L1023, "Beast",Cards!$Q$2:$Q1023, "Standard", Cards!$B$2:B1023,B226 )/C226),0)</f>
        <v>0</v>
      </c>
      <c r="G226" s="982">
        <f>IFERROR((COUNTIFS(Cards!$P$2:$P1023, "*Taunt*", Cards!$L$2:$L1023, "Beast",Cards!$Q$2:$Q1023, "Standard", Cards!$B$2:B1023,B226 )/C226),0)</f>
        <v>0</v>
      </c>
      <c r="H226" s="983">
        <f>IFERROR((COUNTIFS(Cards!$P$2:$P1023, "*Spell Damage*", Cards!$L$2:$L1023, "Beast",Cards!$Q$2:$Q1023, "Standard", Cards!$B$2:B1023,B226 )/C226),0)</f>
        <v>0</v>
      </c>
      <c r="I226" s="984">
        <f>IFERROR((COUNTIFS(Cards!$P$2:$P1023, "*Deathrattle*", Cards!$L$2:$L1023, "Beast",Cards!$Q$2:$Q1023, "Standard", Cards!$B$2:B1023,B226 )/C226),0)</f>
        <v>0</v>
      </c>
      <c r="J226" s="982">
        <f>IFERROR((COUNTIFS(Cards!$P$2:$P1023, "*Divine Shield*", Cards!$L$2:$L1023, "Beast",Cards!$Q$2:$Q1023, "Standard", Cards!$B$2:B1023,B226 )/C226),0)</f>
        <v>0</v>
      </c>
      <c r="K226" s="983">
        <f>IFERROR((COUNTIFS(Cards!$P$2:$P1023, "*Battlecry*", Cards!$L$2:$L1023, "Beast",Cards!$Q$2:$Q1023, "Standard", Cards!$B$2:B1023,B226 )/C226),0)</f>
        <v>0</v>
      </c>
    </row>
    <row r="227" spans="1:18" ht="12.75">
      <c r="B227" s="978">
        <v>9</v>
      </c>
      <c r="C227" s="978">
        <f>COUNTIFS(Cards!$B$2:$B1023, B227, Cards!$L$2:$L1023, "Beast",Cards!$Q$2:$Q1023, "Standard")</f>
        <v>1</v>
      </c>
      <c r="D227" s="979">
        <f>IFERROR((SUMIFS(Cards!$M$2:$M1023, Cards!$B$2:$B1023, B227, Cards!$L$2:$L1023, "Beast",Cards!$Q$2:$Q1023, "Standard")/C227),0)</f>
        <v>8</v>
      </c>
      <c r="E227" s="980">
        <f>IFERROR((SUMIFS(Cards!$N$2:$N1023, Cards!$B$2:$B1023, B227, Cards!$L$2:$L1023, "Beast",Cards!$Q$2:$Q1023, "Standard")/C227),0)</f>
        <v>8</v>
      </c>
      <c r="F227" s="981">
        <f>IFERROR((COUNTIFS(Cards!$P$2:$P1023, "*Charge*", Cards!$L$2:$L1023, "Beast",Cards!$Q$2:$Q1023, "Standard", Cards!$B$2:B1023,B227 )/C227),0)</f>
        <v>1</v>
      </c>
      <c r="G227" s="982">
        <f>IFERROR((COUNTIFS(Cards!$P$2:$P1023, "*Taunt*", Cards!$L$2:$L1023, "Beast",Cards!$Q$2:$Q1023, "Standard", Cards!$B$2:B1023,B227 )/C227),0)</f>
        <v>0</v>
      </c>
      <c r="H227" s="983">
        <f>IFERROR((COUNTIFS(Cards!$P$2:$P1023, "*Spell Damage*", Cards!$L$2:$L1023, "Beast",Cards!$Q$2:$Q1023, "Standard", Cards!$B$2:B1023,B227 )/C227),0)</f>
        <v>0</v>
      </c>
      <c r="I227" s="984">
        <f>IFERROR((COUNTIFS(Cards!$P$2:$P1023, "*Deathrattle*", Cards!$L$2:$L1023, "Beast",Cards!$Q$2:$Q1023, "Standard", Cards!$B$2:B1023,B227 )/C227),0)</f>
        <v>0</v>
      </c>
      <c r="J227" s="982">
        <f>IFERROR((COUNTIFS(Cards!$P$2:$P1023, "*Divine Shield*", Cards!$L$2:$L1023, "Beast",Cards!$Q$2:$Q1023, "Standard", Cards!$B$2:B1023,B227 )/C227),0)</f>
        <v>0</v>
      </c>
      <c r="K227" s="983">
        <f>IFERROR((COUNTIFS(Cards!$P$2:$P1023, "*Battlecry*", Cards!$L$2:$L1023, "Beast",Cards!$Q$2:$Q1023, "Standard", Cards!$B$2:B1023,B227 )/C227),0)</f>
        <v>0</v>
      </c>
    </row>
    <row r="228" spans="1:18" ht="12.75">
      <c r="B228" s="985">
        <v>10</v>
      </c>
      <c r="C228" s="985">
        <f>COUNTIFS(Cards!$B$2:$B1023, B228, Cards!$L$2:$L1023, "Beast",Cards!$Q$2:$Q1023, "Standard")</f>
        <v>0</v>
      </c>
      <c r="D228" s="986">
        <f>IFERROR((SUMIFS(Cards!$M$2:$M1023, Cards!$B$2:$B1023, B228, Cards!$L$2:$L1023, "Beast",Cards!$Q$2:$Q1023, "Standard")/C228),0)</f>
        <v>0</v>
      </c>
      <c r="E228" s="987">
        <f>IFERROR((SUMIFS(Cards!$N$2:$N1023, Cards!$B$2:$B1023, B228, Cards!$L$2:$L1023, "Beast",Cards!$Q$2:$Q1023, "Standard")/C228),0)</f>
        <v>0</v>
      </c>
      <c r="F228" s="988">
        <f>IFERROR((COUNTIFS(Cards!$P$2:$P1023, "*Charge*", Cards!$L$2:$L1023, "Beast",Cards!$Q$2:$Q1023, "Standard", Cards!$B$2:B1023,B228 )/C228),0)</f>
        <v>0</v>
      </c>
      <c r="G228" s="989">
        <f>IFERROR((COUNTIFS(Cards!$P$2:$P1023, "*Taunt*", Cards!$L$2:$L1023, "Beast",Cards!$Q$2:$Q1023, "Standard", Cards!$B$2:B1023,B228 )/C228),0)</f>
        <v>0</v>
      </c>
      <c r="H228" s="990">
        <f>IFERROR((COUNTIFS(Cards!$P$2:$P1023, "*Spell Damage*", Cards!$L$2:$L1023, "Beast",Cards!$Q$2:$Q1023, "Standard", Cards!$B$2:B1023,B228 )/C228),0)</f>
        <v>0</v>
      </c>
      <c r="I228" s="991">
        <f>IFERROR((COUNTIFS(Cards!$P$2:$P1023, "*Deathrattle*", Cards!$L$2:$L1023, "Beast",Cards!$Q$2:$Q1023, "Standard", Cards!$B$2:B1023,B228 )/C228),0)</f>
        <v>0</v>
      </c>
      <c r="J228" s="989">
        <f>IFERROR((COUNTIFS(Cards!$P$2:$P1023, "*Divine Shield*", Cards!$L$2:$L1023, "Beast",Cards!$Q$2:$Q1023, "Standard", Cards!$B$2:B1023,B228 )/C228),0)</f>
        <v>0</v>
      </c>
      <c r="K228" s="990">
        <f>IFERROR((COUNTIFS(Cards!$P$2:$P1023, "*Battlecry*", Cards!$L$2:$L1023, "Beast",Cards!$Q$2:$Q1023, "Standard", Cards!$B$2:B1023,B228 )/C228),0)</f>
        <v>0</v>
      </c>
    </row>
    <row r="229" spans="1:18" ht="12.75">
      <c r="B229" s="993" t="s">
        <v>2201</v>
      </c>
      <c r="C229" s="994">
        <f>SUM(C218:C228)</f>
        <v>45</v>
      </c>
      <c r="D229" s="995">
        <f>SUMIFS(Cards!$M$2:$M1023, Cards!$L$2:$L1023, "Beast",Cards!$Q$2:$Q1023, "Standard")/C229</f>
        <v>3.3777777777777778</v>
      </c>
      <c r="E229" s="996">
        <f>SUMIFS(Cards!$N$2:$N1023, Cards!$L$2:$L1023, "Beast",Cards!$Q$2:$Q1023, "Standard")/C229</f>
        <v>3.4888888888888889</v>
      </c>
      <c r="F229" s="997">
        <f>COUNTIFS(Cards!$P$2:$P1023, "*Charge*", Cards!$L$2:$L1023, "Beast",Cards!$Q$2:$Q1023, "Standard")/C229</f>
        <v>6.6666666666666666E-2</v>
      </c>
      <c r="G229" s="997">
        <f>COUNTIFS(Cards!$P$2:$P1023, "*Taunt*", Cards!$L$2:$L1023, "Beast",Cards!$Q$2:$Q1023, "Standard")/C229</f>
        <v>6.6666666666666666E-2</v>
      </c>
      <c r="H229" s="997">
        <f>COUNTIFS(Cards!$P$2:$P1023, "*Spell Damage*", Cards!$L$2:$L1023, "Beast",Cards!$Q$2:$Q1023, "Standard")/C229</f>
        <v>2.2222222222222223E-2</v>
      </c>
      <c r="I229" s="997">
        <f>COUNTIFS(Cards!$P$2:$P1023, "*Deathrattle*", Cards!$L$2:$L1023, "Beast",Cards!$Q$2:$Q1023, "Standard")/C229</f>
        <v>0.1111111111111111</v>
      </c>
      <c r="J229" s="997">
        <f>COUNTIFS(Cards!$P$2:$P1023, "*Divine Shield*", Cards!$L$2:$L1023, "Beast",Cards!$Q$2:$Q1023, "Standard")/C229</f>
        <v>0</v>
      </c>
      <c r="K229" s="998">
        <f>COUNTIFS(Cards!$P$2:$P1023, "*Battlecry*", Cards!$L$2:$L1023, "Beast",Cards!$Q$2:$Q1023, "Standard")/C229</f>
        <v>0.22222222222222221</v>
      </c>
    </row>
    <row r="232" spans="1:18" ht="12.75">
      <c r="A232" s="992"/>
      <c r="B232" s="1205" t="s">
        <v>2203</v>
      </c>
      <c r="C232" s="1007"/>
      <c r="D232" s="1007"/>
      <c r="E232" s="1007"/>
      <c r="F232" s="1007"/>
      <c r="G232" s="1007"/>
      <c r="H232" s="1007"/>
      <c r="I232" s="1007"/>
      <c r="J232" s="1007"/>
      <c r="K232" s="1007"/>
      <c r="L232" s="992"/>
      <c r="M232" s="992"/>
      <c r="N232" s="992"/>
      <c r="O232" s="992"/>
      <c r="P232" s="992"/>
      <c r="Q232" s="992"/>
      <c r="R232" s="992"/>
    </row>
    <row r="233" spans="1:18" ht="12.75">
      <c r="B233" s="802"/>
    </row>
    <row r="234" spans="1:18" ht="12.75">
      <c r="B234" s="1217" t="s">
        <v>2204</v>
      </c>
      <c r="C234" s="1102"/>
      <c r="D234" s="1102"/>
      <c r="E234" s="1102"/>
      <c r="F234" s="1102"/>
      <c r="G234" s="1102"/>
      <c r="H234" s="1102"/>
      <c r="I234" s="1102"/>
      <c r="J234" s="1102"/>
      <c r="K234" s="1030"/>
    </row>
    <row r="235" spans="1:18" ht="12.75">
      <c r="B235" s="977" t="s">
        <v>2187</v>
      </c>
      <c r="C235" s="977" t="s">
        <v>67</v>
      </c>
      <c r="D235" s="977" t="s">
        <v>2188</v>
      </c>
      <c r="E235" s="977" t="s">
        <v>125</v>
      </c>
      <c r="F235" s="977" t="s">
        <v>295</v>
      </c>
      <c r="G235" s="977" t="s">
        <v>1239</v>
      </c>
      <c r="H235" s="977" t="s">
        <v>2189</v>
      </c>
      <c r="I235" s="977" t="s">
        <v>2190</v>
      </c>
      <c r="J235" s="977" t="s">
        <v>1010</v>
      </c>
      <c r="K235" s="977" t="s">
        <v>2191</v>
      </c>
    </row>
    <row r="236" spans="1:18" ht="12.75">
      <c r="B236" s="978">
        <v>0</v>
      </c>
      <c r="C236" s="978">
        <f>COUNTIFS(Cards!$B$2:$B1023, B236, Cards!$L$2:$L1023, "Murloc")</f>
        <v>1</v>
      </c>
      <c r="D236" s="979">
        <f>IFERROR((SUMIFS(Cards!$M$2:$M1023, Cards!$B$2:$B1023, B236, Cards!$L$2:$L1023, "Murloc")/C236),0)</f>
        <v>1</v>
      </c>
      <c r="E236" s="980">
        <f>IFERROR((SUMIFS(Cards!$N$2:$N1023, Cards!$B$2:$B1023, B236, Cards!$L$2:$L1023, "Murloc")/C236),0)</f>
        <v>1</v>
      </c>
      <c r="F236" s="981">
        <f>IFERROR((COUNTIFS(Cards!$P$2:$P1023, "*Charge*", Cards!$L$2:$L1023, "Murloc", Cards!$B$2:B1023,B236 )/C236),0)</f>
        <v>0</v>
      </c>
      <c r="G236" s="982">
        <f>IFERROR((COUNTIFS(Cards!$P$2:$P1023, "*Taunt*", Cards!$L$2:$L1023, "Murloc", Cards!$B$2:B1023,B236 )/C236),0)</f>
        <v>0</v>
      </c>
      <c r="H236" s="983">
        <f>IFERROR((COUNTIFS(Cards!$P$2:$P1023, "*Spell Damage*", Cards!$L$2:$L1023, "Murloc", Cards!$B$2:B1023,B236 )/C236),0)</f>
        <v>0</v>
      </c>
      <c r="I236" s="984">
        <f>IFERROR((COUNTIFS(Cards!$P$2:$P1023, "*Deathrattle*", Cards!$L$2:$L1023, "Murloc", Cards!$B$2:B1023,B236 )/C236),0)</f>
        <v>0</v>
      </c>
      <c r="J236" s="982">
        <f>IFERROR((COUNTIFS(Cards!$P$2:$P1023, "*Divine Shield*", Cards!$L$2:$L1023, "Murloc", Cards!$B$2:B1023,B236 )/C236),0)</f>
        <v>0</v>
      </c>
      <c r="K236" s="983">
        <f>IFERROR((COUNTIFS(Cards!$P$2:$P1023, "*Battlecry*", Cards!$L$2:$L1023, "Murloc", Cards!$B$2:B1023,B236 )/C236),0)</f>
        <v>0</v>
      </c>
    </row>
    <row r="237" spans="1:18" ht="12.75">
      <c r="B237" s="978">
        <v>1</v>
      </c>
      <c r="C237" s="978">
        <f>COUNTIFS(Cards!$B$2:$B1023, B237, Cards!$L$2:$L1023, "Murloc")</f>
        <v>5</v>
      </c>
      <c r="D237" s="979">
        <f>IFERROR((SUMIFS(Cards!$M$2:$M1023, Cards!$B$2:$B1023, B237, Cards!$L$2:$L1023, "Murloc")/C237),0)</f>
        <v>1.2</v>
      </c>
      <c r="E237" s="980">
        <f>IFERROR((SUMIFS(Cards!$N$2:$N1023, Cards!$B$2:$B1023, B237, Cards!$L$2:$L1023, "Murloc")/C237),0)</f>
        <v>2</v>
      </c>
      <c r="F237" s="981">
        <f>IFERROR((COUNTIFS(Cards!$P$2:$P1023, "*Charge*", Cards!$L$2:$L1023, "Murloc", Cards!$B$2:B1023,B237 )/C237),0)</f>
        <v>0</v>
      </c>
      <c r="G237" s="982">
        <f>IFERROR((COUNTIFS(Cards!$P$2:$P1023, "*Taunt*", Cards!$L$2:$L1023, "Murloc", Cards!$B$2:B1023,B237 )/C237),0)</f>
        <v>0</v>
      </c>
      <c r="H237" s="983">
        <f>IFERROR((COUNTIFS(Cards!$P$2:$P1023, "*Spell Damage*", Cards!$L$2:$L1023, "Murloc", Cards!$B$2:B1023,B237 )/C237),0)</f>
        <v>0</v>
      </c>
      <c r="I237" s="984">
        <f>IFERROR((COUNTIFS(Cards!$P$2:$P1023, "*Deathrattle*", Cards!$L$2:$L1023, "Murloc", Cards!$B$2:B1023,B237 )/C237),0)</f>
        <v>0</v>
      </c>
      <c r="J237" s="982">
        <f>IFERROR((COUNTIFS(Cards!$P$2:$P1023, "*Divine Shield*", Cards!$L$2:$L1023, "Murloc", Cards!$B$2:B1023,B237 )/C237),0)</f>
        <v>0</v>
      </c>
      <c r="K237" s="983">
        <f>IFERROR((COUNTIFS(Cards!$P$2:$P1023, "*Battlecry*", Cards!$L$2:$L1023, "Murloc", Cards!$B$2:B1023,B237 )/C237),0)</f>
        <v>0.4</v>
      </c>
    </row>
    <row r="238" spans="1:18" ht="12.75">
      <c r="B238" s="978">
        <v>2</v>
      </c>
      <c r="C238" s="978">
        <f>COUNTIFS(Cards!$B$2:$B1023, B238, Cards!$L$2:$L1023, "Murloc")</f>
        <v>4</v>
      </c>
      <c r="D238" s="979">
        <f>IFERROR((SUMIFS(Cards!$M$2:$M1023, Cards!$B$2:$B1023, B238, Cards!$L$2:$L1023, "Murloc")/C238),0)</f>
        <v>2.25</v>
      </c>
      <c r="E238" s="980">
        <f>IFERROR((SUMIFS(Cards!$N$2:$N1023, Cards!$B$2:$B1023, B238, Cards!$L$2:$L1023, "Murloc")/C238),0)</f>
        <v>1.25</v>
      </c>
      <c r="F238" s="981">
        <f>IFERROR((COUNTIFS(Cards!$P$2:$P1023, "*Charge*", Cards!$L$2:$L1023, "Murloc", Cards!$B$2:B1023,B238 )/C238),0)</f>
        <v>0.25</v>
      </c>
      <c r="G238" s="982">
        <f>IFERROR((COUNTIFS(Cards!$P$2:$P1023, "*Taunt*", Cards!$L$2:$L1023, "Murloc", Cards!$B$2:B1023,B238 )/C238),0)</f>
        <v>0</v>
      </c>
      <c r="H238" s="983">
        <f>IFERROR((COUNTIFS(Cards!$P$2:$P1023, "*Spell Damage*", Cards!$L$2:$L1023, "Murloc", Cards!$B$2:B1023,B238 )/C238),0)</f>
        <v>0</v>
      </c>
      <c r="I238" s="984">
        <f>IFERROR((COUNTIFS(Cards!$P$2:$P1023, "*Deathrattle*", Cards!$L$2:$L1023, "Murloc", Cards!$B$2:B1023,B238 )/C238),0)</f>
        <v>0</v>
      </c>
      <c r="J238" s="982">
        <f>IFERROR((COUNTIFS(Cards!$P$2:$P1023, "*Divine Shield*", Cards!$L$2:$L1023, "Murloc", Cards!$B$2:B1023,B238 )/C238),0)</f>
        <v>0</v>
      </c>
      <c r="K238" s="983">
        <f>IFERROR((COUNTIFS(Cards!$P$2:$P1023, "*Battlecry*", Cards!$L$2:$L1023, "Murloc", Cards!$B$2:B1023,B238 )/C238),0)</f>
        <v>0.5</v>
      </c>
    </row>
    <row r="239" spans="1:18" ht="12.75">
      <c r="B239" s="978">
        <v>3</v>
      </c>
      <c r="C239" s="978">
        <f>COUNTIFS(Cards!$B$2:$B1023, B239, Cards!$L$2:$L1023, "Murloc")</f>
        <v>3</v>
      </c>
      <c r="D239" s="979">
        <f>IFERROR((SUMIFS(Cards!$M$2:$M1023, Cards!$B$2:$B1023, B239, Cards!$L$2:$L1023, "Murloc")/C239),0)</f>
        <v>2.3333333333333335</v>
      </c>
      <c r="E239" s="980">
        <f>IFERROR((SUMIFS(Cards!$N$2:$N1023, Cards!$B$2:$B1023, B239, Cards!$L$2:$L1023, "Murloc")/C239),0)</f>
        <v>2.6666666666666665</v>
      </c>
      <c r="F239" s="981">
        <f>IFERROR((COUNTIFS(Cards!$P$2:$P1023, "*Charge*", Cards!$L$2:$L1023, "Murloc", Cards!$B$2:B1023,B239 )/C239),0)</f>
        <v>0</v>
      </c>
      <c r="G239" s="982">
        <f>IFERROR((COUNTIFS(Cards!$P$2:$P1023, "*Taunt*", Cards!$L$2:$L1023, "Murloc", Cards!$B$2:B1023,B239 )/C239),0)</f>
        <v>0</v>
      </c>
      <c r="H239" s="983">
        <f>IFERROR((COUNTIFS(Cards!$P$2:$P1023, "*Spell Damage*", Cards!$L$2:$L1023, "Murloc", Cards!$B$2:B1023,B239 )/C239),0)</f>
        <v>0</v>
      </c>
      <c r="I239" s="984">
        <f>IFERROR((COUNTIFS(Cards!$P$2:$P1023, "*Deathrattle*", Cards!$L$2:$L1023, "Murloc", Cards!$B$2:B1023,B239 )/C239),0)</f>
        <v>0</v>
      </c>
      <c r="J239" s="982">
        <f>IFERROR((COUNTIFS(Cards!$P$2:$P1023, "*Divine Shield*", Cards!$L$2:$L1023, "Murloc", Cards!$B$2:B1023,B239 )/C239),0)</f>
        <v>0</v>
      </c>
      <c r="K239" s="983">
        <f>IFERROR((COUNTIFS(Cards!$P$2:$P1023, "*Battlecry*", Cards!$L$2:$L1023, "Murloc", Cards!$B$2:B1023,B239 )/C239),0)</f>
        <v>0.66666666666666663</v>
      </c>
    </row>
    <row r="240" spans="1:18" ht="12.75">
      <c r="B240" s="978">
        <v>4</v>
      </c>
      <c r="C240" s="978">
        <f>COUNTIFS(Cards!$B$2:$B1023, B240, Cards!$L$2:$L1023, "Murloc")</f>
        <v>3</v>
      </c>
      <c r="D240" s="979">
        <f>IFERROR((SUMIFS(Cards!$M$2:$M1023, Cards!$B$2:$B1023, B240, Cards!$L$2:$L1023, "Murloc")/C240),0)</f>
        <v>2.3333333333333335</v>
      </c>
      <c r="E240" s="980">
        <f>IFERROR((SUMIFS(Cards!$N$2:$N1023, Cards!$B$2:$B1023, B240, Cards!$L$2:$L1023, "Murloc")/C240),0)</f>
        <v>4.333333333333333</v>
      </c>
      <c r="F240" s="981">
        <f>IFERROR((COUNTIFS(Cards!$P$2:$P1023, "*Charge*", Cards!$L$2:$L1023, "Murloc", Cards!$B$2:B1023,B240 )/C240),0)</f>
        <v>0.33333333333333331</v>
      </c>
      <c r="G240" s="982">
        <f>IFERROR((COUNTIFS(Cards!$P$2:$P1023, "*Taunt*", Cards!$L$2:$L1023, "Murloc", Cards!$B$2:B1023,B240 )/C240),0)</f>
        <v>0</v>
      </c>
      <c r="H240" s="983">
        <f>IFERROR((COUNTIFS(Cards!$P$2:$P1023, "*Spell Damage*", Cards!$L$2:$L1023, "Murloc", Cards!$B$2:B1023,B240 )/C240),0)</f>
        <v>0</v>
      </c>
      <c r="I240" s="984">
        <f>IFERROR((COUNTIFS(Cards!$P$2:$P1023, "*Deathrattle*", Cards!$L$2:$L1023, "Murloc", Cards!$B$2:B1023,B240 )/C240),0)</f>
        <v>0</v>
      </c>
      <c r="J240" s="982">
        <f>IFERROR((COUNTIFS(Cards!$P$2:$P1023, "*Divine Shield*", Cards!$L$2:$L1023, "Murloc", Cards!$B$2:B1023,B240 )/C240),0)</f>
        <v>0</v>
      </c>
      <c r="K240" s="983">
        <f>IFERROR((COUNTIFS(Cards!$P$2:$P1023, "*Battlecry*", Cards!$L$2:$L1023, "Murloc", Cards!$B$2:B1023,B240 )/C240),0)</f>
        <v>0</v>
      </c>
    </row>
    <row r="241" spans="2:11" ht="12.75">
      <c r="B241" s="978">
        <v>5</v>
      </c>
      <c r="C241" s="978">
        <f>COUNTIFS(Cards!$B$2:$B1023, B241, Cards!$L$2:$L1023, "Murloc")</f>
        <v>0</v>
      </c>
      <c r="D241" s="979">
        <f>IFERROR((SUMIFS(Cards!$M$2:$M1023, Cards!$B$2:$B1023, B241, Cards!$L$2:$L1023, "Murloc")/C241),0)</f>
        <v>0</v>
      </c>
      <c r="E241" s="980">
        <f>IFERROR((SUMIFS(Cards!$N$2:$N1023, Cards!$B$2:$B1023, B241, Cards!$L$2:$L1023, "Murloc")/C241),0)</f>
        <v>0</v>
      </c>
      <c r="F241" s="981">
        <f>IFERROR((COUNTIFS(Cards!$P$2:$P1023, "*Charge*", Cards!$L$2:$L1023, "Murloc", Cards!$B$2:B1023,B241 )/C241),0)</f>
        <v>0</v>
      </c>
      <c r="G241" s="982">
        <f>IFERROR((COUNTIFS(Cards!$P$2:$P1023, "*Taunt*", Cards!$L$2:$L1023, "Murloc", Cards!$B$2:B1023,B241 )/C241),0)</f>
        <v>0</v>
      </c>
      <c r="H241" s="983">
        <f>IFERROR((COUNTIFS(Cards!$P$2:$P1023, "*Spell Damage*", Cards!$L$2:$L1023, "Murloc", Cards!$B$2:B1023,B241 )/C241),0)</f>
        <v>0</v>
      </c>
      <c r="I241" s="984">
        <f>IFERROR((COUNTIFS(Cards!$P$2:$P1023, "*Deathrattle*", Cards!$L$2:$L1023, "Murloc", Cards!$B$2:B1023,B241 )/C241),0)</f>
        <v>0</v>
      </c>
      <c r="J241" s="982">
        <f>IFERROR((COUNTIFS(Cards!$P$2:$P1023, "*Divine Shield*", Cards!$L$2:$L1023, "Murloc", Cards!$B$2:B1023,B241 )/C241),0)</f>
        <v>0</v>
      </c>
      <c r="K241" s="983">
        <f>IFERROR((COUNTIFS(Cards!$P$2:$P1023, "*Battlecry*", Cards!$L$2:$L1023, "Murloc", Cards!$B$2:B1023,B241 )/C241),0)</f>
        <v>0</v>
      </c>
    </row>
    <row r="242" spans="2:11" ht="12.75">
      <c r="B242" s="978">
        <v>6</v>
      </c>
      <c r="C242" s="978">
        <f>COUNTIFS(Cards!$B$2:$B1023, B242, Cards!$L$2:$L1023, "Murloc")</f>
        <v>1</v>
      </c>
      <c r="D242" s="979">
        <f>IFERROR((SUMIFS(Cards!$M$2:$M1023, Cards!$B$2:$B1023, B242, Cards!$L$2:$L1023, "Murloc")/C242),0)</f>
        <v>2</v>
      </c>
      <c r="E242" s="980">
        <f>IFERROR((SUMIFS(Cards!$N$2:$N1023, Cards!$B$2:$B1023, B242, Cards!$L$2:$L1023, "Murloc")/C242),0)</f>
        <v>3</v>
      </c>
      <c r="F242" s="981">
        <f>IFERROR((COUNTIFS(Cards!$P$2:$P1023, "*Charge*", Cards!$L$2:$L1023, "Murloc", Cards!$B$2:B1023,B242 )/C242),0)</f>
        <v>0</v>
      </c>
      <c r="G242" s="982">
        <f>IFERROR((COUNTIFS(Cards!$P$2:$P1023, "*Taunt*", Cards!$L$2:$L1023, "Murloc", Cards!$B$2:B1023,B242 )/C242),0)</f>
        <v>0</v>
      </c>
      <c r="H242" s="983">
        <f>IFERROR((COUNTIFS(Cards!$P$2:$P1023, "*Spell Damage*", Cards!$L$2:$L1023, "Murloc", Cards!$B$2:B1023,B242 )/C242),0)</f>
        <v>0</v>
      </c>
      <c r="I242" s="984">
        <f>IFERROR((COUNTIFS(Cards!$P$2:$P1023, "*Deathrattle*", Cards!$L$2:$L1023, "Murloc", Cards!$B$2:B1023,B242 )/C242),0)</f>
        <v>0</v>
      </c>
      <c r="J242" s="982">
        <f>IFERROR((COUNTIFS(Cards!$P$2:$P1023, "*Divine Shield*", Cards!$L$2:$L1023, "Murloc", Cards!$B$2:B1023,B242 )/C242),0)</f>
        <v>0</v>
      </c>
      <c r="K242" s="983">
        <f>IFERROR((COUNTIFS(Cards!$P$2:$P1023, "*Battlecry*", Cards!$L$2:$L1023, "Murloc", Cards!$B$2:B1023,B242 )/C242),0)</f>
        <v>1</v>
      </c>
    </row>
    <row r="243" spans="2:11" ht="12.75">
      <c r="B243" s="978">
        <v>7</v>
      </c>
      <c r="C243" s="978">
        <f>COUNTIFS(Cards!$B$2:$B1023, B243, Cards!$L$2:$L1023, "Murloc")</f>
        <v>0</v>
      </c>
      <c r="D243" s="979">
        <f>IFERROR((SUMIFS(Cards!$M$2:$M1023, Cards!$B$2:$B1023, B243, Cards!$L$2:$L1023, "Murloc")/C243),0)</f>
        <v>0</v>
      </c>
      <c r="E243" s="980">
        <f>IFERROR((SUMIFS(Cards!$N$2:$N1023, Cards!$B$2:$B1023, B243, Cards!$L$2:$L1023, "Murloc")/C243),0)</f>
        <v>0</v>
      </c>
      <c r="F243" s="981">
        <f>IFERROR((COUNTIFS(Cards!$P$2:$P1023, "*Charge*", Cards!$L$2:$L1023, "Murloc", Cards!$B$2:B1023,B243 )/C243),0)</f>
        <v>0</v>
      </c>
      <c r="G243" s="982">
        <f>IFERROR((COUNTIFS(Cards!$P$2:$P1023, "*Taunt*", Cards!$L$2:$L1023, "Murloc", Cards!$B$2:B1023,B243 )/C243),0)</f>
        <v>0</v>
      </c>
      <c r="H243" s="983">
        <f>IFERROR((COUNTIFS(Cards!$P$2:$P1023, "*Spell Damage*", Cards!$L$2:$L1023, "Murloc", Cards!$B$2:B1023,B243 )/C243),0)</f>
        <v>0</v>
      </c>
      <c r="I243" s="984">
        <f>IFERROR((COUNTIFS(Cards!$P$2:$P1023, "*Deathrattle*", Cards!$L$2:$L1023, "Murloc", Cards!$B$2:B1023,B243 )/C243),0)</f>
        <v>0</v>
      </c>
      <c r="J243" s="982">
        <f>IFERROR((COUNTIFS(Cards!$P$2:$P1023, "*Divine Shield*", Cards!$L$2:$L1023, "Murloc", Cards!$B$2:B1023,B243 )/C243),0)</f>
        <v>0</v>
      </c>
      <c r="K243" s="983">
        <f>IFERROR((COUNTIFS(Cards!$P$2:$P1023, "*Battlecry*", Cards!$L$2:$L1023, "Murloc", Cards!$B$2:B1023,B243 )/C243),0)</f>
        <v>0</v>
      </c>
    </row>
    <row r="244" spans="2:11" ht="12.75">
      <c r="B244" s="978">
        <v>8</v>
      </c>
      <c r="C244" s="978">
        <f>COUNTIFS(Cards!$B$2:$B1023, B244, Cards!$L$2:$L1023, "Murloc")</f>
        <v>0</v>
      </c>
      <c r="D244" s="979">
        <f>IFERROR((SUMIFS(Cards!$M$2:$M1023, Cards!$B$2:$B1023, B244, Cards!$L$2:$L1023, "Murloc")/C244),0)</f>
        <v>0</v>
      </c>
      <c r="E244" s="980">
        <f>IFERROR((SUMIFS(Cards!$N$2:$N1023, Cards!$B$2:$B1023, B244, Cards!$L$2:$L1023, "Murloc")/C244),0)</f>
        <v>0</v>
      </c>
      <c r="F244" s="981">
        <f>IFERROR((COUNTIFS(Cards!$P$2:$P1023, "*Charge*", Cards!$L$2:$L1023, "Murloc", Cards!$B$2:B1023,B244 )/C244),0)</f>
        <v>0</v>
      </c>
      <c r="G244" s="982">
        <f>IFERROR((COUNTIFS(Cards!$P$2:$P1023, "*Taunt*", Cards!$L$2:$L1023, "Murloc", Cards!$B$2:B1023,B244 )/C244),0)</f>
        <v>0</v>
      </c>
      <c r="H244" s="983">
        <f>IFERROR((COUNTIFS(Cards!$P$2:$P1023, "*Spell Damage*", Cards!$L$2:$L1023, "Murloc", Cards!$B$2:B1023,B244 )/C244),0)</f>
        <v>0</v>
      </c>
      <c r="I244" s="984">
        <f>IFERROR((COUNTIFS(Cards!$P$2:$P1023, "*Deathrattle*", Cards!$L$2:$L1023, "Murloc", Cards!$B$2:B1023,B244 )/C244),0)</f>
        <v>0</v>
      </c>
      <c r="J244" s="982">
        <f>IFERROR((COUNTIFS(Cards!$P$2:$P1023, "*Divine Shield*", Cards!$L$2:$L1023, "Murloc", Cards!$B$2:B1023,B244 )/C244),0)</f>
        <v>0</v>
      </c>
      <c r="K244" s="983">
        <f>IFERROR((COUNTIFS(Cards!$P$2:$P1023, "*Battlecry*", Cards!$L$2:$L1023, "Murloc", Cards!$B$2:B1023,B244 )/C244),0)</f>
        <v>0</v>
      </c>
    </row>
    <row r="245" spans="2:11" ht="12.75">
      <c r="B245" s="978">
        <v>9</v>
      </c>
      <c r="C245" s="978">
        <f>COUNTIFS(Cards!$B$2:$B1023, B245, Cards!$L$2:$L1023, "Murloc")</f>
        <v>0</v>
      </c>
      <c r="D245" s="979">
        <f>IFERROR((SUMIFS(Cards!$M$2:$M1023, Cards!$B$2:$B1023, B245, Cards!$L$2:$L1023, "Murloc")/C245),0)</f>
        <v>0</v>
      </c>
      <c r="E245" s="980">
        <f>IFERROR((SUMIFS(Cards!$N$2:$N1023, Cards!$B$2:$B1023, B245, Cards!$L$2:$L1023, "Murloc")/C245),0)</f>
        <v>0</v>
      </c>
      <c r="F245" s="981">
        <f>IFERROR((COUNTIFS(Cards!$P$2:$P1023, "*Charge*", Cards!$L$2:$L1023, "Murloc", Cards!$B$2:B1023,B245 )/C245),0)</f>
        <v>0</v>
      </c>
      <c r="G245" s="982">
        <f>IFERROR((COUNTIFS(Cards!$P$2:$P1023, "*Taunt*", Cards!$L$2:$L1023, "Murloc", Cards!$B$2:B1023,B245 )/C245),0)</f>
        <v>0</v>
      </c>
      <c r="H245" s="983">
        <f>IFERROR((COUNTIFS(Cards!$P$2:$P1023, "*Spell Damage*", Cards!$L$2:$L1023, "Murloc", Cards!$B$2:B1023,B245 )/C245),0)</f>
        <v>0</v>
      </c>
      <c r="I245" s="984">
        <f>IFERROR((COUNTIFS(Cards!$P$2:$P1023, "*Deathrattle*", Cards!$L$2:$L1023, "Murloc", Cards!$B$2:B1023,B245 )/C245),0)</f>
        <v>0</v>
      </c>
      <c r="J245" s="982">
        <f>IFERROR((COUNTIFS(Cards!$P$2:$P1023, "*Divine Shield*", Cards!$L$2:$L1023, "Murloc", Cards!$B$2:B1023,B245 )/C245),0)</f>
        <v>0</v>
      </c>
      <c r="K245" s="983">
        <f>IFERROR((COUNTIFS(Cards!$P$2:$P1023, "*Battlecry*", Cards!$L$2:$L1023, "Murloc", Cards!$B$2:B1023,B245 )/C245),0)</f>
        <v>0</v>
      </c>
    </row>
    <row r="246" spans="2:11" ht="12.75">
      <c r="B246" s="985">
        <v>10</v>
      </c>
      <c r="C246" s="985">
        <f>COUNTIFS(Cards!$B$2:$B1023, B246, Cards!$L$2:$L1023, "Murloc")</f>
        <v>0</v>
      </c>
      <c r="D246" s="986">
        <f>IFERROR((SUMIFS(Cards!$M$2:$M1023, Cards!$B$2:$B1023, B246, Cards!$L$2:$L1023, "Murloc")/C246),0)</f>
        <v>0</v>
      </c>
      <c r="E246" s="987">
        <f>IFERROR((SUMIFS(Cards!$N$2:$N1023, Cards!$B$2:$B1023, B246, Cards!$L$2:$L1023, "Murloc")/C246),0)</f>
        <v>0</v>
      </c>
      <c r="F246" s="988">
        <f>IFERROR((COUNTIFS(Cards!$P$2:$P1023, "*Charge*", Cards!$L$2:$L1023, "Murloc", Cards!$B$2:B1023,B246 )/C246),0)</f>
        <v>0</v>
      </c>
      <c r="G246" s="989">
        <f>IFERROR((COUNTIFS(Cards!$P$2:$P1023, "*Taunt*", Cards!$L$2:$L1023, "Murloc", Cards!$B$2:B1023,B246 )/C246),0)</f>
        <v>0</v>
      </c>
      <c r="H246" s="990">
        <f>IFERROR((COUNTIFS(Cards!$P$2:$P1023, "*Spell Damage*", Cards!$L$2:$L1023, "Murloc", Cards!$B$2:B1023,B246 )/C246),0)</f>
        <v>0</v>
      </c>
      <c r="I246" s="991">
        <f>IFERROR((COUNTIFS(Cards!$P$2:$P1023, "*Deathrattle*", Cards!$L$2:$L1023, "Murloc", Cards!$B$2:B1023,B246 )/C246),0)</f>
        <v>0</v>
      </c>
      <c r="J246" s="989">
        <f>IFERROR((COUNTIFS(Cards!$P$2:$P1023, "*Divine Shield*", Cards!$L$2:$L1023, "Murloc", Cards!$B$2:B1023,B246 )/C246),0)</f>
        <v>0</v>
      </c>
      <c r="K246" s="990">
        <f>IFERROR((COUNTIFS(Cards!$P$2:$P1023, "*Battlecry*", Cards!$L$2:$L1023, "Murloc", Cards!$B$2:B1023,B246 )/C246),0)</f>
        <v>0</v>
      </c>
    </row>
    <row r="247" spans="2:11" ht="12.75">
      <c r="B247" s="993" t="s">
        <v>2201</v>
      </c>
      <c r="C247" s="994">
        <f>SUM(C236:C246)</f>
        <v>17</v>
      </c>
      <c r="D247" s="995">
        <f>SUMIFS(Cards!$M$2:$M1023, Cards!$L$2:$L1023, "Murloc")/C247</f>
        <v>1.8823529411764706</v>
      </c>
      <c r="E247" s="996">
        <f>SUMIFS(Cards!$N$2:$N1023, Cards!$L$2:$L1023, "Murloc")/C247</f>
        <v>2.3529411764705883</v>
      </c>
      <c r="F247" s="997">
        <f>COUNTIFS(Cards!$P$2:$P1023, "*Charge*", Cards!$L$2:$L1023, "Murloc")/C247</f>
        <v>0.11764705882352941</v>
      </c>
      <c r="G247" s="997">
        <f>COUNTIFS(Cards!$P$2:$P1023, "*Taunt*", Cards!$L$2:$L1023, "Murloc")/C247</f>
        <v>0</v>
      </c>
      <c r="H247" s="997">
        <f>COUNTIFS(Cards!$P$2:$P1023, "*Spell Damage*", Cards!$L$2:$L1023, "Murloc")/C247</f>
        <v>0</v>
      </c>
      <c r="I247" s="997">
        <f>COUNTIFS(Cards!$P$2:$P1023, "*Deathrattle*", Cards!$L$2:$L1023, "Murloc")/C247</f>
        <v>0</v>
      </c>
      <c r="J247" s="997">
        <f>COUNTIFS(Cards!$P$2:$P1023, "*Divine Shield*", Cards!$L$2:$L1023, "Murloc")/C247</f>
        <v>0</v>
      </c>
      <c r="K247" s="998">
        <f>COUNTIFS(Cards!$P$2:$P1023, "*Battlecry*", Cards!$L$2:$L1023, "Murloc")/C247</f>
        <v>0.41176470588235292</v>
      </c>
    </row>
    <row r="249" spans="2:11" ht="12.75">
      <c r="B249" s="1217" t="s">
        <v>2205</v>
      </c>
      <c r="C249" s="1102"/>
      <c r="D249" s="1102"/>
      <c r="E249" s="1102"/>
      <c r="F249" s="1102"/>
      <c r="G249" s="1102"/>
      <c r="H249" s="1102"/>
      <c r="I249" s="1102"/>
      <c r="J249" s="1102"/>
      <c r="K249" s="1030"/>
    </row>
    <row r="250" spans="2:11" ht="12.75">
      <c r="B250" s="977" t="s">
        <v>2187</v>
      </c>
      <c r="C250" s="977" t="s">
        <v>67</v>
      </c>
      <c r="D250" s="977" t="s">
        <v>2188</v>
      </c>
      <c r="E250" s="977" t="s">
        <v>125</v>
      </c>
      <c r="F250" s="977" t="s">
        <v>295</v>
      </c>
      <c r="G250" s="977" t="s">
        <v>1239</v>
      </c>
      <c r="H250" s="977" t="s">
        <v>2189</v>
      </c>
      <c r="I250" s="977" t="s">
        <v>2190</v>
      </c>
      <c r="J250" s="977" t="s">
        <v>1010</v>
      </c>
      <c r="K250" s="977" t="s">
        <v>2191</v>
      </c>
    </row>
    <row r="251" spans="2:11" ht="12.75">
      <c r="B251" s="978">
        <v>0</v>
      </c>
      <c r="C251" s="978">
        <f>COUNTIFS(Cards!$B$2:$B1023, B251, Cards!$L$2:$L1023, "Murloc",Cards!$Q$2:$Q1023, "Standard")</f>
        <v>1</v>
      </c>
      <c r="D251" s="979">
        <f>IFERROR((SUMIFS(Cards!$M$2:$M1023, Cards!$B$2:$B1023, B251, Cards!$L$2:$L1023, "Murloc",Cards!$Q$2:$Q1023, "Standard")/C251),0)</f>
        <v>1</v>
      </c>
      <c r="E251" s="980">
        <f>IFERROR((SUMIFS(Cards!$N$2:$N1023, Cards!$B$2:$B1023, B251, Cards!$L$2:$L1023, "Murloc",Cards!$Q$2:$Q1023, "Standard")/C251),0)</f>
        <v>1</v>
      </c>
      <c r="F251" s="981">
        <f>IFERROR((COUNTIFS(Cards!$P$2:$P1023, "*Charge*", Cards!$L$2:$L1023, "Murloc",Cards!$Q$2:$Q1023, "Standard", Cards!$B$2:B1023,B251 )/C251),0)</f>
        <v>0</v>
      </c>
      <c r="G251" s="982">
        <f>IFERROR((COUNTIFS(Cards!$P$2:$P1023, "*Taunt*", Cards!$L$2:$L1023, "Murloc",Cards!$Q$2:$Q1023, "Standard", Cards!$B$2:B1023,B251 )/C251),0)</f>
        <v>0</v>
      </c>
      <c r="H251" s="983">
        <f>IFERROR((COUNTIFS(Cards!$P$2:$P1023, "*Spell Damage*", Cards!$L$2:$L1023, "Murloc",Cards!$Q$2:$Q1023, "Standard", Cards!$B$2:B1023,B251 )/C251),0)</f>
        <v>0</v>
      </c>
      <c r="I251" s="984">
        <f>IFERROR((COUNTIFS(Cards!$P$2:$P1023, "*Deathrattle*", Cards!$L$2:$L1023, "Murloc",Cards!$Q$2:$Q1023, "Standard", Cards!$B$2:B1023,B251 )/C251),0)</f>
        <v>0</v>
      </c>
      <c r="J251" s="982">
        <f>IFERROR((COUNTIFS(Cards!$P$2:$P1023, "*Divine Shield*", Cards!$L$2:$L1023, "Murloc",Cards!$Q$2:$Q1023, "Standard", Cards!$B$2:B1023,B251 )/C251),0)</f>
        <v>0</v>
      </c>
      <c r="K251" s="983">
        <f>IFERROR((COUNTIFS(Cards!$P$2:$P1023, "*Battlecry*", Cards!$L$2:$L1023, "Murloc",Cards!$Q$2:$Q1023, "Standard", Cards!$B$2:B1023,B251 )/C251),0)</f>
        <v>0</v>
      </c>
    </row>
    <row r="252" spans="2:11" ht="12.75">
      <c r="B252" s="978">
        <v>1</v>
      </c>
      <c r="C252" s="978">
        <f>COUNTIFS(Cards!$B$2:$B1023, B252, Cards!$L$2:$L1023, "Murloc",Cards!$Q$2:$Q1023, "Standard")</f>
        <v>5</v>
      </c>
      <c r="D252" s="979">
        <f>IFERROR((SUMIFS(Cards!$M$2:$M1023, Cards!$B$2:$B1023, B252, Cards!$L$2:$L1023, "Murloc",Cards!$Q$2:$Q1023, "Standard")/C252),0)</f>
        <v>1.2</v>
      </c>
      <c r="E252" s="980">
        <f>IFERROR((SUMIFS(Cards!$N$2:$N1023, Cards!$B$2:$B1023, B252, Cards!$L$2:$L1023, "Murloc",Cards!$Q$2:$Q1023, "Standard")/C252),0)</f>
        <v>2</v>
      </c>
      <c r="F252" s="981">
        <f>IFERROR((COUNTIFS(Cards!$P$2:$P1023, "*Charge*", Cards!$L$2:$L1023, "Murloc",Cards!$Q$2:$Q1023, "Standard", Cards!$B$2:B1023,B252 )/C252),0)</f>
        <v>0</v>
      </c>
      <c r="G252" s="982">
        <f>IFERROR((COUNTIFS(Cards!$P$2:$P1023, "*Taunt*", Cards!$L$2:$L1023, "Murloc",Cards!$Q$2:$Q1023, "Standard", Cards!$B$2:B1023,B252 )/C252),0)</f>
        <v>0</v>
      </c>
      <c r="H252" s="983">
        <f>IFERROR((COUNTIFS(Cards!$P$2:$P1023, "*Spell Damage*", Cards!$L$2:$L1023, "Murloc",Cards!$Q$2:$Q1023, "Standard", Cards!$B$2:B1023,B252 )/C252),0)</f>
        <v>0</v>
      </c>
      <c r="I252" s="984">
        <f>IFERROR((COUNTIFS(Cards!$P$2:$P1023, "*Deathrattle*", Cards!$L$2:$L1023, "Murloc",Cards!$Q$2:$Q1023, "Standard", Cards!$B$2:B1023,B252 )/C252),0)</f>
        <v>0</v>
      </c>
      <c r="J252" s="982">
        <f>IFERROR((COUNTIFS(Cards!$P$2:$P1023, "*Divine Shield*", Cards!$L$2:$L1023, "Murloc",Cards!$Q$2:$Q1023, "Standard", Cards!$B$2:B1023,B252 )/C252),0)</f>
        <v>0</v>
      </c>
      <c r="K252" s="983">
        <f>IFERROR((COUNTIFS(Cards!$P$2:$P1023, "*Battlecry*", Cards!$L$2:$L1023, "Murloc",Cards!$Q$2:$Q1023, "Standard", Cards!$B$2:B1023,B252 )/C252),0)</f>
        <v>0.4</v>
      </c>
    </row>
    <row r="253" spans="2:11" ht="12.75">
      <c r="B253" s="978">
        <v>2</v>
      </c>
      <c r="C253" s="978">
        <f>COUNTIFS(Cards!$B$2:$B1023, B253, Cards!$L$2:$L1023, "Murloc",Cards!$Q$2:$Q1023, "Standard")</f>
        <v>3</v>
      </c>
      <c r="D253" s="979">
        <f>IFERROR((SUMIFS(Cards!$M$2:$M1023, Cards!$B$2:$B1023, B253, Cards!$L$2:$L1023, "Murloc",Cards!$Q$2:$Q1023, "Standard")/C253),0)</f>
        <v>2</v>
      </c>
      <c r="E253" s="980">
        <f>IFERROR((SUMIFS(Cards!$N$2:$N1023, Cards!$B$2:$B1023, B253, Cards!$L$2:$L1023, "Murloc",Cards!$Q$2:$Q1023, "Standard")/C253),0)</f>
        <v>1</v>
      </c>
      <c r="F253" s="981">
        <f>IFERROR((COUNTIFS(Cards!$P$2:$P1023, "*Charge*", Cards!$L$2:$L1023, "Murloc",Cards!$Q$2:$Q1023, "Standard", Cards!$B$2:B1023,B253 )/C253),0)</f>
        <v>0.33333333333333331</v>
      </c>
      <c r="G253" s="982">
        <f>IFERROR((COUNTIFS(Cards!$P$2:$P1023, "*Taunt*", Cards!$L$2:$L1023, "Murloc",Cards!$Q$2:$Q1023, "Standard", Cards!$B$2:B1023,B253 )/C253),0)</f>
        <v>0</v>
      </c>
      <c r="H253" s="983">
        <f>IFERROR((COUNTIFS(Cards!$P$2:$P1023, "*Spell Damage*", Cards!$L$2:$L1023, "Murloc",Cards!$Q$2:$Q1023, "Standard", Cards!$B$2:B1023,B253 )/C253),0)</f>
        <v>0</v>
      </c>
      <c r="I253" s="984">
        <f>IFERROR((COUNTIFS(Cards!$P$2:$P1023, "*Deathrattle*", Cards!$L$2:$L1023, "Murloc",Cards!$Q$2:$Q1023, "Standard", Cards!$B$2:B1023,B253 )/C253),0)</f>
        <v>0</v>
      </c>
      <c r="J253" s="982">
        <f>IFERROR((COUNTIFS(Cards!$P$2:$P1023, "*Divine Shield*", Cards!$L$2:$L1023, "Murloc",Cards!$Q$2:$Q1023, "Standard", Cards!$B$2:B1023,B253 )/C253),0)</f>
        <v>0</v>
      </c>
      <c r="K253" s="983">
        <f>IFERROR((COUNTIFS(Cards!$P$2:$P1023, "*Battlecry*", Cards!$L$2:$L1023, "Murloc",Cards!$Q$2:$Q1023, "Standard", Cards!$B$2:B1023,B253 )/C253),0)</f>
        <v>0.66666666666666663</v>
      </c>
    </row>
    <row r="254" spans="2:11" ht="12.75">
      <c r="B254" s="978">
        <v>3</v>
      </c>
      <c r="C254" s="978">
        <f>COUNTIFS(Cards!$B$2:$B1023, B254, Cards!$L$2:$L1023, "Murloc",Cards!$Q$2:$Q1023, "Standard")</f>
        <v>3</v>
      </c>
      <c r="D254" s="979">
        <f>IFERROR((SUMIFS(Cards!$M$2:$M1023, Cards!$B$2:$B1023, B254, Cards!$L$2:$L1023, "Murloc",Cards!$Q$2:$Q1023, "Standard")/C254),0)</f>
        <v>2.3333333333333335</v>
      </c>
      <c r="E254" s="980">
        <f>IFERROR((SUMIFS(Cards!$N$2:$N1023, Cards!$B$2:$B1023, B254, Cards!$L$2:$L1023, "Murloc",Cards!$Q$2:$Q1023, "Standard")/C254),0)</f>
        <v>2.6666666666666665</v>
      </c>
      <c r="F254" s="981">
        <f>IFERROR((COUNTIFS(Cards!$P$2:$P1023, "*Charge*", Cards!$L$2:$L1023, "Murloc",Cards!$Q$2:$Q1023, "Standard", Cards!$B$2:B1023,B254 )/C254),0)</f>
        <v>0</v>
      </c>
      <c r="G254" s="982">
        <f>IFERROR((COUNTIFS(Cards!$P$2:$P1023, "*Taunt*", Cards!$L$2:$L1023, "Murloc",Cards!$Q$2:$Q1023, "Standard", Cards!$B$2:B1023,B254 )/C254),0)</f>
        <v>0</v>
      </c>
      <c r="H254" s="983">
        <f>IFERROR((COUNTIFS(Cards!$P$2:$P1023, "*Spell Damage*", Cards!$L$2:$L1023, "Murloc",Cards!$Q$2:$Q1023, "Standard", Cards!$B$2:B1023,B254 )/C254),0)</f>
        <v>0</v>
      </c>
      <c r="I254" s="984">
        <f>IFERROR((COUNTIFS(Cards!$P$2:$P1023, "*Deathrattle*", Cards!$L$2:$L1023, "Murloc",Cards!$Q$2:$Q1023, "Standard", Cards!$B$2:B1023,B254 )/C254),0)</f>
        <v>0</v>
      </c>
      <c r="J254" s="982">
        <f>IFERROR((COUNTIFS(Cards!$P$2:$P1023, "*Divine Shield*", Cards!$L$2:$L1023, "Murloc",Cards!$Q$2:$Q1023, "Standard", Cards!$B$2:B1023,B254 )/C254),0)</f>
        <v>0</v>
      </c>
      <c r="K254" s="983">
        <f>IFERROR((COUNTIFS(Cards!$P$2:$P1023, "*Battlecry*", Cards!$L$2:$L1023, "Murloc",Cards!$Q$2:$Q1023, "Standard", Cards!$B$2:B1023,B254 )/C254),0)</f>
        <v>0.66666666666666663</v>
      </c>
    </row>
    <row r="255" spans="2:11" ht="12.75">
      <c r="B255" s="978">
        <v>4</v>
      </c>
      <c r="C255" s="978">
        <f>COUNTIFS(Cards!$B$2:$B1023, B255, Cards!$L$2:$L1023, "Murloc",Cards!$Q$2:$Q1023, "Standard")</f>
        <v>1</v>
      </c>
      <c r="D255" s="979">
        <f>IFERROR((SUMIFS(Cards!$M$2:$M1023, Cards!$B$2:$B1023, B255, Cards!$L$2:$L1023, "Murloc",Cards!$Q$2:$Q1023, "Standard")/C255),0)</f>
        <v>3</v>
      </c>
      <c r="E255" s="980">
        <f>IFERROR((SUMIFS(Cards!$N$2:$N1023, Cards!$B$2:$B1023, B255, Cards!$L$2:$L1023, "Murloc",Cards!$Q$2:$Q1023, "Standard")/C255),0)</f>
        <v>4</v>
      </c>
      <c r="F255" s="981">
        <f>IFERROR((COUNTIFS(Cards!$P$2:$P1023, "*Charge*", Cards!$L$2:$L1023, "Murloc",Cards!$Q$2:$Q1023, "Standard", Cards!$B$2:B1023,B255 )/C255),0)</f>
        <v>0</v>
      </c>
      <c r="G255" s="982">
        <f>IFERROR((COUNTIFS(Cards!$P$2:$P1023, "*Taunt*", Cards!$L$2:$L1023, "Murloc",Cards!$Q$2:$Q1023, "Standard", Cards!$B$2:B1023,B255 )/C255),0)</f>
        <v>0</v>
      </c>
      <c r="H255" s="983">
        <f>IFERROR((COUNTIFS(Cards!$P$2:$P1023, "*Spell Damage*", Cards!$L$2:$L1023, "Murloc",Cards!$Q$2:$Q1023, "Standard", Cards!$B$2:B1023,B255 )/C255),0)</f>
        <v>0</v>
      </c>
      <c r="I255" s="984">
        <f>IFERROR((COUNTIFS(Cards!$P$2:$P1023, "*Deathrattle*", Cards!$L$2:$L1023, "Murloc",Cards!$Q$2:$Q1023, "Standard", Cards!$B$2:B1023,B255 )/C255),0)</f>
        <v>0</v>
      </c>
      <c r="J255" s="982">
        <f>IFERROR((COUNTIFS(Cards!$P$2:$P1023, "*Divine Shield*", Cards!$L$2:$L1023, "Murloc",Cards!$Q$2:$Q1023, "Standard", Cards!$B$2:B1023,B255 )/C255),0)</f>
        <v>0</v>
      </c>
      <c r="K255" s="983">
        <f>IFERROR((COUNTIFS(Cards!$P$2:$P1023, "*Battlecry*", Cards!$L$2:$L1023, "Murloc",Cards!$Q$2:$Q1023, "Standard", Cards!$B$2:B1023,B255 )/C255),0)</f>
        <v>0</v>
      </c>
    </row>
    <row r="256" spans="2:11" ht="12.75">
      <c r="B256" s="978">
        <v>5</v>
      </c>
      <c r="C256" s="978">
        <f>COUNTIFS(Cards!$B$2:$B1023, B256, Cards!$L$2:$L1023, "Murloc",Cards!$Q$2:$Q1023, "Standard")</f>
        <v>0</v>
      </c>
      <c r="D256" s="979">
        <f>IFERROR((SUMIFS(Cards!$M$2:$M1023, Cards!$B$2:$B1023, B256, Cards!$L$2:$L1023, "Murloc",Cards!$Q$2:$Q1023, "Standard")/C256),0)</f>
        <v>0</v>
      </c>
      <c r="E256" s="980">
        <f>IFERROR((SUMIFS(Cards!$N$2:$N1023, Cards!$B$2:$B1023, B256, Cards!$L$2:$L1023, "Murloc",Cards!$Q$2:$Q1023, "Standard")/C256),0)</f>
        <v>0</v>
      </c>
      <c r="F256" s="981">
        <f>IFERROR((COUNTIFS(Cards!$P$2:$P1023, "*Charge*", Cards!$L$2:$L1023, "Murloc",Cards!$Q$2:$Q1023, "Standard", Cards!$B$2:B1023,B256 )/C256),0)</f>
        <v>0</v>
      </c>
      <c r="G256" s="982">
        <f>IFERROR((COUNTIFS(Cards!$P$2:$P1023, "*Taunt*", Cards!$L$2:$L1023, "Murloc",Cards!$Q$2:$Q1023, "Standard", Cards!$B$2:B1023,B256 )/C256),0)</f>
        <v>0</v>
      </c>
      <c r="H256" s="983">
        <f>IFERROR((COUNTIFS(Cards!$P$2:$P1023, "*Spell Damage*", Cards!$L$2:$L1023, "Murloc",Cards!$Q$2:$Q1023, "Standard", Cards!$B$2:B1023,B256 )/C256),0)</f>
        <v>0</v>
      </c>
      <c r="I256" s="984">
        <f>IFERROR((COUNTIFS(Cards!$P$2:$P1023, "*Deathrattle*", Cards!$L$2:$L1023, "Murloc",Cards!$Q$2:$Q1023, "Standard", Cards!$B$2:B1023,B256 )/C256),0)</f>
        <v>0</v>
      </c>
      <c r="J256" s="982">
        <f>IFERROR((COUNTIFS(Cards!$P$2:$P1023, "*Divine Shield*", Cards!$L$2:$L1023, "Murloc",Cards!$Q$2:$Q1023, "Standard", Cards!$B$2:B1023,B256 )/C256),0)</f>
        <v>0</v>
      </c>
      <c r="K256" s="983">
        <f>IFERROR((COUNTIFS(Cards!$P$2:$P1023, "*Battlecry*", Cards!$L$2:$L1023, "Murloc",Cards!$Q$2:$Q1023, "Standard", Cards!$B$2:B1023,B256 )/C256),0)</f>
        <v>0</v>
      </c>
    </row>
    <row r="257" spans="1:18" ht="12.75">
      <c r="B257" s="978">
        <v>6</v>
      </c>
      <c r="C257" s="978">
        <f>COUNTIFS(Cards!$B$2:$B1023, B257, Cards!$L$2:$L1023, "Murloc",Cards!$Q$2:$Q1023, "Standard")</f>
        <v>1</v>
      </c>
      <c r="D257" s="979">
        <f>IFERROR((SUMIFS(Cards!$M$2:$M1023, Cards!$B$2:$B1023, B257, Cards!$L$2:$L1023, "Murloc",Cards!$Q$2:$Q1023, "Standard")/C257),0)</f>
        <v>2</v>
      </c>
      <c r="E257" s="980">
        <f>IFERROR((SUMIFS(Cards!$N$2:$N1023, Cards!$B$2:$B1023, B257, Cards!$L$2:$L1023, "Murloc",Cards!$Q$2:$Q1023, "Standard")/C257),0)</f>
        <v>3</v>
      </c>
      <c r="F257" s="981">
        <f>IFERROR((COUNTIFS(Cards!$P$2:$P1023, "*Charge*", Cards!$L$2:$L1023, "Murloc",Cards!$Q$2:$Q1023, "Standard", Cards!$B$2:B1023,B257 )/C257),0)</f>
        <v>0</v>
      </c>
      <c r="G257" s="982">
        <f>IFERROR((COUNTIFS(Cards!$P$2:$P1023, "*Taunt*", Cards!$L$2:$L1023, "Murloc",Cards!$Q$2:$Q1023, "Standard", Cards!$B$2:B1023,B257 )/C257),0)</f>
        <v>0</v>
      </c>
      <c r="H257" s="983">
        <f>IFERROR((COUNTIFS(Cards!$P$2:$P1023, "*Spell Damage*", Cards!$L$2:$L1023, "Murloc",Cards!$Q$2:$Q1023, "Standard", Cards!$B$2:B1023,B257 )/C257),0)</f>
        <v>0</v>
      </c>
      <c r="I257" s="984">
        <f>IFERROR((COUNTIFS(Cards!$P$2:$P1023, "*Deathrattle*", Cards!$L$2:$L1023, "Murloc",Cards!$Q$2:$Q1023, "Standard", Cards!$B$2:B1023,B257 )/C257),0)</f>
        <v>0</v>
      </c>
      <c r="J257" s="982">
        <f>IFERROR((COUNTIFS(Cards!$P$2:$P1023, "*Divine Shield*", Cards!$L$2:$L1023, "Murloc",Cards!$Q$2:$Q1023, "Standard", Cards!$B$2:B1023,B257 )/C257),0)</f>
        <v>0</v>
      </c>
      <c r="K257" s="983">
        <f>IFERROR((COUNTIFS(Cards!$P$2:$P1023, "*Battlecry*", Cards!$L$2:$L1023, "Murloc",Cards!$Q$2:$Q1023, "Standard", Cards!$B$2:B1023,B257 )/C257),0)</f>
        <v>1</v>
      </c>
    </row>
    <row r="258" spans="1:18" ht="12.75">
      <c r="B258" s="978">
        <v>7</v>
      </c>
      <c r="C258" s="978">
        <f>COUNTIFS(Cards!$B$2:$B1023, B258, Cards!$L$2:$L1023, "Murloc",Cards!$Q$2:$Q1023, "Standard")</f>
        <v>0</v>
      </c>
      <c r="D258" s="979">
        <f>IFERROR((SUMIFS(Cards!$M$2:$M1023, Cards!$B$2:$B1023, B258, Cards!$L$2:$L1023, "Murloc",Cards!$Q$2:$Q1023, "Standard")/C258),0)</f>
        <v>0</v>
      </c>
      <c r="E258" s="980">
        <f>IFERROR((SUMIFS(Cards!$N$2:$N1023, Cards!$B$2:$B1023, B258, Cards!$L$2:$L1023, "Murloc",Cards!$Q$2:$Q1023, "Standard")/C258),0)</f>
        <v>0</v>
      </c>
      <c r="F258" s="981">
        <f>IFERROR((COUNTIFS(Cards!$P$2:$P1023, "*Charge*", Cards!$L$2:$L1023, "Murloc",Cards!$Q$2:$Q1023, "Standard", Cards!$B$2:B1023,B258 )/C258),0)</f>
        <v>0</v>
      </c>
      <c r="G258" s="982">
        <f>IFERROR((COUNTIFS(Cards!$P$2:$P1023, "*Taunt*", Cards!$L$2:$L1023, "Murloc",Cards!$Q$2:$Q1023, "Standard", Cards!$B$2:B1023,B258 )/C258),0)</f>
        <v>0</v>
      </c>
      <c r="H258" s="983">
        <f>IFERROR((COUNTIFS(Cards!$P$2:$P1023, "*Spell Damage*", Cards!$L$2:$L1023, "Murloc",Cards!$Q$2:$Q1023, "Standard", Cards!$B$2:B1023,B258 )/C258),0)</f>
        <v>0</v>
      </c>
      <c r="I258" s="984">
        <f>IFERROR((COUNTIFS(Cards!$P$2:$P1023, "*Deathrattle*", Cards!$L$2:$L1023, "Murloc",Cards!$Q$2:$Q1023, "Standard", Cards!$B$2:B1023,B258 )/C258),0)</f>
        <v>0</v>
      </c>
      <c r="J258" s="982">
        <f>IFERROR((COUNTIFS(Cards!$P$2:$P1023, "*Divine Shield*", Cards!$L$2:$L1023, "Murloc",Cards!$Q$2:$Q1023, "Standard", Cards!$B$2:B1023,B258 )/C258),0)</f>
        <v>0</v>
      </c>
      <c r="K258" s="983">
        <f>IFERROR((COUNTIFS(Cards!$P$2:$P1023, "*Battlecry*", Cards!$L$2:$L1023, "Murloc",Cards!$Q$2:$Q1023, "Standard", Cards!$B$2:B1023,B258 )/C258),0)</f>
        <v>0</v>
      </c>
    </row>
    <row r="259" spans="1:18" ht="12.75">
      <c r="B259" s="978">
        <v>8</v>
      </c>
      <c r="C259" s="978">
        <f>COUNTIFS(Cards!$B$2:$B1023, B259, Cards!$L$2:$L1023, "Murloc",Cards!$Q$2:$Q1023, "Standard")</f>
        <v>0</v>
      </c>
      <c r="D259" s="979">
        <f>IFERROR((SUMIFS(Cards!$M$2:$M1023, Cards!$B$2:$B1023, B259, Cards!$L$2:$L1023, "Murloc",Cards!$Q$2:$Q1023, "Standard")/C259),0)</f>
        <v>0</v>
      </c>
      <c r="E259" s="980">
        <f>IFERROR((SUMIFS(Cards!$N$2:$N1023, Cards!$B$2:$B1023, B259, Cards!$L$2:$L1023, "Murloc",Cards!$Q$2:$Q1023, "Standard")/C259),0)</f>
        <v>0</v>
      </c>
      <c r="F259" s="981">
        <f>IFERROR((COUNTIFS(Cards!$P$2:$P1023, "*Charge*", Cards!$L$2:$L1023, "Murloc",Cards!$Q$2:$Q1023, "Standard", Cards!$B$2:B1023,B259 )/C259),0)</f>
        <v>0</v>
      </c>
      <c r="G259" s="982">
        <f>IFERROR((COUNTIFS(Cards!$P$2:$P1023, "*Taunt*", Cards!$L$2:$L1023, "Murloc",Cards!$Q$2:$Q1023, "Standard", Cards!$B$2:B1023,B259 )/C259),0)</f>
        <v>0</v>
      </c>
      <c r="H259" s="983">
        <f>IFERROR((COUNTIFS(Cards!$P$2:$P1023, "*Spell Damage*", Cards!$L$2:$L1023, "Murloc",Cards!$Q$2:$Q1023, "Standard", Cards!$B$2:B1023,B259 )/C259),0)</f>
        <v>0</v>
      </c>
      <c r="I259" s="984">
        <f>IFERROR((COUNTIFS(Cards!$P$2:$P1023, "*Deathrattle*", Cards!$L$2:$L1023, "Murloc",Cards!$Q$2:$Q1023, "Standard", Cards!$B$2:B1023,B259 )/C259),0)</f>
        <v>0</v>
      </c>
      <c r="J259" s="982">
        <f>IFERROR((COUNTIFS(Cards!$P$2:$P1023, "*Divine Shield*", Cards!$L$2:$L1023, "Murloc",Cards!$Q$2:$Q1023, "Standard", Cards!$B$2:B1023,B259 )/C259),0)</f>
        <v>0</v>
      </c>
      <c r="K259" s="983">
        <f>IFERROR((COUNTIFS(Cards!$P$2:$P1023, "*Battlecry*", Cards!$L$2:$L1023, "Murloc",Cards!$Q$2:$Q1023, "Standard", Cards!$B$2:B1023,B259 )/C259),0)</f>
        <v>0</v>
      </c>
    </row>
    <row r="260" spans="1:18" ht="12.75">
      <c r="B260" s="978">
        <v>9</v>
      </c>
      <c r="C260" s="978">
        <f>COUNTIFS(Cards!$B$2:$B1023, B260, Cards!$L$2:$L1023, "Murloc",Cards!$Q$2:$Q1023, "Standard")</f>
        <v>0</v>
      </c>
      <c r="D260" s="979">
        <f>IFERROR((SUMIFS(Cards!$M$2:$M1023, Cards!$B$2:$B1023, B260, Cards!$L$2:$L1023, "Murloc",Cards!$Q$2:$Q1023, "Standard")/C260),0)</f>
        <v>0</v>
      </c>
      <c r="E260" s="980">
        <f>IFERROR((SUMIFS(Cards!$N$2:$N1023, Cards!$B$2:$B1023, B260, Cards!$L$2:$L1023, "Murloc",Cards!$Q$2:$Q1023, "Standard")/C260),0)</f>
        <v>0</v>
      </c>
      <c r="F260" s="981">
        <f>IFERROR((COUNTIFS(Cards!$P$2:$P1023, "*Charge*", Cards!$L$2:$L1023, "Murloc",Cards!$Q$2:$Q1023, "Standard", Cards!$B$2:B1023,B260 )/C260),0)</f>
        <v>0</v>
      </c>
      <c r="G260" s="982">
        <f>IFERROR((COUNTIFS(Cards!$P$2:$P1023, "*Taunt*", Cards!$L$2:$L1023, "Murloc",Cards!$Q$2:$Q1023, "Standard", Cards!$B$2:B1023,B260 )/C260),0)</f>
        <v>0</v>
      </c>
      <c r="H260" s="983">
        <f>IFERROR((COUNTIFS(Cards!$P$2:$P1023, "*Spell Damage*", Cards!$L$2:$L1023, "Murloc",Cards!$Q$2:$Q1023, "Standard", Cards!$B$2:B1023,B260 )/C260),0)</f>
        <v>0</v>
      </c>
      <c r="I260" s="984">
        <f>IFERROR((COUNTIFS(Cards!$P$2:$P1023, "*Deathrattle*", Cards!$L$2:$L1023, "Murloc",Cards!$Q$2:$Q1023, "Standard", Cards!$B$2:B1023,B260 )/C260),0)</f>
        <v>0</v>
      </c>
      <c r="J260" s="982">
        <f>IFERROR((COUNTIFS(Cards!$P$2:$P1023, "*Divine Shield*", Cards!$L$2:$L1023, "Murloc",Cards!$Q$2:$Q1023, "Standard", Cards!$B$2:B1023,B260 )/C260),0)</f>
        <v>0</v>
      </c>
      <c r="K260" s="983">
        <f>IFERROR((COUNTIFS(Cards!$P$2:$P1023, "*Battlecry*", Cards!$L$2:$L1023, "Murloc",Cards!$Q$2:$Q1023, "Standard", Cards!$B$2:B1023,B260 )/C260),0)</f>
        <v>0</v>
      </c>
    </row>
    <row r="261" spans="1:18" ht="12.75">
      <c r="B261" s="985">
        <v>10</v>
      </c>
      <c r="C261" s="985">
        <f>COUNTIFS(Cards!$B$2:$B1023, B261, Cards!$L$2:$L1023, "Murloc",Cards!$Q$2:$Q1023, "Standard")</f>
        <v>0</v>
      </c>
      <c r="D261" s="986">
        <f>IFERROR((SUMIFS(Cards!$M$2:$M1023, Cards!$B$2:$B1023, B261, Cards!$L$2:$L1023, "Murloc",Cards!$Q$2:$Q1023, "Standard")/C261),0)</f>
        <v>0</v>
      </c>
      <c r="E261" s="987">
        <f>IFERROR((SUMIFS(Cards!$N$2:$N1023, Cards!$B$2:$B1023, B261, Cards!$L$2:$L1023, "Murloc",Cards!$Q$2:$Q1023, "Standard")/C261),0)</f>
        <v>0</v>
      </c>
      <c r="F261" s="988">
        <f>IFERROR((COUNTIFS(Cards!$P$2:$P1023, "*Charge*", Cards!$L$2:$L1023, "Murloc",Cards!$Q$2:$Q1023, "Standard", Cards!$B$2:B1023,B261 )/C261),0)</f>
        <v>0</v>
      </c>
      <c r="G261" s="989">
        <f>IFERROR((COUNTIFS(Cards!$P$2:$P1023, "*Taunt*", Cards!$L$2:$L1023, "Murloc",Cards!$Q$2:$Q1023, "Standard", Cards!$B$2:B1023,B261 )/C261),0)</f>
        <v>0</v>
      </c>
      <c r="H261" s="990">
        <f>IFERROR((COUNTIFS(Cards!$P$2:$P1023, "*Spell Damage*", Cards!$L$2:$L1023, "Murloc",Cards!$Q$2:$Q1023, "Standard", Cards!$B$2:B1023,B261 )/C261),0)</f>
        <v>0</v>
      </c>
      <c r="I261" s="991">
        <f>IFERROR((COUNTIFS(Cards!$P$2:$P1023, "*Deathrattle*", Cards!$L$2:$L1023, "Murloc",Cards!$Q$2:$Q1023, "Standard", Cards!$B$2:B1023,B261 )/C261),0)</f>
        <v>0</v>
      </c>
      <c r="J261" s="989">
        <f>IFERROR((COUNTIFS(Cards!$P$2:$P1023, "*Divine Shield*", Cards!$L$2:$L1023, "Murloc",Cards!$Q$2:$Q1023, "Standard", Cards!$B$2:B1023,B261 )/C261),0)</f>
        <v>0</v>
      </c>
      <c r="K261" s="990">
        <f>IFERROR((COUNTIFS(Cards!$P$2:$P1023, "*Battlecry*", Cards!$L$2:$L1023, "Murloc",Cards!$Q$2:$Q1023, "Standard", Cards!$B$2:B1023,B261 )/C261),0)</f>
        <v>0</v>
      </c>
    </row>
    <row r="262" spans="1:18" ht="12.75">
      <c r="B262" s="993" t="s">
        <v>2201</v>
      </c>
      <c r="C262" s="994">
        <f>SUM(C251:C261)</f>
        <v>14</v>
      </c>
      <c r="D262" s="995">
        <f>SUMIFS(Cards!$M$2:$M1023, Cards!$L$2:$L1023, "Murloc",Cards!$Q$2:$Q1023, "Standard")/C262</f>
        <v>1.7857142857142858</v>
      </c>
      <c r="E262" s="996">
        <f>SUMIFS(Cards!$N$2:$N1023, Cards!$L$2:$L1023, "Murloc",Cards!$Q$2:$Q1023, "Standard")/C262</f>
        <v>2.0714285714285716</v>
      </c>
      <c r="F262" s="997">
        <f>COUNTIFS(Cards!$P$2:$P1023, "*Charge*", Cards!$L$2:$L1023, "Murloc",Cards!$Q$2:$Q1023, "Standard")/C262</f>
        <v>7.1428571428571425E-2</v>
      </c>
      <c r="G262" s="997">
        <f>COUNTIFS(Cards!$P$2:$P1023, "*Taunt*", Cards!$L$2:$L1023, "Murloc",Cards!$Q$2:$Q1023, "Standard")/C262</f>
        <v>0</v>
      </c>
      <c r="H262" s="997">
        <f>COUNTIFS(Cards!$P$2:$P1023, "*Spell Damage*", Cards!$L$2:$L1023, "Murloc",Cards!$Q$2:$Q1023, "Standard")/C262</f>
        <v>0</v>
      </c>
      <c r="I262" s="997">
        <f>COUNTIFS(Cards!$P$2:$P1023, "*Deathrattle*", Cards!$L$2:$L1023, "Murloc",Cards!$Q$2:$Q1023, "Standard")/C262</f>
        <v>0</v>
      </c>
      <c r="J262" s="997">
        <f>COUNTIFS(Cards!$P$2:$P1023, "*Divine Shield*", Cards!$L$2:$L1023, "Murloc",Cards!$Q$2:$Q1023, "Standard")/C262</f>
        <v>0</v>
      </c>
      <c r="K262" s="998">
        <f>COUNTIFS(Cards!$P$2:$P1023, "*Battlecry*", Cards!$L$2:$L1023, "Murloc",Cards!$Q$2:$Q1023, "Standard")/C262</f>
        <v>0.5</v>
      </c>
    </row>
    <row r="264" spans="1:18" ht="12.75">
      <c r="A264" s="992"/>
      <c r="B264" s="1205" t="s">
        <v>2206</v>
      </c>
      <c r="C264" s="1007"/>
      <c r="D264" s="1007"/>
      <c r="E264" s="1007"/>
      <c r="F264" s="1007"/>
      <c r="G264" s="1007"/>
      <c r="H264" s="1007"/>
      <c r="I264" s="1007"/>
      <c r="J264" s="1007"/>
      <c r="K264" s="1007"/>
      <c r="L264" s="992"/>
      <c r="M264" s="992"/>
      <c r="N264" s="992"/>
      <c r="O264" s="992"/>
      <c r="P264" s="992"/>
      <c r="Q264" s="992"/>
      <c r="R264" s="992"/>
    </row>
    <row r="265" spans="1:18" ht="12.75">
      <c r="B265" s="802"/>
    </row>
    <row r="266" spans="1:18" ht="12.75">
      <c r="B266" s="1217" t="s">
        <v>2207</v>
      </c>
      <c r="C266" s="1102"/>
      <c r="D266" s="1102"/>
      <c r="E266" s="1102"/>
      <c r="F266" s="1102"/>
      <c r="G266" s="1102"/>
      <c r="H266" s="1102"/>
      <c r="I266" s="1102"/>
      <c r="J266" s="1102"/>
      <c r="K266" s="1030"/>
    </row>
    <row r="267" spans="1:18" ht="12.75">
      <c r="B267" s="977" t="s">
        <v>2187</v>
      </c>
      <c r="C267" s="977" t="s">
        <v>67</v>
      </c>
      <c r="D267" s="977" t="s">
        <v>2188</v>
      </c>
      <c r="E267" s="977" t="s">
        <v>125</v>
      </c>
      <c r="F267" s="977" t="s">
        <v>295</v>
      </c>
      <c r="G267" s="977" t="s">
        <v>1239</v>
      </c>
      <c r="H267" s="977" t="s">
        <v>2189</v>
      </c>
      <c r="I267" s="977" t="s">
        <v>2190</v>
      </c>
      <c r="J267" s="977" t="s">
        <v>1010</v>
      </c>
      <c r="K267" s="977" t="s">
        <v>2191</v>
      </c>
    </row>
    <row r="268" spans="1:18" ht="12.75">
      <c r="B268" s="978">
        <v>0</v>
      </c>
      <c r="C268" s="978">
        <f>COUNTIFS(Cards!$B$2:$B1023, B268, Cards!$K$2:$K1023, "Weapon")</f>
        <v>0</v>
      </c>
      <c r="D268" s="979">
        <f>IFERROR((SUMIFS(Cards!$M$2:$M1023, Cards!$B$2:$B1023, B268, Cards!$K$2:$K1023, "Weapon")/C268),0)</f>
        <v>0</v>
      </c>
      <c r="E268" s="980">
        <f>IFERROR((SUMIFS(Cards!$N$2:$N1023, Cards!$B$2:$B1023, B268, Cards!$K$2:$K1023, "Weapon")/C268),0)</f>
        <v>0</v>
      </c>
      <c r="F268" s="981">
        <f>IFERROR((COUNTIFS(Cards!$P$2:$P1023, "*Charge*", Cards!$K$2:$K1023, "Weapon", Cards!$B$2:B1023,B268 )/C268),0)</f>
        <v>0</v>
      </c>
      <c r="G268" s="982">
        <f>IFERROR((COUNTIFS(Cards!$P$2:$P1023, "*Taunt*", Cards!$K$2:$K1023, "Weapon", Cards!$B$2:B1023,B268 )/C268),0)</f>
        <v>0</v>
      </c>
      <c r="H268" s="983">
        <f>IFERROR((COUNTIFS(Cards!$P$2:$P1023, "*Spell Damage*", Cards!$K$2:$K1023, "Weapon", Cards!$B$2:B1023,B268 )/C268),0)</f>
        <v>0</v>
      </c>
      <c r="I268" s="984">
        <f>IFERROR((COUNTIFS(Cards!$P$2:$P1023, "*Deathrattle*", Cards!$K$2:$K1023, "Weapon", Cards!$B$2:B1023,B268 )/C268),0)</f>
        <v>0</v>
      </c>
      <c r="J268" s="982">
        <f>IFERROR((COUNTIFS(Cards!$P$2:$P1023, "*Divine Shield*", Cards!$K$2:$K1023, "Weapon", Cards!$B$2:B1023,B268 )/C268),0)</f>
        <v>0</v>
      </c>
      <c r="K268" s="983">
        <f>IFERROR((COUNTIFS(Cards!$P$2:$P1023, "*Battlecry*", Cards!$K$2:$K1023, "Weapon", Cards!$B$2:B1023,B268 )/C268),0)</f>
        <v>0</v>
      </c>
    </row>
    <row r="269" spans="1:18" ht="12.75">
      <c r="B269" s="978">
        <v>1</v>
      </c>
      <c r="C269" s="978">
        <f>COUNTIFS(Cards!$B$2:$B1023, B269, Cards!$K$2:$K1023, "Weapon")</f>
        <v>2</v>
      </c>
      <c r="D269" s="979">
        <f>IFERROR((SUMIFS(Cards!$M$2:$M1023, Cards!$B$2:$B1023, B269, Cards!$K$2:$K1023, "Weapon")/C269),0)</f>
        <v>1.5</v>
      </c>
      <c r="E269" s="980">
        <f>IFERROR((SUMIFS(Cards!$N$2:$N1023, Cards!$B$2:$B1023, B269, Cards!$K$2:$K1023, "Weapon")/C269),0)</f>
        <v>3.5</v>
      </c>
      <c r="F269" s="981">
        <f>IFERROR((COUNTIFS(Cards!$P$2:$P1023, "*Charge*", Cards!$K$2:$K1023, "Weapon", Cards!$B$2:B1023,B269 )/C269),0)</f>
        <v>0</v>
      </c>
      <c r="G269" s="982">
        <f>IFERROR((COUNTIFS(Cards!$P$2:$P1023, "*Taunt*", Cards!$K$2:$K1023, "Weapon", Cards!$B$2:B1023,B269 )/C269),0)</f>
        <v>0</v>
      </c>
      <c r="H269" s="983">
        <f>IFERROR((COUNTIFS(Cards!$P$2:$P1023, "*Spell Damage*", Cards!$K$2:$K1023, "Weapon", Cards!$B$2:B1023,B269 )/C269),0)</f>
        <v>0</v>
      </c>
      <c r="I269" s="984">
        <f>IFERROR((COUNTIFS(Cards!$P$2:$P1023, "*Deathrattle*", Cards!$K$2:$K1023, "Weapon", Cards!$B$2:B1023,B269 )/C269),0)</f>
        <v>0</v>
      </c>
      <c r="J269" s="982">
        <f>IFERROR((COUNTIFS(Cards!$P$2:$P1023, "*Divine Shield*", Cards!$K$2:$K1023, "Weapon", Cards!$B$2:B1023,B269 )/C269),0)</f>
        <v>0</v>
      </c>
      <c r="K269" s="983">
        <f>IFERROR((COUNTIFS(Cards!$P$2:$P1023, "*Battlecry*", Cards!$K$2:$K1023, "Weapon", Cards!$B$2:B1023,B269 )/C269),0)</f>
        <v>0</v>
      </c>
    </row>
    <row r="270" spans="1:18" ht="12.75">
      <c r="B270" s="978">
        <v>2</v>
      </c>
      <c r="C270" s="978">
        <f>COUNTIFS(Cards!$B$2:$B1023, B270, Cards!$K$2:$K1023, "Weapon")</f>
        <v>4</v>
      </c>
      <c r="D270" s="979">
        <f>IFERROR((SUMIFS(Cards!$M$2:$M1023, Cards!$B$2:$B1023, B270, Cards!$K$2:$K1023, "Weapon")/C270),0)</f>
        <v>2.25</v>
      </c>
      <c r="E270" s="980">
        <f>IFERROR((SUMIFS(Cards!$N$2:$N1023, Cards!$B$2:$B1023, B270, Cards!$K$2:$K1023, "Weapon")/C270),0)</f>
        <v>2.25</v>
      </c>
      <c r="F270" s="981">
        <f>IFERROR((COUNTIFS(Cards!$P$2:$P1023, "*Charge*", Cards!$K$2:$K1023, "Weapon", Cards!$B$2:B1023,B270 )/C270),0)</f>
        <v>0</v>
      </c>
      <c r="G270" s="982">
        <f>IFERROR((COUNTIFS(Cards!$P$2:$P1023, "*Taunt*", Cards!$K$2:$K1023, "Weapon", Cards!$B$2:B1023,B270 )/C270),0)</f>
        <v>0</v>
      </c>
      <c r="H270" s="983">
        <f>IFERROR((COUNTIFS(Cards!$P$2:$P1023, "*Spell Damage*", Cards!$K$2:$K1023, "Weapon", Cards!$B$2:B1023,B270 )/C270),0)</f>
        <v>0</v>
      </c>
      <c r="I270" s="984">
        <f>IFERROR((COUNTIFS(Cards!$P$2:$P1023, "*Deathrattle*", Cards!$K$2:$K1023, "Weapon", Cards!$B$2:B1023,B270 )/C270),0)</f>
        <v>0</v>
      </c>
      <c r="J270" s="982">
        <f>IFERROR((COUNTIFS(Cards!$P$2:$P1023, "*Divine Shield*", Cards!$K$2:$K1023, "Weapon", Cards!$B$2:B1023,B270 )/C270),0)</f>
        <v>0</v>
      </c>
      <c r="K270" s="983">
        <f>IFERROR((COUNTIFS(Cards!$P$2:$P1023, "*Battlecry*", Cards!$K$2:$K1023, "Weapon", Cards!$B$2:B1023,B270 )/C270),0)</f>
        <v>0</v>
      </c>
    </row>
    <row r="271" spans="1:18" ht="12.75">
      <c r="B271" s="978">
        <v>3</v>
      </c>
      <c r="C271" s="978">
        <f>COUNTIFS(Cards!$B$2:$B1023, B271, Cards!$K$2:$K1023, "Weapon")</f>
        <v>9</v>
      </c>
      <c r="D271" s="979">
        <f>IFERROR((SUMIFS(Cards!$M$2:$M1023, Cards!$B$2:$B1023, B271, Cards!$K$2:$K1023, "Weapon")/C271),0)</f>
        <v>2.1111111111111112</v>
      </c>
      <c r="E271" s="980">
        <f>IFERROR((SUMIFS(Cards!$N$2:$N1023, Cards!$B$2:$B1023, B271, Cards!$K$2:$K1023, "Weapon")/C271),0)</f>
        <v>2.3333333333333335</v>
      </c>
      <c r="F271" s="981">
        <f>IFERROR((COUNTIFS(Cards!$P$2:$P1023, "*Charge*", Cards!$K$2:$K1023, "Weapon", Cards!$B$2:B1023,B271 )/C271),0)</f>
        <v>0</v>
      </c>
      <c r="G271" s="982">
        <f>IFERROR((COUNTIFS(Cards!$P$2:$P1023, "*Taunt*", Cards!$K$2:$K1023, "Weapon", Cards!$B$2:B1023,B271 )/C271),0)</f>
        <v>0</v>
      </c>
      <c r="H271" s="983">
        <f>IFERROR((COUNTIFS(Cards!$P$2:$P1023, "*Spell Damage*", Cards!$K$2:$K1023, "Weapon", Cards!$B$2:B1023,B271 )/C271),0)</f>
        <v>0</v>
      </c>
      <c r="I271" s="984">
        <f>IFERROR((COUNTIFS(Cards!$P$2:$P1023, "*Deathrattle*", Cards!$K$2:$K1023, "Weapon", Cards!$B$2:B1023,B271 )/C271),0)</f>
        <v>0</v>
      </c>
      <c r="J271" s="982">
        <f>IFERROR((COUNTIFS(Cards!$P$2:$P1023, "*Divine Shield*", Cards!$K$2:$K1023, "Weapon", Cards!$B$2:B1023,B271 )/C271),0)</f>
        <v>0</v>
      </c>
      <c r="K271" s="983">
        <f>IFERROR((COUNTIFS(Cards!$P$2:$P1023, "*Battlecry*", Cards!$K$2:$K1023, "Weapon", Cards!$B$2:B1023,B271 )/C271),0)</f>
        <v>0.1111111111111111</v>
      </c>
    </row>
    <row r="272" spans="1:18" ht="12.75">
      <c r="B272" s="978">
        <v>4</v>
      </c>
      <c r="C272" s="978">
        <f>COUNTIFS(Cards!$B$2:$B1023, B272, Cards!$K$2:$K1023, "Weapon")</f>
        <v>4</v>
      </c>
      <c r="D272" s="979">
        <f>IFERROR((SUMIFS(Cards!$M$2:$M1023, Cards!$B$2:$B1023, B272, Cards!$K$2:$K1023, "Weapon")/C272),0)</f>
        <v>2.75</v>
      </c>
      <c r="E272" s="980">
        <f>IFERROR((SUMIFS(Cards!$N$2:$N1023, Cards!$B$2:$B1023, B272, Cards!$K$2:$K1023, "Weapon")/C272),0)</f>
        <v>2.75</v>
      </c>
      <c r="F272" s="981">
        <f>IFERROR((COUNTIFS(Cards!$P$2:$P1023, "*Charge*", Cards!$K$2:$K1023, "Weapon", Cards!$B$2:B1023,B272 )/C272),0)</f>
        <v>0</v>
      </c>
      <c r="G272" s="982">
        <f>IFERROR((COUNTIFS(Cards!$P$2:$P1023, "*Taunt*", Cards!$K$2:$K1023, "Weapon", Cards!$B$2:B1023,B272 )/C272),0)</f>
        <v>0</v>
      </c>
      <c r="H272" s="983">
        <f>IFERROR((COUNTIFS(Cards!$P$2:$P1023, "*Spell Damage*", Cards!$K$2:$K1023, "Weapon", Cards!$B$2:B1023,B272 )/C272),0)</f>
        <v>0</v>
      </c>
      <c r="I272" s="984">
        <f>IFERROR((COUNTIFS(Cards!$P$2:$P1023, "*Deathrattle*", Cards!$K$2:$K1023, "Weapon", Cards!$B$2:B1023,B272 )/C272),0)</f>
        <v>0</v>
      </c>
      <c r="J272" s="982">
        <f>IFERROR((COUNTIFS(Cards!$P$2:$P1023, "*Divine Shield*", Cards!$K$2:$K1023, "Weapon", Cards!$B$2:B1023,B272 )/C272),0)</f>
        <v>0</v>
      </c>
      <c r="K272" s="983">
        <f>IFERROR((COUNTIFS(Cards!$P$2:$P1023, "*Battlecry*", Cards!$K$2:$K1023, "Weapon", Cards!$B$2:B1023,B272 )/C272),0)</f>
        <v>0</v>
      </c>
    </row>
    <row r="273" spans="2:11" ht="12.75">
      <c r="B273" s="978">
        <v>5</v>
      </c>
      <c r="C273" s="978">
        <f>COUNTIFS(Cards!$B$2:$B1023, B273, Cards!$K$2:$K1023, "Weapon")</f>
        <v>5</v>
      </c>
      <c r="D273" s="979">
        <f>IFERROR((SUMIFS(Cards!$M$2:$M1023, Cards!$B$2:$B1023, B273, Cards!$K$2:$K1023, "Weapon")/C273),0)</f>
        <v>3.2</v>
      </c>
      <c r="E273" s="980">
        <f>IFERROR((SUMIFS(Cards!$N$2:$N1023, Cards!$B$2:$B1023, B273, Cards!$K$2:$K1023, "Weapon")/C273),0)</f>
        <v>3.6</v>
      </c>
      <c r="F273" s="981">
        <f>IFERROR((COUNTIFS(Cards!$P$2:$P1023, "*Charge*", Cards!$K$2:$K1023, "Weapon", Cards!$B$2:B1023,B273 )/C273),0)</f>
        <v>0</v>
      </c>
      <c r="G273" s="982">
        <f>IFERROR((COUNTIFS(Cards!$P$2:$P1023, "*Taunt*", Cards!$K$2:$K1023, "Weapon", Cards!$B$2:B1023,B273 )/C273),0)</f>
        <v>0</v>
      </c>
      <c r="H273" s="983">
        <f>IFERROR((COUNTIFS(Cards!$P$2:$P1023, "*Spell Damage*", Cards!$K$2:$K1023, "Weapon", Cards!$B$2:B1023,B273 )/C273),0)</f>
        <v>0</v>
      </c>
      <c r="I273" s="984">
        <f>IFERROR((COUNTIFS(Cards!$P$2:$P1023, "*Deathrattle*", Cards!$K$2:$K1023, "Weapon", Cards!$B$2:B1023,B273 )/C273),0)</f>
        <v>0.2</v>
      </c>
      <c r="J273" s="982">
        <f>IFERROR((COUNTIFS(Cards!$P$2:$P1023, "*Divine Shield*", Cards!$K$2:$K1023, "Weapon", Cards!$B$2:B1023,B273 )/C273),0)</f>
        <v>0</v>
      </c>
      <c r="K273" s="983">
        <f>IFERROR((COUNTIFS(Cards!$P$2:$P1023, "*Battlecry*", Cards!$K$2:$K1023, "Weapon", Cards!$B$2:B1023,B273 )/C273),0)</f>
        <v>0</v>
      </c>
    </row>
    <row r="274" spans="2:11" ht="12.75">
      <c r="B274" s="978">
        <v>6</v>
      </c>
      <c r="C274" s="978">
        <f>COUNTIFS(Cards!$B$2:$B1023, B274, Cards!$K$2:$K1023, "Weapon")</f>
        <v>0</v>
      </c>
      <c r="D274" s="979">
        <f>IFERROR((SUMIFS(Cards!$M$2:$M1023, Cards!$B$2:$B1023, B274, Cards!$K$2:$K1023, "Weapon")/C274),0)</f>
        <v>0</v>
      </c>
      <c r="E274" s="980">
        <f>IFERROR((SUMIFS(Cards!$N$2:$N1023, Cards!$B$2:$B1023, B274, Cards!$K$2:$K1023, "Weapon")/C274),0)</f>
        <v>0</v>
      </c>
      <c r="F274" s="981">
        <f>IFERROR((COUNTIFS(Cards!$P$2:$P1023, "*Charge*", Cards!$K$2:$K1023, "Weapon", Cards!$B$2:B1023,B274 )/C274),0)</f>
        <v>0</v>
      </c>
      <c r="G274" s="982">
        <f>IFERROR((COUNTIFS(Cards!$P$2:$P1023, "*Taunt*", Cards!$K$2:$K1023, "Weapon", Cards!$B$2:B1023,B274 )/C274),0)</f>
        <v>0</v>
      </c>
      <c r="H274" s="983">
        <f>IFERROR((COUNTIFS(Cards!$P$2:$P1023, "*Spell Damage*", Cards!$K$2:$K1023, "Weapon", Cards!$B$2:B1023,B274 )/C274),0)</f>
        <v>0</v>
      </c>
      <c r="I274" s="984">
        <f>IFERROR((COUNTIFS(Cards!$P$2:$P1023, "*Deathrattle*", Cards!$K$2:$K1023, "Weapon", Cards!$B$2:B1023,B274 )/C274),0)</f>
        <v>0</v>
      </c>
      <c r="J274" s="982">
        <f>IFERROR((COUNTIFS(Cards!$P$2:$P1023, "*Divine Shield*", Cards!$K$2:$K1023, "Weapon", Cards!$B$2:B1023,B274 )/C274),0)</f>
        <v>0</v>
      </c>
      <c r="K274" s="983">
        <f>IFERROR((COUNTIFS(Cards!$P$2:$P1023, "*Battlecry*", Cards!$K$2:$K1023, "Weapon", Cards!$B$2:B1023,B274 )/C274),0)</f>
        <v>0</v>
      </c>
    </row>
    <row r="275" spans="2:11" ht="12.75">
      <c r="B275" s="978">
        <v>7</v>
      </c>
      <c r="C275" s="978">
        <f>COUNTIFS(Cards!$B$2:$B1023, B275, Cards!$K$2:$K1023, "Weapon")</f>
        <v>2</v>
      </c>
      <c r="D275" s="979">
        <f>IFERROR((SUMIFS(Cards!$M$2:$M1023, Cards!$B$2:$B1023, B275, Cards!$K$2:$K1023, "Weapon")/C275),0)</f>
        <v>6</v>
      </c>
      <c r="E275" s="980">
        <f>IFERROR((SUMIFS(Cards!$N$2:$N1023, Cards!$B$2:$B1023, B275, Cards!$K$2:$K1023, "Weapon")/C275),0)</f>
        <v>1.5</v>
      </c>
      <c r="F275" s="981">
        <f>IFERROR((COUNTIFS(Cards!$P$2:$P1023, "*Charge*", Cards!$K$2:$K1023, "Weapon", Cards!$B$2:B1023,B275 )/C275),0)</f>
        <v>0</v>
      </c>
      <c r="G275" s="982">
        <f>IFERROR((COUNTIFS(Cards!$P$2:$P1023, "*Taunt*", Cards!$K$2:$K1023, "Weapon", Cards!$B$2:B1023,B275 )/C275),0)</f>
        <v>0</v>
      </c>
      <c r="H275" s="983">
        <f>IFERROR((COUNTIFS(Cards!$P$2:$P1023, "*Spell Damage*", Cards!$K$2:$K1023, "Weapon", Cards!$B$2:B1023,B275 )/C275),0)</f>
        <v>0</v>
      </c>
      <c r="I275" s="984">
        <f>IFERROR((COUNTIFS(Cards!$P$2:$P1023, "*Deathrattle*", Cards!$K$2:$K1023, "Weapon", Cards!$B$2:B1023,B275 )/C275),0)</f>
        <v>0</v>
      </c>
      <c r="J275" s="982">
        <f>IFERROR((COUNTIFS(Cards!$P$2:$P1023, "*Divine Shield*", Cards!$K$2:$K1023, "Weapon", Cards!$B$2:B1023,B275 )/C275),0)</f>
        <v>0</v>
      </c>
      <c r="K275" s="983">
        <f>IFERROR((COUNTIFS(Cards!$P$2:$P1023, "*Battlecry*", Cards!$K$2:$K1023, "Weapon", Cards!$B$2:B1023,B275 )/C275),0)</f>
        <v>0</v>
      </c>
    </row>
    <row r="276" spans="2:11" ht="12.75">
      <c r="B276" s="978">
        <v>8</v>
      </c>
      <c r="C276" s="978">
        <f>COUNTIFS(Cards!$B$2:$B1023, B276, Cards!$K$2:$K1023, "Weapon")</f>
        <v>0</v>
      </c>
      <c r="D276" s="979">
        <f>IFERROR((SUMIFS(Cards!$M$2:$M1023, Cards!$B$2:$B1023, B276, Cards!$K$2:$K1023, "Weapon")/C276),0)</f>
        <v>0</v>
      </c>
      <c r="E276" s="980">
        <f>IFERROR((SUMIFS(Cards!$N$2:$N1023, Cards!$B$2:$B1023, B276, Cards!$K$2:$K1023, "Weapon")/C276),0)</f>
        <v>0</v>
      </c>
      <c r="F276" s="981">
        <f>IFERROR((COUNTIFS(Cards!$P$2:$P1023, "*Charge*", Cards!$K$2:$K1023, "Weapon", Cards!$B$2:B1023,B276 )/C276),0)</f>
        <v>0</v>
      </c>
      <c r="G276" s="982">
        <f>IFERROR((COUNTIFS(Cards!$P$2:$P1023, "*Taunt*", Cards!$K$2:$K1023, "Weapon", Cards!$B$2:B1023,B276 )/C276),0)</f>
        <v>0</v>
      </c>
      <c r="H276" s="983">
        <f>IFERROR((COUNTIFS(Cards!$P$2:$P1023, "*Spell Damage*", Cards!$K$2:$K1023, "Weapon", Cards!$B$2:B1023,B276 )/C276),0)</f>
        <v>0</v>
      </c>
      <c r="I276" s="984">
        <f>IFERROR((COUNTIFS(Cards!$P$2:$P1023, "*Deathrattle*", Cards!$K$2:$K1023, "Weapon", Cards!$B$2:B1023,B276 )/C276),0)</f>
        <v>0</v>
      </c>
      <c r="J276" s="982">
        <f>IFERROR((COUNTIFS(Cards!$P$2:$P1023, "*Divine Shield*", Cards!$K$2:$K1023, "Weapon", Cards!$B$2:B1023,B276 )/C276),0)</f>
        <v>0</v>
      </c>
      <c r="K276" s="983">
        <f>IFERROR((COUNTIFS(Cards!$P$2:$P1023, "*Battlecry*", Cards!$K$2:$K1023, "Weapon", Cards!$B$2:B1023,B276 )/C276),0)</f>
        <v>0</v>
      </c>
    </row>
    <row r="277" spans="2:11" ht="12.75">
      <c r="B277" s="978">
        <v>9</v>
      </c>
      <c r="C277" s="978">
        <f>COUNTIFS(Cards!$B$2:$B1023, B277, Cards!$K$2:$K1023, "Weapon")</f>
        <v>0</v>
      </c>
      <c r="D277" s="979">
        <f>IFERROR((SUMIFS(Cards!$M$2:$M1023, Cards!$B$2:$B1023, B277, Cards!$K$2:$K1023, "Weapon")/C277),0)</f>
        <v>0</v>
      </c>
      <c r="E277" s="980">
        <f>IFERROR((SUMIFS(Cards!$N$2:$N1023, Cards!$B$2:$B1023, B277, Cards!$K$2:$K1023, "Weapon")/C277),0)</f>
        <v>0</v>
      </c>
      <c r="F277" s="981">
        <f>IFERROR((COUNTIFS(Cards!$P$2:$P1023, "*Charge*", Cards!$K$2:$K1023, "Weapon", Cards!$B$2:B1023,B277 )/C277),0)</f>
        <v>0</v>
      </c>
      <c r="G277" s="982">
        <f>IFERROR((COUNTIFS(Cards!$P$2:$P1023, "*Taunt*", Cards!$K$2:$K1023, "Weapon", Cards!$B$2:B1023,B277 )/C277),0)</f>
        <v>0</v>
      </c>
      <c r="H277" s="983">
        <f>IFERROR((COUNTIFS(Cards!$P$2:$P1023, "*Spell Damage*", Cards!$K$2:$K1023, "Weapon", Cards!$B$2:B1023,B277 )/C277),0)</f>
        <v>0</v>
      </c>
      <c r="I277" s="984">
        <f>IFERROR((COUNTIFS(Cards!$P$2:$P1023, "*Deathrattle*", Cards!$K$2:$K1023, "Weapon", Cards!$B$2:B1023,B277 )/C277),0)</f>
        <v>0</v>
      </c>
      <c r="J277" s="982">
        <f>IFERROR((COUNTIFS(Cards!$P$2:$P1023, "*Divine Shield*", Cards!$K$2:$K1023, "Weapon", Cards!$B$2:B1023,B277 )/C277),0)</f>
        <v>0</v>
      </c>
      <c r="K277" s="983">
        <f>IFERROR((COUNTIFS(Cards!$P$2:$P1023, "*Battlecry*", Cards!$K$2:$K1023, "Weapon", Cards!$B$2:B1023,B277 )/C277),0)</f>
        <v>0</v>
      </c>
    </row>
    <row r="278" spans="2:11" ht="12.75">
      <c r="B278" s="985">
        <v>10</v>
      </c>
      <c r="C278" s="985">
        <f>COUNTIFS(Cards!$B$2:$B1023, B278, Cards!$K$2:$K1023, "Weapon")</f>
        <v>0</v>
      </c>
      <c r="D278" s="986">
        <f>IFERROR((SUMIFS(Cards!$M$2:$M1023, Cards!$B$2:$B1023, B278, Cards!$K$2:$K1023, "Weapon")/C278),0)</f>
        <v>0</v>
      </c>
      <c r="E278" s="987">
        <f>IFERROR((SUMIFS(Cards!$N$2:$N1023, Cards!$B$2:$B1023, B278, Cards!$K$2:$K1023, "Weapon")/C278),0)</f>
        <v>0</v>
      </c>
      <c r="F278" s="988">
        <f>IFERROR((COUNTIFS(Cards!$P$2:$P1023, "*Charge*", Cards!$K$2:$K1023, "Weapon", Cards!$B$2:B1023,B278 )/C278),0)</f>
        <v>0</v>
      </c>
      <c r="G278" s="989">
        <f>IFERROR((COUNTIFS(Cards!$P$2:$P1023, "*Taunt*", Cards!$K$2:$K1023, "Weapon", Cards!$B$2:B1023,B278 )/C278),0)</f>
        <v>0</v>
      </c>
      <c r="H278" s="990">
        <f>IFERROR((COUNTIFS(Cards!$P$2:$P1023, "*Spell Damage*", Cards!$K$2:$K1023, "Weapon", Cards!$B$2:B1023,B278 )/C278),0)</f>
        <v>0</v>
      </c>
      <c r="I278" s="991">
        <f>IFERROR((COUNTIFS(Cards!$P$2:$P1023, "*Deathrattle*", Cards!$K$2:$K1023, "Weapon", Cards!$B$2:B1023,B278 )/C278),0)</f>
        <v>0</v>
      </c>
      <c r="J278" s="989">
        <f>IFERROR((COUNTIFS(Cards!$P$2:$P1023, "*Divine Shield*", Cards!$K$2:$K1023, "Weapon", Cards!$B$2:B1023,B278 )/C278),0)</f>
        <v>0</v>
      </c>
      <c r="K278" s="990">
        <f>IFERROR((COUNTIFS(Cards!$P$2:$P1023, "*Battlecry*", Cards!$K$2:$K1023, "Weapon", Cards!$B$2:B1023,B278 )/C278),0)</f>
        <v>0</v>
      </c>
    </row>
    <row r="279" spans="2:11" ht="12.75">
      <c r="B279" s="993" t="s">
        <v>2201</v>
      </c>
      <c r="C279" s="994">
        <f>SUM(C268:C278)</f>
        <v>26</v>
      </c>
      <c r="D279" s="995">
        <f>SUMIFS(Cards!$M$2:$M1023, Cards!$K$2:$K1023, "Weapon")/C279</f>
        <v>2.6923076923076925</v>
      </c>
      <c r="E279" s="996">
        <f>SUMIFS(Cards!$N$2:$N1023, Cards!$K$2:$K1023, "Weapon")/C279</f>
        <v>2.6538461538461537</v>
      </c>
      <c r="F279" s="997">
        <f>COUNTIFS(Cards!$P$2:$P1023, "*Charge*", Cards!$K$2:$K1023, "Weapon")/C279</f>
        <v>0</v>
      </c>
      <c r="G279" s="997">
        <f>COUNTIFS(Cards!$P$2:$P1023, "*Taunt*", Cards!$K$2:$K1023, "Weapon")/C279</f>
        <v>0</v>
      </c>
      <c r="H279" s="997">
        <f>COUNTIFS(Cards!$P$2:$P1023, "*Spell Damage*", Cards!$K$2:$K1023, "Weapon")/C279</f>
        <v>0</v>
      </c>
      <c r="I279" s="997">
        <f>COUNTIFS(Cards!$P$2:$P1023, "*Deathrattle*", Cards!$K$2:$K1023, "Weapon")/C279</f>
        <v>3.8461538461538464E-2</v>
      </c>
      <c r="J279" s="997">
        <f>COUNTIFS(Cards!$P$2:$P1023, "*Divine Shield*", Cards!$K$2:$K1023, "Weapon")/C279</f>
        <v>0</v>
      </c>
      <c r="K279" s="998">
        <f>COUNTIFS(Cards!$P$2:$P1023, "*Battlecry*", Cards!$K$2:$K1023, "Weapon")/C279</f>
        <v>3.8461538461538464E-2</v>
      </c>
    </row>
    <row r="281" spans="2:11" ht="12.75">
      <c r="B281" s="1217" t="s">
        <v>2208</v>
      </c>
      <c r="C281" s="1102"/>
      <c r="D281" s="1102"/>
      <c r="E281" s="1102"/>
      <c r="F281" s="1102"/>
      <c r="G281" s="1102"/>
      <c r="H281" s="1102"/>
      <c r="I281" s="1102"/>
      <c r="J281" s="1102"/>
      <c r="K281" s="1030"/>
    </row>
    <row r="282" spans="2:11" ht="12.75">
      <c r="B282" s="977" t="s">
        <v>2187</v>
      </c>
      <c r="C282" s="977" t="s">
        <v>67</v>
      </c>
      <c r="D282" s="977" t="s">
        <v>2188</v>
      </c>
      <c r="E282" s="977" t="s">
        <v>125</v>
      </c>
      <c r="F282" s="977" t="s">
        <v>295</v>
      </c>
      <c r="G282" s="977" t="s">
        <v>1239</v>
      </c>
      <c r="H282" s="977" t="s">
        <v>2189</v>
      </c>
      <c r="I282" s="977" t="s">
        <v>2190</v>
      </c>
      <c r="J282" s="977" t="s">
        <v>1010</v>
      </c>
      <c r="K282" s="977" t="s">
        <v>2191</v>
      </c>
    </row>
    <row r="283" spans="2:11" ht="12.75">
      <c r="B283" s="978">
        <v>0</v>
      </c>
      <c r="C283" s="978">
        <f>COUNTIFS(Cards!$B$2:$B1023, B283, Cards!$K$2:$K1023, "Weapon",Cards!$Q$2:$Q1023, "Standard")</f>
        <v>0</v>
      </c>
      <c r="D283" s="979">
        <f>IFERROR((SUMIFS(Cards!$M$2:$M1023, Cards!$B$2:$B1023, B283, Cards!$K$2:$K1023, "Weapon",Cards!$Q$2:$Q1023, "Standard")/C283),0)</f>
        <v>0</v>
      </c>
      <c r="E283" s="980">
        <f>IFERROR((SUMIFS(Cards!$N$2:$N1023, Cards!$B$2:$B1023, B283, Cards!$K$2:$K1023, "Weapon",Cards!$Q$2:$Q1023, "Standard")/C283),0)</f>
        <v>0</v>
      </c>
      <c r="F283" s="981">
        <f>IFERROR((COUNTIFS(Cards!$P$2:$P1023, "*Charge*", Cards!$K$2:$K1023, "Weapon",Cards!$Q$2:$Q1023, "Standard", Cards!$B$2:B1023,B283 )/C283),0)</f>
        <v>0</v>
      </c>
      <c r="G283" s="982">
        <f>IFERROR((COUNTIFS(Cards!$P$2:$P1023, "*Taunt*", Cards!$K$2:$K1023, "Weapon",Cards!$Q$2:$Q1023, "Standard", Cards!$B$2:B1023,B283 )/C283),0)</f>
        <v>0</v>
      </c>
      <c r="H283" s="983">
        <f>IFERROR((COUNTIFS(Cards!$P$2:$P1023, "*Spell Damage*", Cards!$K$2:$K1023, "Weapon",Cards!$Q$2:$Q1023, "Standard", Cards!$B$2:B1023,B283 )/C283),0)</f>
        <v>0</v>
      </c>
      <c r="I283" s="984">
        <f>IFERROR((COUNTIFS(Cards!$P$2:$P1023, "*Deathrattle*", Cards!$K$2:$K1023, "Weapon",Cards!$Q$2:$Q1023, "Standard", Cards!$B$2:B1023,B283 )/C283),0)</f>
        <v>0</v>
      </c>
      <c r="J283" s="982">
        <f>IFERROR((COUNTIFS(Cards!$P$2:$P1023, "*Divine Shield*", Cards!$K$2:$K1023, "Weapon",Cards!$Q$2:$Q1023, "Standard", Cards!$B$2:B1023,B283 )/C283),0)</f>
        <v>0</v>
      </c>
      <c r="K283" s="983">
        <f>IFERROR((COUNTIFS(Cards!$P$2:$P1023, "*Battlecry*", Cards!$K$2:$K1023, "Weapon",Cards!$Q$2:$Q1023, "Standard", Cards!$B$2:B1023,B283 )/C283),0)</f>
        <v>0</v>
      </c>
    </row>
    <row r="284" spans="2:11" ht="12.75">
      <c r="B284" s="978">
        <v>1</v>
      </c>
      <c r="C284" s="978">
        <f>COUNTIFS(Cards!$B$2:$B1023, B284, Cards!$K$2:$K1023, "Weapon",Cards!$Q$2:$Q1023, "Standard")</f>
        <v>2</v>
      </c>
      <c r="D284" s="979">
        <f>IFERROR((SUMIFS(Cards!$M$2:$M1023, Cards!$B$2:$B1023, B284, Cards!$K$2:$K1023, "Weapon",Cards!$Q$2:$Q1023, "Standard")/C284),0)</f>
        <v>1.5</v>
      </c>
      <c r="E284" s="980">
        <f>IFERROR((SUMIFS(Cards!$N$2:$N1023, Cards!$B$2:$B1023, B284, Cards!$K$2:$K1023, "Weapon",Cards!$Q$2:$Q1023, "Standard")/C284),0)</f>
        <v>3.5</v>
      </c>
      <c r="F284" s="981">
        <f>IFERROR((COUNTIFS(Cards!$P$2:$P1023, "*Charge*", Cards!$K$2:$K1023, "Weapon",Cards!$Q$2:$Q1023, "Standard", Cards!$B$2:B1023,B284 )/C284),0)</f>
        <v>0</v>
      </c>
      <c r="G284" s="982">
        <f>IFERROR((COUNTIFS(Cards!$P$2:$P1023, "*Taunt*", Cards!$K$2:$K1023, "Weapon",Cards!$Q$2:$Q1023, "Standard", Cards!$B$2:B1023,B284 )/C284),0)</f>
        <v>0</v>
      </c>
      <c r="H284" s="983">
        <f>IFERROR((COUNTIFS(Cards!$P$2:$P1023, "*Spell Damage*", Cards!$K$2:$K1023, "Weapon",Cards!$Q$2:$Q1023, "Standard", Cards!$B$2:B1023,B284 )/C284),0)</f>
        <v>0</v>
      </c>
      <c r="I284" s="984">
        <f>IFERROR((COUNTIFS(Cards!$P$2:$P1023, "*Deathrattle*", Cards!$K$2:$K1023, "Weapon",Cards!$Q$2:$Q1023, "Standard", Cards!$B$2:B1023,B284 )/C284),0)</f>
        <v>0</v>
      </c>
      <c r="J284" s="982">
        <f>IFERROR((COUNTIFS(Cards!$P$2:$P1023, "*Divine Shield*", Cards!$K$2:$K1023, "Weapon",Cards!$Q$2:$Q1023, "Standard", Cards!$B$2:B1023,B284 )/C284),0)</f>
        <v>0</v>
      </c>
      <c r="K284" s="983">
        <f>IFERROR((COUNTIFS(Cards!$P$2:$P1023, "*Battlecry*", Cards!$K$2:$K1023, "Weapon",Cards!$Q$2:$Q1023, "Standard", Cards!$B$2:B1023,B284 )/C284),0)</f>
        <v>0</v>
      </c>
    </row>
    <row r="285" spans="2:11" ht="12.75">
      <c r="B285" s="978">
        <v>2</v>
      </c>
      <c r="C285" s="978">
        <f>COUNTIFS(Cards!$B$2:$B1023, B285, Cards!$K$2:$K1023, "Weapon",Cards!$Q$2:$Q1023, "Standard")</f>
        <v>3</v>
      </c>
      <c r="D285" s="979">
        <f>IFERROR((SUMIFS(Cards!$M$2:$M1023, Cards!$B$2:$B1023, B285, Cards!$K$2:$K1023, "Weapon",Cards!$Q$2:$Q1023, "Standard")/C285),0)</f>
        <v>2.3333333333333335</v>
      </c>
      <c r="E285" s="980">
        <f>IFERROR((SUMIFS(Cards!$N$2:$N1023, Cards!$B$2:$B1023, B285, Cards!$K$2:$K1023, "Weapon",Cards!$Q$2:$Q1023, "Standard")/C285),0)</f>
        <v>2.3333333333333335</v>
      </c>
      <c r="F285" s="981">
        <f>IFERROR((COUNTIFS(Cards!$P$2:$P1023, "*Charge*", Cards!$K$2:$K1023, "Weapon",Cards!$Q$2:$Q1023, "Standard", Cards!$B$2:B1023,B285 )/C285),0)</f>
        <v>0</v>
      </c>
      <c r="G285" s="982">
        <f>IFERROR((COUNTIFS(Cards!$P$2:$P1023, "*Taunt*", Cards!$K$2:$K1023, "Weapon",Cards!$Q$2:$Q1023, "Standard", Cards!$B$2:B1023,B285 )/C285),0)</f>
        <v>0</v>
      </c>
      <c r="H285" s="983">
        <f>IFERROR((COUNTIFS(Cards!$P$2:$P1023, "*Spell Damage*", Cards!$K$2:$K1023, "Weapon",Cards!$Q$2:$Q1023, "Standard", Cards!$B$2:B1023,B285 )/C285),0)</f>
        <v>0</v>
      </c>
      <c r="I285" s="984">
        <f>IFERROR((COUNTIFS(Cards!$P$2:$P1023, "*Deathrattle*", Cards!$K$2:$K1023, "Weapon",Cards!$Q$2:$Q1023, "Standard", Cards!$B$2:B1023,B285 )/C285),0)</f>
        <v>0</v>
      </c>
      <c r="J285" s="982">
        <f>IFERROR((COUNTIFS(Cards!$P$2:$P1023, "*Divine Shield*", Cards!$K$2:$K1023, "Weapon",Cards!$Q$2:$Q1023, "Standard", Cards!$B$2:B1023,B285 )/C285),0)</f>
        <v>0</v>
      </c>
      <c r="K285" s="983">
        <f>IFERROR((COUNTIFS(Cards!$P$2:$P1023, "*Battlecry*", Cards!$K$2:$K1023, "Weapon",Cards!$Q$2:$Q1023, "Standard", Cards!$B$2:B1023,B285 )/C285),0)</f>
        <v>0</v>
      </c>
    </row>
    <row r="286" spans="2:11" ht="12.75">
      <c r="B286" s="978">
        <v>3</v>
      </c>
      <c r="C286" s="978">
        <f>COUNTIFS(Cards!$B$2:$B1023, B286, Cards!$K$2:$K1023, "Weapon",Cards!$Q$2:$Q1023, "Standard")</f>
        <v>5</v>
      </c>
      <c r="D286" s="979">
        <f>IFERROR((SUMIFS(Cards!$M$2:$M1023, Cards!$B$2:$B1023, B286, Cards!$K$2:$K1023, "Weapon",Cards!$Q$2:$Q1023, "Standard")/C286),0)</f>
        <v>1.8</v>
      </c>
      <c r="E286" s="980">
        <f>IFERROR((SUMIFS(Cards!$N$2:$N1023, Cards!$B$2:$B1023, B286, Cards!$K$2:$K1023, "Weapon",Cards!$Q$2:$Q1023, "Standard")/C286),0)</f>
        <v>2.2000000000000002</v>
      </c>
      <c r="F286" s="981">
        <f>IFERROR((COUNTIFS(Cards!$P$2:$P1023, "*Charge*", Cards!$K$2:$K1023, "Weapon",Cards!$Q$2:$Q1023, "Standard", Cards!$B$2:B1023,B286 )/C286),0)</f>
        <v>0</v>
      </c>
      <c r="G286" s="982">
        <f>IFERROR((COUNTIFS(Cards!$P$2:$P1023, "*Taunt*", Cards!$K$2:$K1023, "Weapon",Cards!$Q$2:$Q1023, "Standard", Cards!$B$2:B1023,B286 )/C286),0)</f>
        <v>0</v>
      </c>
      <c r="H286" s="983">
        <f>IFERROR((COUNTIFS(Cards!$P$2:$P1023, "*Spell Damage*", Cards!$K$2:$K1023, "Weapon",Cards!$Q$2:$Q1023, "Standard", Cards!$B$2:B1023,B286 )/C286),0)</f>
        <v>0</v>
      </c>
      <c r="I286" s="984">
        <f>IFERROR((COUNTIFS(Cards!$P$2:$P1023, "*Deathrattle*", Cards!$K$2:$K1023, "Weapon",Cards!$Q$2:$Q1023, "Standard", Cards!$B$2:B1023,B286 )/C286),0)</f>
        <v>0</v>
      </c>
      <c r="J286" s="982">
        <f>IFERROR((COUNTIFS(Cards!$P$2:$P1023, "*Divine Shield*", Cards!$K$2:$K1023, "Weapon",Cards!$Q$2:$Q1023, "Standard", Cards!$B$2:B1023,B286 )/C286),0)</f>
        <v>0</v>
      </c>
      <c r="K286" s="983">
        <f>IFERROR((COUNTIFS(Cards!$P$2:$P1023, "*Battlecry*", Cards!$K$2:$K1023, "Weapon",Cards!$Q$2:$Q1023, "Standard", Cards!$B$2:B1023,B286 )/C286),0)</f>
        <v>0.2</v>
      </c>
    </row>
    <row r="287" spans="2:11" ht="12.75">
      <c r="B287" s="978">
        <v>4</v>
      </c>
      <c r="C287" s="978">
        <f>COUNTIFS(Cards!$B$2:$B1023, B287, Cards!$K$2:$K1023, "Weapon",Cards!$Q$2:$Q1023, "Standard")</f>
        <v>3</v>
      </c>
      <c r="D287" s="979">
        <f>IFERROR((SUMIFS(Cards!$M$2:$M1023, Cards!$B$2:$B1023, B287, Cards!$K$2:$K1023, "Weapon",Cards!$Q$2:$Q1023, "Standard")/C287),0)</f>
        <v>2.3333333333333335</v>
      </c>
      <c r="E287" s="980">
        <f>IFERROR((SUMIFS(Cards!$N$2:$N1023, Cards!$B$2:$B1023, B287, Cards!$K$2:$K1023, "Weapon",Cards!$Q$2:$Q1023, "Standard")/C287),0)</f>
        <v>3</v>
      </c>
      <c r="F287" s="981">
        <f>IFERROR((COUNTIFS(Cards!$P$2:$P1023, "*Charge*", Cards!$K$2:$K1023, "Weapon",Cards!$Q$2:$Q1023, "Standard", Cards!$B$2:B1023,B287 )/C287),0)</f>
        <v>0</v>
      </c>
      <c r="G287" s="982">
        <f>IFERROR((COUNTIFS(Cards!$P$2:$P1023, "*Taunt*", Cards!$K$2:$K1023, "Weapon",Cards!$Q$2:$Q1023, "Standard", Cards!$B$2:B1023,B287 )/C287),0)</f>
        <v>0</v>
      </c>
      <c r="H287" s="983">
        <f>IFERROR((COUNTIFS(Cards!$P$2:$P1023, "*Spell Damage*", Cards!$K$2:$K1023, "Weapon",Cards!$Q$2:$Q1023, "Standard", Cards!$B$2:B1023,B287 )/C287),0)</f>
        <v>0</v>
      </c>
      <c r="I287" s="984">
        <f>IFERROR((COUNTIFS(Cards!$P$2:$P1023, "*Deathrattle*", Cards!$K$2:$K1023, "Weapon",Cards!$Q$2:$Q1023, "Standard", Cards!$B$2:B1023,B287 )/C287),0)</f>
        <v>0</v>
      </c>
      <c r="J287" s="982">
        <f>IFERROR((COUNTIFS(Cards!$P$2:$P1023, "*Divine Shield*", Cards!$K$2:$K1023, "Weapon",Cards!$Q$2:$Q1023, "Standard", Cards!$B$2:B1023,B287 )/C287),0)</f>
        <v>0</v>
      </c>
      <c r="K287" s="983">
        <f>IFERROR((COUNTIFS(Cards!$P$2:$P1023, "*Battlecry*", Cards!$K$2:$K1023, "Weapon",Cards!$Q$2:$Q1023, "Standard", Cards!$B$2:B1023,B287 )/C287),0)</f>
        <v>0</v>
      </c>
    </row>
    <row r="288" spans="2:11" ht="12.75">
      <c r="B288" s="978">
        <v>5</v>
      </c>
      <c r="C288" s="978">
        <f>COUNTIFS(Cards!$B$2:$B1023, B288, Cards!$K$2:$K1023, "Weapon",Cards!$Q$2:$Q1023, "Standard")</f>
        <v>5</v>
      </c>
      <c r="D288" s="979">
        <f>IFERROR((SUMIFS(Cards!$M$2:$M1023, Cards!$B$2:$B1023, B288, Cards!$K$2:$K1023, "Weapon",Cards!$Q$2:$Q1023, "Standard")/C288),0)</f>
        <v>3.2</v>
      </c>
      <c r="E288" s="980">
        <f>IFERROR((SUMIFS(Cards!$N$2:$N1023, Cards!$B$2:$B1023, B288, Cards!$K$2:$K1023, "Weapon",Cards!$Q$2:$Q1023, "Standard")/C288),0)</f>
        <v>3.6</v>
      </c>
      <c r="F288" s="981">
        <f>IFERROR((COUNTIFS(Cards!$P$2:$P1023, "*Charge*", Cards!$K$2:$K1023, "Weapon",Cards!$Q$2:$Q1023, "Standard", Cards!$B$2:B1023,B288 )/C288),0)</f>
        <v>0</v>
      </c>
      <c r="G288" s="982">
        <f>IFERROR((COUNTIFS(Cards!$P$2:$P1023, "*Taunt*", Cards!$K$2:$K1023, "Weapon",Cards!$Q$2:$Q1023, "Standard", Cards!$B$2:B1023,B288 )/C288),0)</f>
        <v>0</v>
      </c>
      <c r="H288" s="983">
        <f>IFERROR((COUNTIFS(Cards!$P$2:$P1023, "*Spell Damage*", Cards!$K$2:$K1023, "Weapon",Cards!$Q$2:$Q1023, "Standard", Cards!$B$2:B1023,B288 )/C288),0)</f>
        <v>0</v>
      </c>
      <c r="I288" s="984">
        <f>IFERROR((COUNTIFS(Cards!$P$2:$P1023, "*Deathrattle*", Cards!$K$2:$K1023, "Weapon",Cards!$Q$2:$Q1023, "Standard", Cards!$B$2:B1023,B288 )/C288),0)</f>
        <v>0.2</v>
      </c>
      <c r="J288" s="982">
        <f>IFERROR((COUNTIFS(Cards!$P$2:$P1023, "*Divine Shield*", Cards!$K$2:$K1023, "Weapon",Cards!$Q$2:$Q1023, "Standard", Cards!$B$2:B1023,B288 )/C288),0)</f>
        <v>0</v>
      </c>
      <c r="K288" s="983">
        <f>IFERROR((COUNTIFS(Cards!$P$2:$P1023, "*Battlecry*", Cards!$K$2:$K1023, "Weapon",Cards!$Q$2:$Q1023, "Standard", Cards!$B$2:B1023,B288 )/C288),0)</f>
        <v>0</v>
      </c>
    </row>
    <row r="289" spans="1:18" ht="12.75">
      <c r="B289" s="978">
        <v>6</v>
      </c>
      <c r="C289" s="978">
        <f>COUNTIFS(Cards!$B$2:$B1023, B289, Cards!$K$2:$K1023, "Weapon",Cards!$Q$2:$Q1023, "Standard")</f>
        <v>0</v>
      </c>
      <c r="D289" s="979">
        <f>IFERROR((SUMIFS(Cards!$M$2:$M1023, Cards!$B$2:$B1023, B289, Cards!$K$2:$K1023, "Weapon",Cards!$Q$2:$Q1023, "Standard")/C289),0)</f>
        <v>0</v>
      </c>
      <c r="E289" s="980">
        <f>IFERROR((SUMIFS(Cards!$N$2:$N1023, Cards!$B$2:$B1023, B289, Cards!$K$2:$K1023, "Weapon",Cards!$Q$2:$Q1023, "Standard")/C289),0)</f>
        <v>0</v>
      </c>
      <c r="F289" s="981">
        <f>IFERROR((COUNTIFS(Cards!$P$2:$P1023, "*Charge*", Cards!$K$2:$K1023, "Weapon",Cards!$Q$2:$Q1023, "Standard", Cards!$B$2:B1023,B289 )/C289),0)</f>
        <v>0</v>
      </c>
      <c r="G289" s="982">
        <f>IFERROR((COUNTIFS(Cards!$P$2:$P1023, "*Taunt*", Cards!$K$2:$K1023, "Weapon",Cards!$Q$2:$Q1023, "Standard", Cards!$B$2:B1023,B289 )/C289),0)</f>
        <v>0</v>
      </c>
      <c r="H289" s="983">
        <f>IFERROR((COUNTIFS(Cards!$P$2:$P1023, "*Spell Damage*", Cards!$K$2:$K1023, "Weapon",Cards!$Q$2:$Q1023, "Standard", Cards!$B$2:B1023,B289 )/C289),0)</f>
        <v>0</v>
      </c>
      <c r="I289" s="984">
        <f>IFERROR((COUNTIFS(Cards!$P$2:$P1023, "*Deathrattle*", Cards!$K$2:$K1023, "Weapon",Cards!$Q$2:$Q1023, "Standard", Cards!$B$2:B1023,B289 )/C289),0)</f>
        <v>0</v>
      </c>
      <c r="J289" s="982">
        <f>IFERROR((COUNTIFS(Cards!$P$2:$P1023, "*Divine Shield*", Cards!$K$2:$K1023, "Weapon",Cards!$Q$2:$Q1023, "Standard", Cards!$B$2:B1023,B289 )/C289),0)</f>
        <v>0</v>
      </c>
      <c r="K289" s="983">
        <f>IFERROR((COUNTIFS(Cards!$P$2:$P1023, "*Battlecry*", Cards!$K$2:$K1023, "Weapon",Cards!$Q$2:$Q1023, "Standard", Cards!$B$2:B1023,B289 )/C289),0)</f>
        <v>0</v>
      </c>
    </row>
    <row r="290" spans="1:18" ht="12.75">
      <c r="B290" s="978">
        <v>7</v>
      </c>
      <c r="C290" s="978">
        <f>COUNTIFS(Cards!$B$2:$B1023, B290, Cards!$K$2:$K1023, "Weapon",Cards!$Q$2:$Q1023, "Standard")</f>
        <v>2</v>
      </c>
      <c r="D290" s="979">
        <f>IFERROR((SUMIFS(Cards!$M$2:$M1023, Cards!$B$2:$B1023, B290, Cards!$K$2:$K1023, "Weapon",Cards!$Q$2:$Q1023, "Standard")/C290),0)</f>
        <v>6</v>
      </c>
      <c r="E290" s="980">
        <f>IFERROR((SUMIFS(Cards!$N$2:$N1023, Cards!$B$2:$B1023, B290, Cards!$K$2:$K1023, "Weapon",Cards!$Q$2:$Q1023, "Standard")/C290),0)</f>
        <v>1.5</v>
      </c>
      <c r="F290" s="981">
        <f>IFERROR((COUNTIFS(Cards!$P$2:$P1023, "*Charge*", Cards!$K$2:$K1023, "Weapon",Cards!$Q$2:$Q1023, "Standard", Cards!$B$2:B1023,B290 )/C290),0)</f>
        <v>0</v>
      </c>
      <c r="G290" s="982">
        <f>IFERROR((COUNTIFS(Cards!$P$2:$P1023, "*Taunt*", Cards!$K$2:$K1023, "Weapon",Cards!$Q$2:$Q1023, "Standard", Cards!$B$2:B1023,B290 )/C290),0)</f>
        <v>0</v>
      </c>
      <c r="H290" s="983">
        <f>IFERROR((COUNTIFS(Cards!$P$2:$P1023, "*Spell Damage*", Cards!$K$2:$K1023, "Weapon",Cards!$Q$2:$Q1023, "Standard", Cards!$B$2:B1023,B290 )/C290),0)</f>
        <v>0</v>
      </c>
      <c r="I290" s="984">
        <f>IFERROR((COUNTIFS(Cards!$P$2:$P1023, "*Deathrattle*", Cards!$K$2:$K1023, "Weapon",Cards!$Q$2:$Q1023, "Standard", Cards!$B$2:B1023,B290 )/C290),0)</f>
        <v>0</v>
      </c>
      <c r="J290" s="982">
        <f>IFERROR((COUNTIFS(Cards!$P$2:$P1023, "*Divine Shield*", Cards!$K$2:$K1023, "Weapon",Cards!$Q$2:$Q1023, "Standard", Cards!$B$2:B1023,B290 )/C290),0)</f>
        <v>0</v>
      </c>
      <c r="K290" s="983">
        <f>IFERROR((COUNTIFS(Cards!$P$2:$P1023, "*Battlecry*", Cards!$K$2:$K1023, "Weapon",Cards!$Q$2:$Q1023, "Standard", Cards!$B$2:B1023,B290 )/C290),0)</f>
        <v>0</v>
      </c>
    </row>
    <row r="291" spans="1:18" ht="12.75">
      <c r="B291" s="978">
        <v>8</v>
      </c>
      <c r="C291" s="978">
        <f>COUNTIFS(Cards!$B$2:$B1023, B291, Cards!$K$2:$K1023, "Weapon",Cards!$Q$2:$Q1023, "Standard")</f>
        <v>0</v>
      </c>
      <c r="D291" s="979">
        <f>IFERROR((SUMIFS(Cards!$M$2:$M1023, Cards!$B$2:$B1023, B291, Cards!$K$2:$K1023, "Weapon",Cards!$Q$2:$Q1023, "Standard")/C291),0)</f>
        <v>0</v>
      </c>
      <c r="E291" s="980">
        <f>IFERROR((SUMIFS(Cards!$N$2:$N1023, Cards!$B$2:$B1023, B291, Cards!$K$2:$K1023, "Weapon",Cards!$Q$2:$Q1023, "Standard")/C291),0)</f>
        <v>0</v>
      </c>
      <c r="F291" s="981">
        <f>IFERROR((COUNTIFS(Cards!$P$2:$P1023, "*Charge*", Cards!$K$2:$K1023, "Weapon",Cards!$Q$2:$Q1023, "Standard", Cards!$B$2:B1023,B291 )/C291),0)</f>
        <v>0</v>
      </c>
      <c r="G291" s="982">
        <f>IFERROR((COUNTIFS(Cards!$P$2:$P1023, "*Taunt*", Cards!$K$2:$K1023, "Weapon",Cards!$Q$2:$Q1023, "Standard", Cards!$B$2:B1023,B291 )/C291),0)</f>
        <v>0</v>
      </c>
      <c r="H291" s="983">
        <f>IFERROR((COUNTIFS(Cards!$P$2:$P1023, "*Spell Damage*", Cards!$K$2:$K1023, "Weapon",Cards!$Q$2:$Q1023, "Standard", Cards!$B$2:B1023,B291 )/C291),0)</f>
        <v>0</v>
      </c>
      <c r="I291" s="984">
        <f>IFERROR((COUNTIFS(Cards!$P$2:$P1023, "*Deathrattle*", Cards!$K$2:$K1023, "Weapon",Cards!$Q$2:$Q1023, "Standard", Cards!$B$2:B1023,B291 )/C291),0)</f>
        <v>0</v>
      </c>
      <c r="J291" s="982">
        <f>IFERROR((COUNTIFS(Cards!$P$2:$P1023, "*Divine Shield*", Cards!$K$2:$K1023, "Weapon",Cards!$Q$2:$Q1023, "Standard", Cards!$B$2:B1023,B291 )/C291),0)</f>
        <v>0</v>
      </c>
      <c r="K291" s="983">
        <f>IFERROR((COUNTIFS(Cards!$P$2:$P1023, "*Battlecry*", Cards!$K$2:$K1023, "Weapon",Cards!$Q$2:$Q1023, "Standard", Cards!$B$2:B1023,B291 )/C291),0)</f>
        <v>0</v>
      </c>
    </row>
    <row r="292" spans="1:18" ht="12.75">
      <c r="B292" s="978">
        <v>9</v>
      </c>
      <c r="C292" s="978">
        <f>COUNTIFS(Cards!$B$2:$B1023, B292, Cards!$K$2:$K1023, "Weapon",Cards!$Q$2:$Q1023, "Standard")</f>
        <v>0</v>
      </c>
      <c r="D292" s="979">
        <f>IFERROR((SUMIFS(Cards!$M$2:$M1023, Cards!$B$2:$B1023, B292, Cards!$K$2:$K1023, "Weapon",Cards!$Q$2:$Q1023, "Standard")/C292),0)</f>
        <v>0</v>
      </c>
      <c r="E292" s="980">
        <f>IFERROR((SUMIFS(Cards!$N$2:$N1023, Cards!$B$2:$B1023, B292, Cards!$K$2:$K1023, "Weapon",Cards!$Q$2:$Q1023, "Standard")/C292),0)</f>
        <v>0</v>
      </c>
      <c r="F292" s="981">
        <f>IFERROR((COUNTIFS(Cards!$P$2:$P1023, "*Charge*", Cards!$K$2:$K1023, "Weapon",Cards!$Q$2:$Q1023, "Standard", Cards!$B$2:B1023,B292 )/C292),0)</f>
        <v>0</v>
      </c>
      <c r="G292" s="982">
        <f>IFERROR((COUNTIFS(Cards!$P$2:$P1023, "*Taunt*", Cards!$K$2:$K1023, "Weapon",Cards!$Q$2:$Q1023, "Standard", Cards!$B$2:B1023,B292 )/C292),0)</f>
        <v>0</v>
      </c>
      <c r="H292" s="983">
        <f>IFERROR((COUNTIFS(Cards!$P$2:$P1023, "*Spell Damage*", Cards!$K$2:$K1023, "Weapon",Cards!$Q$2:$Q1023, "Standard", Cards!$B$2:B1023,B292 )/C292),0)</f>
        <v>0</v>
      </c>
      <c r="I292" s="984">
        <f>IFERROR((COUNTIFS(Cards!$P$2:$P1023, "*Deathrattle*", Cards!$K$2:$K1023, "Weapon",Cards!$Q$2:$Q1023, "Standard", Cards!$B$2:B1023,B292 )/C292),0)</f>
        <v>0</v>
      </c>
      <c r="J292" s="982">
        <f>IFERROR((COUNTIFS(Cards!$P$2:$P1023, "*Divine Shield*", Cards!$K$2:$K1023, "Weapon",Cards!$Q$2:$Q1023, "Standard", Cards!$B$2:B1023,B292 )/C292),0)</f>
        <v>0</v>
      </c>
      <c r="K292" s="983">
        <f>IFERROR((COUNTIFS(Cards!$P$2:$P1023, "*Battlecry*", Cards!$K$2:$K1023, "Weapon",Cards!$Q$2:$Q1023, "Standard", Cards!$B$2:B1023,B292 )/C292),0)</f>
        <v>0</v>
      </c>
    </row>
    <row r="293" spans="1:18" ht="12.75">
      <c r="B293" s="985">
        <v>10</v>
      </c>
      <c r="C293" s="985">
        <f>COUNTIFS(Cards!$B$2:$B1023, B293, Cards!$K$2:$K1023, "Weapon",Cards!$Q$2:$Q1023, "Standard")</f>
        <v>0</v>
      </c>
      <c r="D293" s="986">
        <f>IFERROR((SUMIFS(Cards!$M$2:$M1023, Cards!$B$2:$B1023, B293, Cards!$K$2:$K1023, "Weapon",Cards!$Q$2:$Q1023, "Standard")/C293),0)</f>
        <v>0</v>
      </c>
      <c r="E293" s="987">
        <f>IFERROR((SUMIFS(Cards!$N$2:$N1023, Cards!$B$2:$B1023, B293, Cards!$K$2:$K1023, "Weapon",Cards!$Q$2:$Q1023, "Standard")/C293),0)</f>
        <v>0</v>
      </c>
      <c r="F293" s="988">
        <f>IFERROR((COUNTIFS(Cards!$P$2:$P1023, "*Charge*", Cards!$K$2:$K1023, "Weapon",Cards!$Q$2:$Q1023, "Standard", Cards!$B$2:B1023,B293 )/C293),0)</f>
        <v>0</v>
      </c>
      <c r="G293" s="989">
        <f>IFERROR((COUNTIFS(Cards!$P$2:$P1023, "*Taunt*", Cards!$K$2:$K1023, "Weapon",Cards!$Q$2:$Q1023, "Standard", Cards!$B$2:B1023,B293 )/C293),0)</f>
        <v>0</v>
      </c>
      <c r="H293" s="990">
        <f>IFERROR((COUNTIFS(Cards!$P$2:$P1023, "*Spell Damage*", Cards!$K$2:$K1023, "Weapon",Cards!$Q$2:$Q1023, "Standard", Cards!$B$2:B1023,B293 )/C293),0)</f>
        <v>0</v>
      </c>
      <c r="I293" s="991">
        <f>IFERROR((COUNTIFS(Cards!$P$2:$P1023, "*Deathrattle*", Cards!$K$2:$K1023, "Weapon",Cards!$Q$2:$Q1023, "Standard", Cards!$B$2:B1023,B293 )/C293),0)</f>
        <v>0</v>
      </c>
      <c r="J293" s="989">
        <f>IFERROR((COUNTIFS(Cards!$P$2:$P1023, "*Divine Shield*", Cards!$K$2:$K1023, "Weapon",Cards!$Q$2:$Q1023, "Standard", Cards!$B$2:B1023,B293 )/C293),0)</f>
        <v>0</v>
      </c>
      <c r="K293" s="990">
        <f>IFERROR((COUNTIFS(Cards!$P$2:$P1023, "*Battlecry*", Cards!$K$2:$K1023, "Weapon",Cards!$Q$2:$Q1023, "Standard", Cards!$B$2:B1023,B293 )/C293),0)</f>
        <v>0</v>
      </c>
    </row>
    <row r="294" spans="1:18" ht="12.75">
      <c r="B294" s="993" t="s">
        <v>2201</v>
      </c>
      <c r="C294" s="994">
        <f>SUM(C283:C293)</f>
        <v>20</v>
      </c>
      <c r="D294" s="995">
        <f>SUMIFS(Cards!$M$2:$M1023, Cards!$K$2:$K1023, "Weapon",Cards!$Q$2:$Q1023, "Standard")/C294</f>
        <v>2.7</v>
      </c>
      <c r="E294" s="996">
        <f>SUMIFS(Cards!$N$2:$N1023, Cards!$K$2:$K1023, "Weapon",Cards!$Q$2:$Q1023, "Standard")/C294</f>
        <v>2.75</v>
      </c>
      <c r="F294" s="997">
        <f>COUNTIFS(Cards!$P$2:$P1023, "*Charge*", Cards!$K$2:$K1023, "Weapon",Cards!$Q$2:$Q1023, "Standard")/C294</f>
        <v>0</v>
      </c>
      <c r="G294" s="997">
        <f>COUNTIFS(Cards!$P$2:$P1023, "*Taunt*", Cards!$K$2:$K1023, "Weapon",Cards!$Q$2:$Q1023, "Standard")/C294</f>
        <v>0</v>
      </c>
      <c r="H294" s="997">
        <f>COUNTIFS(Cards!$P$2:$P1023, "*Spell Damage*", Cards!$K$2:$K1023, "Weapon",Cards!$Q$2:$Q1023, "Standard")/C294</f>
        <v>0</v>
      </c>
      <c r="I294" s="997">
        <f>COUNTIFS(Cards!$P$2:$P1023, "*Deathrattle*", Cards!$K$2:$K1023, "Weapon",Cards!$Q$2:$Q1023, "Standard")/C294</f>
        <v>0.05</v>
      </c>
      <c r="J294" s="997">
        <f>COUNTIFS(Cards!$P$2:$P1023, "*Divine Shield*", Cards!$K$2:$K1023, "Weapon",Cards!$Q$2:$Q1023, "Standard")/C294</f>
        <v>0</v>
      </c>
      <c r="K294" s="998">
        <f>COUNTIFS(Cards!$P$2:$P1023, "*Battlecry*", Cards!$K$2:$K1023, "Weapon",Cards!$Q$2:$Q1023, "Standard")/C294</f>
        <v>0.05</v>
      </c>
    </row>
    <row r="296" spans="1:18" ht="12.75">
      <c r="A296" s="992"/>
      <c r="B296" s="1205" t="s">
        <v>2209</v>
      </c>
      <c r="C296" s="1007"/>
      <c r="D296" s="1007"/>
      <c r="E296" s="1007"/>
      <c r="F296" s="1007"/>
      <c r="G296" s="1007"/>
      <c r="H296" s="1007"/>
      <c r="I296" s="1007"/>
      <c r="J296" s="1007"/>
      <c r="K296" s="1007"/>
      <c r="L296" s="992"/>
      <c r="M296" s="992"/>
      <c r="N296" s="992"/>
      <c r="O296" s="992"/>
      <c r="P296" s="992"/>
      <c r="Q296" s="992"/>
      <c r="R296" s="992"/>
    </row>
    <row r="297" spans="1:18" ht="12.75">
      <c r="B297" s="802"/>
    </row>
    <row r="298" spans="1:18" ht="12.75">
      <c r="B298" s="1217" t="s">
        <v>2210</v>
      </c>
      <c r="C298" s="1102"/>
      <c r="D298" s="1102"/>
      <c r="E298" s="1102"/>
      <c r="F298" s="1102"/>
      <c r="G298" s="1102"/>
      <c r="H298" s="1102"/>
      <c r="I298" s="1102"/>
      <c r="J298" s="1102"/>
      <c r="K298" s="1030"/>
    </row>
    <row r="299" spans="1:18" ht="12.75">
      <c r="B299" s="977" t="s">
        <v>2187</v>
      </c>
      <c r="C299" s="977" t="s">
        <v>67</v>
      </c>
      <c r="D299" s="977" t="s">
        <v>2188</v>
      </c>
      <c r="E299" s="977" t="s">
        <v>125</v>
      </c>
      <c r="F299" s="977" t="s">
        <v>295</v>
      </c>
      <c r="G299" s="977" t="s">
        <v>1239</v>
      </c>
      <c r="H299" s="977" t="s">
        <v>2189</v>
      </c>
      <c r="I299" s="977" t="s">
        <v>2190</v>
      </c>
      <c r="J299" s="977" t="s">
        <v>1010</v>
      </c>
      <c r="K299" s="977" t="s">
        <v>2191</v>
      </c>
    </row>
    <row r="300" spans="1:18" ht="12.75">
      <c r="B300" s="978">
        <v>0</v>
      </c>
      <c r="C300" s="978">
        <f>COUNTIFS(Cards!$B$2:$B1023, B300, Cards!$D$2:$D1023, "Legendary")</f>
        <v>0</v>
      </c>
      <c r="D300" s="979">
        <f>IFERROR((SUMIFS(Cards!$M$2:$M1023, Cards!$B$2:$B1023, B300, Cards!$D$2:$D1023, "Legendary")/C300),0)</f>
        <v>0</v>
      </c>
      <c r="E300" s="980">
        <f>IFERROR((SUMIFS(Cards!$N$2:$N1023, Cards!$B$2:$B1023, B300, Cards!$D$2:$D1023, "Legendary")/C300),0)</f>
        <v>0</v>
      </c>
      <c r="F300" s="981">
        <f>IFERROR((COUNTIFS(Cards!$P$2:$P1023, "*Charge*", Cards!$D$2:$D1023, "Legendary", Cards!$B$2:B1023,B300 )/C300),0)</f>
        <v>0</v>
      </c>
      <c r="G300" s="982">
        <f>IFERROR((COUNTIFS(Cards!$P$2:$P1023, "*Taunt*", Cards!$D$2:$D1023, "Legendary", Cards!$B$2:B1023,B300 )/C300),0)</f>
        <v>0</v>
      </c>
      <c r="H300" s="983">
        <f>IFERROR((COUNTIFS(Cards!$P$2:$P1023, "*Spell Damage*", Cards!$D$2:$D1023, "Legendary", Cards!$B$2:B1023,B300 )/C300),0)</f>
        <v>0</v>
      </c>
      <c r="I300" s="984">
        <f>IFERROR((COUNTIFS(Cards!$P$2:$P1023, "*Deathrattle*", Cards!$D$2:$D1023, "Legendary", Cards!$B$2:B1023,B300 )/C300),0)</f>
        <v>0</v>
      </c>
      <c r="J300" s="982">
        <f>IFERROR((COUNTIFS(Cards!$P$2:$P1023, "*Divine Shield*", Cards!$D$2:$D1023, "Legendary", Cards!$B$2:B1023,B300 )/C300),0)</f>
        <v>0</v>
      </c>
      <c r="K300" s="983">
        <f>IFERROR((COUNTIFS(Cards!$P$2:$P1023, "*Battlecry*", Cards!$D$2:$D1023, "Legendary", Cards!$B$2:B1023,B300 )/C300),0)</f>
        <v>0</v>
      </c>
    </row>
    <row r="301" spans="1:18" ht="12.75">
      <c r="B301" s="978">
        <v>1</v>
      </c>
      <c r="C301" s="978">
        <f>COUNTIFS(Cards!$B$2:$B1023, B301, Cards!$D$2:$D1023, "Legendary")</f>
        <v>2</v>
      </c>
      <c r="D301" s="979">
        <f>IFERROR((SUMIFS(Cards!$M$2:$M1023, Cards!$B$2:$B1023, B301, Cards!$D$2:$D1023, "Legendary")/C301),0)</f>
        <v>1</v>
      </c>
      <c r="E301" s="980">
        <f>IFERROR((SUMIFS(Cards!$N$2:$N1023, Cards!$B$2:$B1023, B301, Cards!$D$2:$D1023, "Legendary")/C301),0)</f>
        <v>2</v>
      </c>
      <c r="F301" s="981">
        <f>IFERROR((COUNTIFS(Cards!$P$2:$P1023, "*Charge*", Cards!$D$2:$D1023, "Legendary", Cards!$B$2:B1023,B301 )/C301),0)</f>
        <v>0</v>
      </c>
      <c r="G301" s="982">
        <f>IFERROR((COUNTIFS(Cards!$P$2:$P1023, "*Taunt*", Cards!$D$2:$D1023, "Legendary", Cards!$B$2:B1023,B301 )/C301),0)</f>
        <v>0</v>
      </c>
      <c r="H301" s="983">
        <f>IFERROR((COUNTIFS(Cards!$P$2:$P1023, "*Spell Damage*", Cards!$D$2:$D1023, "Legendary", Cards!$B$2:B1023,B301 )/C301),0)</f>
        <v>0</v>
      </c>
      <c r="I301" s="984">
        <f>IFERROR((COUNTIFS(Cards!$P$2:$P1023, "*Deathrattle*", Cards!$D$2:$D1023, "Legendary", Cards!$B$2:B1023,B301 )/C301),0)</f>
        <v>0</v>
      </c>
      <c r="J301" s="982">
        <f>IFERROR((COUNTIFS(Cards!$P$2:$P1023, "*Divine Shield*", Cards!$D$2:$D1023, "Legendary", Cards!$B$2:B1023,B301 )/C301),0)</f>
        <v>0</v>
      </c>
      <c r="K301" s="983">
        <f>IFERROR((COUNTIFS(Cards!$P$2:$P1023, "*Battlecry*", Cards!$D$2:$D1023, "Legendary", Cards!$B$2:B1023,B301 )/C301),0)</f>
        <v>0.5</v>
      </c>
    </row>
    <row r="302" spans="1:18" ht="12.75">
      <c r="B302" s="978">
        <v>2</v>
      </c>
      <c r="C302" s="978">
        <f>COUNTIFS(Cards!$B$2:$B1023, B302, Cards!$D$2:$D1023, "Legendary")</f>
        <v>5</v>
      </c>
      <c r="D302" s="979">
        <f>IFERROR((SUMIFS(Cards!$M$2:$M1023, Cards!$B$2:$B1023, B302, Cards!$D$2:$D1023, "Legendary")/C302),0)</f>
        <v>1.4</v>
      </c>
      <c r="E302" s="980">
        <f>IFERROR((SUMIFS(Cards!$N$2:$N1023, Cards!$B$2:$B1023, B302, Cards!$D$2:$D1023, "Legendary")/C302),0)</f>
        <v>3.4</v>
      </c>
      <c r="F302" s="981">
        <f>IFERROR((COUNTIFS(Cards!$P$2:$P1023, "*Charge*", Cards!$D$2:$D1023, "Legendary", Cards!$B$2:B1023,B302 )/C302),0)</f>
        <v>0</v>
      </c>
      <c r="G302" s="982">
        <f>IFERROR((COUNTIFS(Cards!$P$2:$P1023, "*Taunt*", Cards!$D$2:$D1023, "Legendary", Cards!$B$2:B1023,B302 )/C302),0)</f>
        <v>0</v>
      </c>
      <c r="H302" s="983">
        <f>IFERROR((COUNTIFS(Cards!$P$2:$P1023, "*Spell Damage*", Cards!$D$2:$D1023, "Legendary", Cards!$B$2:B1023,B302 )/C302),0)</f>
        <v>0.2</v>
      </c>
      <c r="I302" s="984">
        <f>IFERROR((COUNTIFS(Cards!$P$2:$P1023, "*Deathrattle*", Cards!$D$2:$D1023, "Legendary", Cards!$B$2:B1023,B302 )/C302),0)</f>
        <v>0.2</v>
      </c>
      <c r="J302" s="982">
        <f>IFERROR((COUNTIFS(Cards!$P$2:$P1023, "*Divine Shield*", Cards!$D$2:$D1023, "Legendary", Cards!$B$2:B1023,B302 )/C302),0)</f>
        <v>0</v>
      </c>
      <c r="K302" s="983">
        <f>IFERROR((COUNTIFS(Cards!$P$2:$P1023, "*Battlecry*", Cards!$D$2:$D1023, "Legendary", Cards!$B$2:B1023,B302 )/C302),0)</f>
        <v>0.2</v>
      </c>
    </row>
    <row r="303" spans="1:18" ht="12.75">
      <c r="B303" s="978">
        <v>3</v>
      </c>
      <c r="C303" s="978">
        <f>COUNTIFS(Cards!$B$2:$B1023, B303, Cards!$D$2:$D1023, "Legendary")</f>
        <v>7</v>
      </c>
      <c r="D303" s="979">
        <f>IFERROR((SUMIFS(Cards!$M$2:$M1023, Cards!$B$2:$B1023, B303, Cards!$D$2:$D1023, "Legendary")/C303),0)</f>
        <v>3.1428571428571428</v>
      </c>
      <c r="E303" s="980">
        <f>IFERROR((SUMIFS(Cards!$N$2:$N1023, Cards!$B$2:$B1023, B303, Cards!$D$2:$D1023, "Legendary")/C303),0)</f>
        <v>3.4285714285714284</v>
      </c>
      <c r="F303" s="981">
        <f>IFERROR((COUNTIFS(Cards!$P$2:$P1023, "*Charge*", Cards!$D$2:$D1023, "Legendary", Cards!$B$2:B1023,B303 )/C303),0)</f>
        <v>0</v>
      </c>
      <c r="G303" s="982">
        <f>IFERROR((COUNTIFS(Cards!$P$2:$P1023, "*Taunt*", Cards!$D$2:$D1023, "Legendary", Cards!$B$2:B1023,B303 )/C303),0)</f>
        <v>0</v>
      </c>
      <c r="H303" s="983">
        <f>IFERROR((COUNTIFS(Cards!$P$2:$P1023, "*Spell Damage*", Cards!$D$2:$D1023, "Legendary", Cards!$B$2:B1023,B303 )/C303),0)</f>
        <v>0</v>
      </c>
      <c r="I303" s="984">
        <f>IFERROR((COUNTIFS(Cards!$P$2:$P1023, "*Deathrattle*", Cards!$D$2:$D1023, "Legendary", Cards!$B$2:B1023,B303 )/C303),0)</f>
        <v>0</v>
      </c>
      <c r="J303" s="982">
        <f>IFERROR((COUNTIFS(Cards!$P$2:$P1023, "*Divine Shield*", Cards!$D$2:$D1023, "Legendary", Cards!$B$2:B1023,B303 )/C303),0)</f>
        <v>0</v>
      </c>
      <c r="K303" s="983">
        <f>IFERROR((COUNTIFS(Cards!$P$2:$P1023, "*Battlecry*", Cards!$D$2:$D1023, "Legendary", Cards!$B$2:B1023,B303 )/C303),0)</f>
        <v>0.2857142857142857</v>
      </c>
    </row>
    <row r="304" spans="1:18" ht="12.75">
      <c r="B304" s="978">
        <v>4</v>
      </c>
      <c r="C304" s="978">
        <f>COUNTIFS(Cards!$B$2:$B1023, B304, Cards!$D$2:$D1023, "Legendary")</f>
        <v>6</v>
      </c>
      <c r="D304" s="979">
        <f>IFERROR((SUMIFS(Cards!$M$2:$M1023, Cards!$B$2:$B1023, B304, Cards!$D$2:$D1023, "Legendary")/C304),0)</f>
        <v>2.6666666666666665</v>
      </c>
      <c r="E304" s="980">
        <f>IFERROR((SUMIFS(Cards!$N$2:$N1023, Cards!$B$2:$B1023, B304, Cards!$D$2:$D1023, "Legendary")/C304),0)</f>
        <v>4.833333333333333</v>
      </c>
      <c r="F304" s="981">
        <f>IFERROR((COUNTIFS(Cards!$P$2:$P1023, "*Charge*", Cards!$D$2:$D1023, "Legendary", Cards!$B$2:B1023,B304 )/C304),0)</f>
        <v>0.16666666666666666</v>
      </c>
      <c r="G304" s="982">
        <f>IFERROR((COUNTIFS(Cards!$P$2:$P1023, "*Taunt*", Cards!$D$2:$D1023, "Legendary", Cards!$B$2:B1023,B304 )/C304),0)</f>
        <v>0</v>
      </c>
      <c r="H304" s="983">
        <f>IFERROR((COUNTIFS(Cards!$P$2:$P1023, "*Spell Damage*", Cards!$D$2:$D1023, "Legendary", Cards!$B$2:B1023,B304 )/C304),0)</f>
        <v>0</v>
      </c>
      <c r="I304" s="984">
        <f>IFERROR((COUNTIFS(Cards!$P$2:$P1023, "*Deathrattle*", Cards!$D$2:$D1023, "Legendary", Cards!$B$2:B1023,B304 )/C304),0)</f>
        <v>0.16666666666666666</v>
      </c>
      <c r="J304" s="982">
        <f>IFERROR((COUNTIFS(Cards!$P$2:$P1023, "*Divine Shield*", Cards!$D$2:$D1023, "Legendary", Cards!$B$2:B1023,B304 )/C304),0)</f>
        <v>0</v>
      </c>
      <c r="K304" s="983">
        <f>IFERROR((COUNTIFS(Cards!$P$2:$P1023, "*Battlecry*", Cards!$D$2:$D1023, "Legendary", Cards!$B$2:B1023,B304 )/C304),0)</f>
        <v>0.5</v>
      </c>
    </row>
    <row r="305" spans="2:11" ht="12.75">
      <c r="B305" s="978">
        <v>5</v>
      </c>
      <c r="C305" s="978">
        <f>COUNTIFS(Cards!$B$2:$B1023, B305, Cards!$D$2:$D1023, "Legendary")</f>
        <v>15</v>
      </c>
      <c r="D305" s="979">
        <f>IFERROR((SUMIFS(Cards!$M$2:$M1023, Cards!$B$2:$B1023, B305, Cards!$D$2:$D1023, "Legendary")/C305),0)</f>
        <v>4.7333333333333334</v>
      </c>
      <c r="E305" s="980">
        <f>IFERROR((SUMIFS(Cards!$N$2:$N1023, Cards!$B$2:$B1023, B305, Cards!$D$2:$D1023, "Legendary")/C305),0)</f>
        <v>4.5333333333333332</v>
      </c>
      <c r="F305" s="981">
        <f>IFERROR((COUNTIFS(Cards!$P$2:$P1023, "*Charge*", Cards!$D$2:$D1023, "Legendary", Cards!$B$2:B1023,B305 )/C305),0)</f>
        <v>6.6666666666666666E-2</v>
      </c>
      <c r="G305" s="982">
        <f>IFERROR((COUNTIFS(Cards!$P$2:$P1023, "*Taunt*", Cards!$D$2:$D1023, "Legendary", Cards!$B$2:B1023,B305 )/C305),0)</f>
        <v>0</v>
      </c>
      <c r="H305" s="983">
        <f>IFERROR((COUNTIFS(Cards!$P$2:$P1023, "*Spell Damage*", Cards!$D$2:$D1023, "Legendary", Cards!$B$2:B1023,B305 )/C305),0)</f>
        <v>0</v>
      </c>
      <c r="I305" s="984">
        <f>IFERROR((COUNTIFS(Cards!$P$2:$P1023, "*Deathrattle*", Cards!$D$2:$D1023, "Legendary", Cards!$B$2:B1023,B305 )/C305),0)</f>
        <v>0.13333333333333333</v>
      </c>
      <c r="J305" s="982">
        <f>IFERROR((COUNTIFS(Cards!$P$2:$P1023, "*Divine Shield*", Cards!$D$2:$D1023, "Legendary", Cards!$B$2:B1023,B305 )/C305),0)</f>
        <v>0</v>
      </c>
      <c r="K305" s="983">
        <f>IFERROR((COUNTIFS(Cards!$P$2:$P1023, "*Battlecry*", Cards!$D$2:$D1023, "Legendary", Cards!$B$2:B1023,B305 )/C305),0)</f>
        <v>0.53333333333333333</v>
      </c>
    </row>
    <row r="306" spans="2:11" ht="12.75">
      <c r="B306" s="978">
        <v>6</v>
      </c>
      <c r="C306" s="978">
        <f>COUNTIFS(Cards!$B$2:$B1023, B306, Cards!$D$2:$D1023, "Legendary")</f>
        <v>23</v>
      </c>
      <c r="D306" s="979">
        <f>IFERROR((SUMIFS(Cards!$M$2:$M1023, Cards!$B$2:$B1023, B306, Cards!$D$2:$D1023, "Legendary")/C306),0)</f>
        <v>5.0434782608695654</v>
      </c>
      <c r="E306" s="980">
        <f>IFERROR((SUMIFS(Cards!$N$2:$N1023, Cards!$B$2:$B1023, B306, Cards!$D$2:$D1023, "Legendary")/C306),0)</f>
        <v>5.5652173913043477</v>
      </c>
      <c r="F306" s="981">
        <f>IFERROR((COUNTIFS(Cards!$P$2:$P1023, "*Charge*", Cards!$D$2:$D1023, "Legendary", Cards!$B$2:B1023,B306 )/C306),0)</f>
        <v>0</v>
      </c>
      <c r="G306" s="982">
        <f>IFERROR((COUNTIFS(Cards!$P$2:$P1023, "*Taunt*", Cards!$D$2:$D1023, "Legendary", Cards!$B$2:B1023,B306 )/C306),0)</f>
        <v>8.6956521739130432E-2</v>
      </c>
      <c r="H306" s="983">
        <f>IFERROR((COUNTIFS(Cards!$P$2:$P1023, "*Spell Damage*", Cards!$D$2:$D1023, "Legendary", Cards!$B$2:B1023,B306 )/C306),0)</f>
        <v>0</v>
      </c>
      <c r="I306" s="984">
        <f>IFERROR((COUNTIFS(Cards!$P$2:$P1023, "*Deathrattle*", Cards!$D$2:$D1023, "Legendary", Cards!$B$2:B1023,B306 )/C306),0)</f>
        <v>0.21739130434782608</v>
      </c>
      <c r="J306" s="982">
        <f>IFERROR((COUNTIFS(Cards!$P$2:$P1023, "*Divine Shield*", Cards!$D$2:$D1023, "Legendary", Cards!$B$2:B1023,B306 )/C306),0)</f>
        <v>0</v>
      </c>
      <c r="K306" s="983">
        <f>IFERROR((COUNTIFS(Cards!$P$2:$P1023, "*Battlecry*", Cards!$D$2:$D1023, "Legendary", Cards!$B$2:B1023,B306 )/C306),0)</f>
        <v>0.39130434782608697</v>
      </c>
    </row>
    <row r="307" spans="2:11" ht="12.75">
      <c r="B307" s="978">
        <v>7</v>
      </c>
      <c r="C307" s="978">
        <f>COUNTIFS(Cards!$B$2:$B1023, B307, Cards!$D$2:$D1023, "Legendary")</f>
        <v>18</v>
      </c>
      <c r="D307" s="979">
        <f>IFERROR((SUMIFS(Cards!$M$2:$M1023, Cards!$B$2:$B1023, B307, Cards!$D$2:$D1023, "Legendary")/C307),0)</f>
        <v>6</v>
      </c>
      <c r="E307" s="980">
        <f>IFERROR((SUMIFS(Cards!$N$2:$N1023, Cards!$B$2:$B1023, B307, Cards!$D$2:$D1023, "Legendary")/C307),0)</f>
        <v>6.0555555555555554</v>
      </c>
      <c r="F307" s="981">
        <f>IFERROR((COUNTIFS(Cards!$P$2:$P1023, "*Charge*", Cards!$D$2:$D1023, "Legendary", Cards!$B$2:B1023,B307 )/C307),0)</f>
        <v>5.5555555555555552E-2</v>
      </c>
      <c r="G307" s="982">
        <f>IFERROR((COUNTIFS(Cards!$P$2:$P1023, "*Taunt*", Cards!$D$2:$D1023, "Legendary", Cards!$B$2:B1023,B307 )/C307),0)</f>
        <v>0.1111111111111111</v>
      </c>
      <c r="H307" s="983">
        <f>IFERROR((COUNTIFS(Cards!$P$2:$P1023, "*Spell Damage*", Cards!$D$2:$D1023, "Legendary", Cards!$B$2:B1023,B307 )/C307),0)</f>
        <v>5.5555555555555552E-2</v>
      </c>
      <c r="I307" s="984">
        <f>IFERROR((COUNTIFS(Cards!$P$2:$P1023, "*Deathrattle*", Cards!$D$2:$D1023, "Legendary", Cards!$B$2:B1023,B307 )/C307),0)</f>
        <v>0.1111111111111111</v>
      </c>
      <c r="J307" s="982">
        <f>IFERROR((COUNTIFS(Cards!$P$2:$P1023, "*Divine Shield*", Cards!$D$2:$D1023, "Legendary", Cards!$B$2:B1023,B307 )/C307),0)</f>
        <v>0</v>
      </c>
      <c r="K307" s="983">
        <f>IFERROR((COUNTIFS(Cards!$P$2:$P1023, "*Battlecry*", Cards!$D$2:$D1023, "Legendary", Cards!$B$2:B1023,B307 )/C307),0)</f>
        <v>0.3888888888888889</v>
      </c>
    </row>
    <row r="308" spans="2:11" ht="12.75">
      <c r="B308" s="978">
        <v>8</v>
      </c>
      <c r="C308" s="978">
        <f>COUNTIFS(Cards!$B$2:$B1023, B308, Cards!$D$2:$D1023, "Legendary")</f>
        <v>13</v>
      </c>
      <c r="D308" s="979">
        <f>IFERROR((SUMIFS(Cards!$M$2:$M1023, Cards!$B$2:$B1023, B308, Cards!$D$2:$D1023, "Legendary")/C308),0)</f>
        <v>6.1538461538461542</v>
      </c>
      <c r="E308" s="980">
        <f>IFERROR((SUMIFS(Cards!$N$2:$N1023, Cards!$B$2:$B1023, B308, Cards!$D$2:$D1023, "Legendary")/C308),0)</f>
        <v>7.3076923076923075</v>
      </c>
      <c r="F308" s="981">
        <f>IFERROR((COUNTIFS(Cards!$P$2:$P1023, "*Charge*", Cards!$D$2:$D1023, "Legendary", Cards!$B$2:B1023,B308 )/C308),0)</f>
        <v>0.15384615384615385</v>
      </c>
      <c r="G308" s="982">
        <f>IFERROR((COUNTIFS(Cards!$P$2:$P1023, "*Taunt*", Cards!$D$2:$D1023, "Legendary", Cards!$B$2:B1023,B308 )/C308),0)</f>
        <v>0.15384615384615385</v>
      </c>
      <c r="H308" s="983">
        <f>IFERROR((COUNTIFS(Cards!$P$2:$P1023, "*Spell Damage*", Cards!$D$2:$D1023, "Legendary", Cards!$B$2:B1023,B308 )/C308),0)</f>
        <v>0</v>
      </c>
      <c r="I308" s="984">
        <f>IFERROR((COUNTIFS(Cards!$P$2:$P1023, "*Deathrattle*", Cards!$D$2:$D1023, "Legendary", Cards!$B$2:B1023,B308 )/C308),0)</f>
        <v>0.23076923076923078</v>
      </c>
      <c r="J308" s="982">
        <f>IFERROR((COUNTIFS(Cards!$P$2:$P1023, "*Divine Shield*", Cards!$D$2:$D1023, "Legendary", Cards!$B$2:B1023,B308 )/C308),0)</f>
        <v>7.6923076923076927E-2</v>
      </c>
      <c r="K308" s="983">
        <f>IFERROR((COUNTIFS(Cards!$P$2:$P1023, "*Battlecry*", Cards!$D$2:$D1023, "Legendary", Cards!$B$2:B1023,B308 )/C308),0)</f>
        <v>0</v>
      </c>
    </row>
    <row r="309" spans="2:11" ht="12.75">
      <c r="B309" s="978">
        <v>9</v>
      </c>
      <c r="C309" s="978">
        <f>COUNTIFS(Cards!$B$2:$B1023, B309, Cards!$D$2:$D1023, "Legendary")</f>
        <v>17</v>
      </c>
      <c r="D309" s="979">
        <f>IFERROR((SUMIFS(Cards!$M$2:$M1023, Cards!$B$2:$B1023, B309, Cards!$D$2:$D1023, "Legendary")/C309),0)</f>
        <v>6.9411764705882355</v>
      </c>
      <c r="E309" s="980">
        <f>IFERROR((SUMIFS(Cards!$N$2:$N1023, Cards!$B$2:$B1023, B309, Cards!$D$2:$D1023, "Legendary")/C309),0)</f>
        <v>8.4705882352941178</v>
      </c>
      <c r="F309" s="981">
        <f>IFERROR((COUNTIFS(Cards!$P$2:$P1023, "*Charge*", Cards!$D$2:$D1023, "Legendary", Cards!$B$2:B1023,B309 )/C309),0)</f>
        <v>0.11764705882352941</v>
      </c>
      <c r="G309" s="982">
        <f>IFERROR((COUNTIFS(Cards!$P$2:$P1023, "*Taunt*", Cards!$D$2:$D1023, "Legendary", Cards!$B$2:B1023,B309 )/C309),0)</f>
        <v>0.11764705882352941</v>
      </c>
      <c r="H309" s="983">
        <f>IFERROR((COUNTIFS(Cards!$P$2:$P1023, "*Spell Damage*", Cards!$D$2:$D1023, "Legendary", Cards!$B$2:B1023,B309 )/C309),0)</f>
        <v>5.8823529411764705E-2</v>
      </c>
      <c r="I309" s="984">
        <f>IFERROR((COUNTIFS(Cards!$P$2:$P1023, "*Deathrattle*", Cards!$D$2:$D1023, "Legendary", Cards!$B$2:B1023,B309 )/C309),0)</f>
        <v>0.11764705882352941</v>
      </c>
      <c r="J309" s="982">
        <f>IFERROR((COUNTIFS(Cards!$P$2:$P1023, "*Divine Shield*", Cards!$D$2:$D1023, "Legendary", Cards!$B$2:B1023,B309 )/C309),0)</f>
        <v>0</v>
      </c>
      <c r="K309" s="983">
        <f>IFERROR((COUNTIFS(Cards!$P$2:$P1023, "*Battlecry*", Cards!$D$2:$D1023, "Legendary", Cards!$B$2:B1023,B309 )/C309),0)</f>
        <v>0.29411764705882354</v>
      </c>
    </row>
    <row r="310" spans="2:11" ht="12.75">
      <c r="B310" s="985">
        <v>10</v>
      </c>
      <c r="C310" s="985">
        <f>COUNTIFS(Cards!$B$2:$B1023, B310, Cards!$D$2:$D1023, "Legendary")</f>
        <v>7</v>
      </c>
      <c r="D310" s="986">
        <f>IFERROR((SUMIFS(Cards!$M$2:$M1023, Cards!$B$2:$B1023, B310, Cards!$D$2:$D1023, "Legendary")/C310),0)</f>
        <v>8.4285714285714288</v>
      </c>
      <c r="E310" s="987">
        <f>IFERROR((SUMIFS(Cards!$N$2:$N1023, Cards!$B$2:$B1023, B310, Cards!$D$2:$D1023, "Legendary")/C310),0)</f>
        <v>8.4285714285714288</v>
      </c>
      <c r="F310" s="988">
        <f>IFERROR((COUNTIFS(Cards!$P$2:$P1023, "*Charge*", Cards!$D$2:$D1023, "Legendary", Cards!$B$2:B1023,B310 )/C310),0)</f>
        <v>0</v>
      </c>
      <c r="G310" s="989">
        <f>IFERROR((COUNTIFS(Cards!$P$2:$P1023, "*Taunt*", Cards!$D$2:$D1023, "Legendary", Cards!$B$2:B1023,B310 )/C310),0)</f>
        <v>0</v>
      </c>
      <c r="H310" s="990">
        <f>IFERROR((COUNTIFS(Cards!$P$2:$P1023, "*Spell Damage*", Cards!$D$2:$D1023, "Legendary", Cards!$B$2:B1023,B310 )/C310),0)</f>
        <v>0</v>
      </c>
      <c r="I310" s="991">
        <f>IFERROR((COUNTIFS(Cards!$P$2:$P1023, "*Deathrattle*", Cards!$D$2:$D1023, "Legendary", Cards!$B$2:B1023,B310 )/C310),0)</f>
        <v>0.14285714285714285</v>
      </c>
      <c r="J310" s="989">
        <f>IFERROR((COUNTIFS(Cards!$P$2:$P1023, "*Divine Shield*", Cards!$D$2:$D1023, "Legendary", Cards!$B$2:B1023,B310 )/C310),0)</f>
        <v>0</v>
      </c>
      <c r="K310" s="990">
        <f>IFERROR((COUNTIFS(Cards!$P$2:$P1023, "*Battlecry*", Cards!$D$2:$D1023, "Legendary", Cards!$B$2:B1023,B310 )/C310),0)</f>
        <v>0.7142857142857143</v>
      </c>
    </row>
    <row r="311" spans="2:11" ht="12.75">
      <c r="B311" s="993" t="s">
        <v>2201</v>
      </c>
      <c r="C311" s="994">
        <f>SUM(C300:C310)</f>
        <v>113</v>
      </c>
      <c r="D311" s="995">
        <f>SUMIFS(Cards!$M$2:$M1023, Cards!$D$2:$D1023, "Legendary")/C311</f>
        <v>5.3008849557522124</v>
      </c>
      <c r="E311" s="996">
        <f>SUMIFS(Cards!$N$2:$N1023, Cards!$D$2:$D1023, "Legendary")/C311</f>
        <v>5.9911504424778759</v>
      </c>
      <c r="F311" s="997">
        <f>COUNTIFS(Cards!$P$2:$P1023, "*Charge*", Cards!$D$2:$D1023, "Legendary")/C311</f>
        <v>6.1946902654867256E-2</v>
      </c>
      <c r="G311" s="997">
        <f>COUNTIFS(Cards!$P$2:$P1023, "*Taunt*", Cards!$D$2:$D1023, "Legendary")/C311</f>
        <v>7.0796460176991149E-2</v>
      </c>
      <c r="H311" s="997">
        <f>COUNTIFS(Cards!$P$2:$P1023, "*Spell Damage*", Cards!$D$2:$D1023, "Legendary")/C311</f>
        <v>2.6548672566371681E-2</v>
      </c>
      <c r="I311" s="997">
        <f>COUNTIFS(Cards!$P$2:$P1023, "*Deathrattle*", Cards!$D$2:$D1023, "Legendary")/C311</f>
        <v>0.15044247787610621</v>
      </c>
      <c r="J311" s="997">
        <f>COUNTIFS(Cards!$P$2:$P1023, "*Divine Shield*", Cards!$D$2:$D1023, "Legendary")/C311</f>
        <v>8.8495575221238937E-3</v>
      </c>
      <c r="K311" s="998">
        <f>COUNTIFS(Cards!$P$2:$P1023, "*Battlecry*", Cards!$D$2:$D1023, "Legendary")/C311</f>
        <v>0.36283185840707965</v>
      </c>
    </row>
    <row r="313" spans="2:11" ht="12.75">
      <c r="B313" s="1217" t="s">
        <v>2211</v>
      </c>
      <c r="C313" s="1102"/>
      <c r="D313" s="1102"/>
      <c r="E313" s="1102"/>
      <c r="F313" s="1102"/>
      <c r="G313" s="1102"/>
      <c r="H313" s="1102"/>
      <c r="I313" s="1102"/>
      <c r="J313" s="1102"/>
      <c r="K313" s="1030"/>
    </row>
    <row r="314" spans="2:11" ht="12.75">
      <c r="B314" s="977" t="s">
        <v>2187</v>
      </c>
      <c r="C314" s="977" t="s">
        <v>67</v>
      </c>
      <c r="D314" s="977" t="s">
        <v>2188</v>
      </c>
      <c r="E314" s="977" t="s">
        <v>125</v>
      </c>
      <c r="F314" s="977" t="s">
        <v>295</v>
      </c>
      <c r="G314" s="977" t="s">
        <v>1239</v>
      </c>
      <c r="H314" s="977" t="s">
        <v>2189</v>
      </c>
      <c r="I314" s="977" t="s">
        <v>2190</v>
      </c>
      <c r="J314" s="977" t="s">
        <v>1010</v>
      </c>
      <c r="K314" s="977" t="s">
        <v>2191</v>
      </c>
    </row>
    <row r="315" spans="2:11" ht="12.75">
      <c r="B315" s="978">
        <v>0</v>
      </c>
      <c r="C315" s="978">
        <f>COUNTIFS(Cards!$B$2:$B1023, B315, Cards!$D$2:$D1023, "Legendary",Cards!$Q$2:$Q1023, "Standard")</f>
        <v>0</v>
      </c>
      <c r="D315" s="979">
        <f>IFERROR((SUMIFS(Cards!$M$2:$M1023, Cards!$B$2:$B1023, B315, Cards!$D$2:$D1023, "Legendary",Cards!$Q$2:$Q1023, "Standard")/C315),0)</f>
        <v>0</v>
      </c>
      <c r="E315" s="980">
        <f>IFERROR((SUMIFS(Cards!$N$2:$N1023, Cards!$B$2:$B1023, B315, Cards!$D$2:$D1023, "Legendary",Cards!$Q$2:$Q1023, "Standard")/C315),0)</f>
        <v>0</v>
      </c>
      <c r="F315" s="981">
        <f>IFERROR((COUNTIFS(Cards!$P$2:$P1023, "*Charge*", Cards!$D$2:$D1023, "Legendary",Cards!$Q$2:$Q1023, "Standard", Cards!$B$2:B1023,B315 )/C315),0)</f>
        <v>0</v>
      </c>
      <c r="G315" s="982">
        <f>IFERROR((COUNTIFS(Cards!$P$2:$P1023, "*Taunt*", Cards!$D$2:$D1023, "Legendary",Cards!$Q$2:$Q1023, "Standard", Cards!$B$2:B1023,B315 )/C315),0)</f>
        <v>0</v>
      </c>
      <c r="H315" s="983">
        <f>IFERROR((COUNTIFS(Cards!$P$2:$P1023, "*Spell Damage*", Cards!$D$2:$D1023, "Legendary",Cards!$Q$2:$Q1023, "Standard", Cards!$B$2:B1023,B315 )/C315),0)</f>
        <v>0</v>
      </c>
      <c r="I315" s="984">
        <f>IFERROR((COUNTIFS(Cards!$P$2:$P1023, "*Deathrattle*", Cards!$D$2:$D1023, "Legendary",Cards!$Q$2:$Q1023, "Standard", Cards!$B$2:B1023,B315 )/C315),0)</f>
        <v>0</v>
      </c>
      <c r="J315" s="982">
        <f>IFERROR((COUNTIFS(Cards!$P$2:$P1023, "*Divine Shield*", Cards!$D$2:$D1023, "Legendary",Cards!$Q$2:$Q1023, "Standard", Cards!$B$2:B1023,B315 )/C315),0)</f>
        <v>0</v>
      </c>
      <c r="K315" s="983">
        <f>IFERROR((COUNTIFS(Cards!$P$2:$P1023, "*Battlecry*", Cards!$D$2:$D1023, "Legendary",Cards!$Q$2:$Q1023, "Standard", Cards!$B$2:B1023,B315 )/C315),0)</f>
        <v>0</v>
      </c>
    </row>
    <row r="316" spans="2:11" ht="12.75">
      <c r="B316" s="978">
        <v>1</v>
      </c>
      <c r="C316" s="978">
        <f>COUNTIFS(Cards!$B$2:$B1023, B316, Cards!$D$2:$D1023, "Legendary",Cards!$Q$2:$Q1023, "Standard")</f>
        <v>2</v>
      </c>
      <c r="D316" s="979">
        <f>IFERROR((SUMIFS(Cards!$M$2:$M1023, Cards!$B$2:$B1023, B316, Cards!$D$2:$D1023, "Legendary",Cards!$Q$2:$Q1023, "Standard")/C316),0)</f>
        <v>1</v>
      </c>
      <c r="E316" s="980">
        <f>IFERROR((SUMIFS(Cards!$N$2:$N1023, Cards!$B$2:$B1023, B316, Cards!$D$2:$D1023, "Legendary",Cards!$Q$2:$Q1023, "Standard")/C316),0)</f>
        <v>2</v>
      </c>
      <c r="F316" s="981">
        <f>IFERROR((COUNTIFS(Cards!$P$2:$P1023, "*Charge*", Cards!$D$2:$D1023, "Legendary",Cards!$Q$2:$Q1023, "Standard", Cards!$B$2:B1023,B316 )/C316),0)</f>
        <v>0</v>
      </c>
      <c r="G316" s="982">
        <f>IFERROR((COUNTIFS(Cards!$P$2:$P1023, "*Taunt*", Cards!$D$2:$D1023, "Legendary",Cards!$Q$2:$Q1023, "Standard", Cards!$B$2:B1023,B316 )/C316),0)</f>
        <v>0</v>
      </c>
      <c r="H316" s="983">
        <f>IFERROR((COUNTIFS(Cards!$P$2:$P1023, "*Spell Damage*", Cards!$D$2:$D1023, "Legendary",Cards!$Q$2:$Q1023, "Standard", Cards!$B$2:B1023,B316 )/C316),0)</f>
        <v>0</v>
      </c>
      <c r="I316" s="984">
        <f>IFERROR((COUNTIFS(Cards!$P$2:$P1023, "*Deathrattle*", Cards!$D$2:$D1023, "Legendary",Cards!$Q$2:$Q1023, "Standard", Cards!$B$2:B1023,B316 )/C316),0)</f>
        <v>0</v>
      </c>
      <c r="J316" s="982">
        <f>IFERROR((COUNTIFS(Cards!$P$2:$P1023, "*Divine Shield*", Cards!$D$2:$D1023, "Legendary",Cards!$Q$2:$Q1023, "Standard", Cards!$B$2:B1023,B316 )/C316),0)</f>
        <v>0</v>
      </c>
      <c r="K316" s="983">
        <f>IFERROR((COUNTIFS(Cards!$P$2:$P1023, "*Battlecry*", Cards!$D$2:$D1023, "Legendary",Cards!$Q$2:$Q1023, "Standard", Cards!$B$2:B1023,B316 )/C316),0)</f>
        <v>0.5</v>
      </c>
    </row>
    <row r="317" spans="2:11" ht="12.75">
      <c r="B317" s="978">
        <v>2</v>
      </c>
      <c r="C317" s="978">
        <f>COUNTIFS(Cards!$B$2:$B1023, B317, Cards!$D$2:$D1023, "Legendary",Cards!$Q$2:$Q1023, "Standard")</f>
        <v>5</v>
      </c>
      <c r="D317" s="979">
        <f>IFERROR((SUMIFS(Cards!$M$2:$M1023, Cards!$B$2:$B1023, B317, Cards!$D$2:$D1023, "Legendary",Cards!$Q$2:$Q1023, "Standard")/C317),0)</f>
        <v>1.4</v>
      </c>
      <c r="E317" s="980">
        <f>IFERROR((SUMIFS(Cards!$N$2:$N1023, Cards!$B$2:$B1023, B317, Cards!$D$2:$D1023, "Legendary",Cards!$Q$2:$Q1023, "Standard")/C317),0)</f>
        <v>3.4</v>
      </c>
      <c r="F317" s="981">
        <f>IFERROR((COUNTIFS(Cards!$P$2:$P1023, "*Charge*", Cards!$D$2:$D1023, "Legendary",Cards!$Q$2:$Q1023, "Standard", Cards!$B$2:B1023,B317 )/C317),0)</f>
        <v>0</v>
      </c>
      <c r="G317" s="982">
        <f>IFERROR((COUNTIFS(Cards!$P$2:$P1023, "*Taunt*", Cards!$D$2:$D1023, "Legendary",Cards!$Q$2:$Q1023, "Standard", Cards!$B$2:B1023,B317 )/C317),0)</f>
        <v>0</v>
      </c>
      <c r="H317" s="983">
        <f>IFERROR((COUNTIFS(Cards!$P$2:$P1023, "*Spell Damage*", Cards!$D$2:$D1023, "Legendary",Cards!$Q$2:$Q1023, "Standard", Cards!$B$2:B1023,B317 )/C317),0)</f>
        <v>0.2</v>
      </c>
      <c r="I317" s="984">
        <f>IFERROR((COUNTIFS(Cards!$P$2:$P1023, "*Deathrattle*", Cards!$D$2:$D1023, "Legendary",Cards!$Q$2:$Q1023, "Standard", Cards!$B$2:B1023,B317 )/C317),0)</f>
        <v>0.2</v>
      </c>
      <c r="J317" s="982">
        <f>IFERROR((COUNTIFS(Cards!$P$2:$P1023, "*Divine Shield*", Cards!$D$2:$D1023, "Legendary",Cards!$Q$2:$Q1023, "Standard", Cards!$B$2:B1023,B317 )/C317),0)</f>
        <v>0</v>
      </c>
      <c r="K317" s="983">
        <f>IFERROR((COUNTIFS(Cards!$P$2:$P1023, "*Battlecry*", Cards!$D$2:$D1023, "Legendary",Cards!$Q$2:$Q1023, "Standard", Cards!$B$2:B1023,B317 )/C317),0)</f>
        <v>0.2</v>
      </c>
    </row>
    <row r="318" spans="2:11" ht="12.75">
      <c r="B318" s="978">
        <v>3</v>
      </c>
      <c r="C318" s="978">
        <f>COUNTIFS(Cards!$B$2:$B1023, B318, Cards!$D$2:$D1023, "Legendary",Cards!$Q$2:$Q1023, "Standard")</f>
        <v>7</v>
      </c>
      <c r="D318" s="979">
        <f>IFERROR((SUMIFS(Cards!$M$2:$M1023, Cards!$B$2:$B1023, B318, Cards!$D$2:$D1023, "Legendary",Cards!$Q$2:$Q1023, "Standard")/C318),0)</f>
        <v>3.1428571428571428</v>
      </c>
      <c r="E318" s="980">
        <f>IFERROR((SUMIFS(Cards!$N$2:$N1023, Cards!$B$2:$B1023, B318, Cards!$D$2:$D1023, "Legendary",Cards!$Q$2:$Q1023, "Standard")/C318),0)</f>
        <v>3.4285714285714284</v>
      </c>
      <c r="F318" s="981">
        <f>IFERROR((COUNTIFS(Cards!$P$2:$P1023, "*Charge*", Cards!$D$2:$D1023, "Legendary",Cards!$Q$2:$Q1023, "Standard", Cards!$B$2:B1023,B318 )/C318),0)</f>
        <v>0</v>
      </c>
      <c r="G318" s="982">
        <f>IFERROR((COUNTIFS(Cards!$P$2:$P1023, "*Taunt*", Cards!$D$2:$D1023, "Legendary",Cards!$Q$2:$Q1023, "Standard", Cards!$B$2:B1023,B318 )/C318),0)</f>
        <v>0</v>
      </c>
      <c r="H318" s="983">
        <f>IFERROR((COUNTIFS(Cards!$P$2:$P1023, "*Spell Damage*", Cards!$D$2:$D1023, "Legendary",Cards!$Q$2:$Q1023, "Standard", Cards!$B$2:B1023,B318 )/C318),0)</f>
        <v>0</v>
      </c>
      <c r="I318" s="984">
        <f>IFERROR((COUNTIFS(Cards!$P$2:$P1023, "*Deathrattle*", Cards!$D$2:$D1023, "Legendary",Cards!$Q$2:$Q1023, "Standard", Cards!$B$2:B1023,B318 )/C318),0)</f>
        <v>0</v>
      </c>
      <c r="J318" s="982">
        <f>IFERROR((COUNTIFS(Cards!$P$2:$P1023, "*Divine Shield*", Cards!$D$2:$D1023, "Legendary",Cards!$Q$2:$Q1023, "Standard", Cards!$B$2:B1023,B318 )/C318),0)</f>
        <v>0</v>
      </c>
      <c r="K318" s="983">
        <f>IFERROR((COUNTIFS(Cards!$P$2:$P1023, "*Battlecry*", Cards!$D$2:$D1023, "Legendary",Cards!$Q$2:$Q1023, "Standard", Cards!$B$2:B1023,B318 )/C318),0)</f>
        <v>0.2857142857142857</v>
      </c>
    </row>
    <row r="319" spans="2:11" ht="12.75">
      <c r="B319" s="978">
        <v>4</v>
      </c>
      <c r="C319" s="978">
        <f>COUNTIFS(Cards!$B$2:$B1023, B319, Cards!$D$2:$D1023, "Legendary",Cards!$Q$2:$Q1023, "Standard")</f>
        <v>4</v>
      </c>
      <c r="D319" s="979">
        <f>IFERROR((SUMIFS(Cards!$M$2:$M1023, Cards!$B$2:$B1023, B319, Cards!$D$2:$D1023, "Legendary",Cards!$Q$2:$Q1023, "Standard")/C319),0)</f>
        <v>3.25</v>
      </c>
      <c r="E319" s="980">
        <f>IFERROR((SUMIFS(Cards!$N$2:$N1023, Cards!$B$2:$B1023, B319, Cards!$D$2:$D1023, "Legendary",Cards!$Q$2:$Q1023, "Standard")/C319),0)</f>
        <v>4.5</v>
      </c>
      <c r="F319" s="981">
        <f>IFERROR((COUNTIFS(Cards!$P$2:$P1023, "*Charge*", Cards!$D$2:$D1023, "Legendary",Cards!$Q$2:$Q1023, "Standard", Cards!$B$2:B1023,B319 )/C319),0)</f>
        <v>0</v>
      </c>
      <c r="G319" s="982">
        <f>IFERROR((COUNTIFS(Cards!$P$2:$P1023, "*Taunt*", Cards!$D$2:$D1023, "Legendary",Cards!$Q$2:$Q1023, "Standard", Cards!$B$2:B1023,B319 )/C319),0)</f>
        <v>0</v>
      </c>
      <c r="H319" s="983">
        <f>IFERROR((COUNTIFS(Cards!$P$2:$P1023, "*Spell Damage*", Cards!$D$2:$D1023, "Legendary",Cards!$Q$2:$Q1023, "Standard", Cards!$B$2:B1023,B319 )/C319),0)</f>
        <v>0</v>
      </c>
      <c r="I319" s="984">
        <f>IFERROR((COUNTIFS(Cards!$P$2:$P1023, "*Deathrattle*", Cards!$D$2:$D1023, "Legendary",Cards!$Q$2:$Q1023, "Standard", Cards!$B$2:B1023,B319 )/C319),0)</f>
        <v>0.25</v>
      </c>
      <c r="J319" s="982">
        <f>IFERROR((COUNTIFS(Cards!$P$2:$P1023, "*Divine Shield*", Cards!$D$2:$D1023, "Legendary",Cards!$Q$2:$Q1023, "Standard", Cards!$B$2:B1023,B319 )/C319),0)</f>
        <v>0</v>
      </c>
      <c r="K319" s="983">
        <f>IFERROR((COUNTIFS(Cards!$P$2:$P1023, "*Battlecry*", Cards!$D$2:$D1023, "Legendary",Cards!$Q$2:$Q1023, "Standard", Cards!$B$2:B1023,B319 )/C319),0)</f>
        <v>0.75</v>
      </c>
    </row>
    <row r="320" spans="2:11" ht="12.75">
      <c r="B320" s="978">
        <v>5</v>
      </c>
      <c r="C320" s="978">
        <f>COUNTIFS(Cards!$B$2:$B1023, B320, Cards!$D$2:$D1023, "Legendary",Cards!$Q$2:$Q1023, "Standard")</f>
        <v>6</v>
      </c>
      <c r="D320" s="979">
        <f>IFERROR((SUMIFS(Cards!$M$2:$M1023, Cards!$B$2:$B1023, B320, Cards!$D$2:$D1023, "Legendary",Cards!$Q$2:$Q1023, "Standard")/C320),0)</f>
        <v>5</v>
      </c>
      <c r="E320" s="980">
        <f>IFERROR((SUMIFS(Cards!$N$2:$N1023, Cards!$B$2:$B1023, B320, Cards!$D$2:$D1023, "Legendary",Cards!$Q$2:$Q1023, "Standard")/C320),0)</f>
        <v>4.333333333333333</v>
      </c>
      <c r="F320" s="981">
        <f>IFERROR((COUNTIFS(Cards!$P$2:$P1023, "*Charge*", Cards!$D$2:$D1023, "Legendary",Cards!$Q$2:$Q1023, "Standard", Cards!$B$2:B1023,B320 )/C320),0)</f>
        <v>0.16666666666666666</v>
      </c>
      <c r="G320" s="982">
        <f>IFERROR((COUNTIFS(Cards!$P$2:$P1023, "*Taunt*", Cards!$D$2:$D1023, "Legendary",Cards!$Q$2:$Q1023, "Standard", Cards!$B$2:B1023,B320 )/C320),0)</f>
        <v>0</v>
      </c>
      <c r="H320" s="983">
        <f>IFERROR((COUNTIFS(Cards!$P$2:$P1023, "*Spell Damage*", Cards!$D$2:$D1023, "Legendary",Cards!$Q$2:$Q1023, "Standard", Cards!$B$2:B1023,B320 )/C320),0)</f>
        <v>0</v>
      </c>
      <c r="I320" s="984">
        <f>IFERROR((COUNTIFS(Cards!$P$2:$P1023, "*Deathrattle*", Cards!$D$2:$D1023, "Legendary",Cards!$Q$2:$Q1023, "Standard", Cards!$B$2:B1023,B320 )/C320),0)</f>
        <v>0</v>
      </c>
      <c r="J320" s="982">
        <f>IFERROR((COUNTIFS(Cards!$P$2:$P1023, "*Divine Shield*", Cards!$D$2:$D1023, "Legendary",Cards!$Q$2:$Q1023, "Standard", Cards!$B$2:B1023,B320 )/C320),0)</f>
        <v>0</v>
      </c>
      <c r="K320" s="983">
        <f>IFERROR((COUNTIFS(Cards!$P$2:$P1023, "*Battlecry*", Cards!$D$2:$D1023, "Legendary",Cards!$Q$2:$Q1023, "Standard", Cards!$B$2:B1023,B320 )/C320),0)</f>
        <v>0.5</v>
      </c>
    </row>
    <row r="321" spans="1:18" ht="12.75">
      <c r="B321" s="978">
        <v>6</v>
      </c>
      <c r="C321" s="978">
        <f>COUNTIFS(Cards!$B$2:$B1023, B321, Cards!$D$2:$D1023, "Legendary",Cards!$Q$2:$Q1023, "Standard")</f>
        <v>16</v>
      </c>
      <c r="D321" s="979">
        <f>IFERROR((SUMIFS(Cards!$M$2:$M1023, Cards!$B$2:$B1023, B321, Cards!$D$2:$D1023, "Legendary",Cards!$Q$2:$Q1023, "Standard")/C321),0)</f>
        <v>5.125</v>
      </c>
      <c r="E321" s="980">
        <f>IFERROR((SUMIFS(Cards!$N$2:$N1023, Cards!$B$2:$B1023, B321, Cards!$D$2:$D1023, "Legendary",Cards!$Q$2:$Q1023, "Standard")/C321),0)</f>
        <v>5.125</v>
      </c>
      <c r="F321" s="981">
        <f>IFERROR((COUNTIFS(Cards!$P$2:$P1023, "*Charge*", Cards!$D$2:$D1023, "Legendary",Cards!$Q$2:$Q1023, "Standard", Cards!$B$2:B1023,B321 )/C321),0)</f>
        <v>0</v>
      </c>
      <c r="G321" s="982">
        <f>IFERROR((COUNTIFS(Cards!$P$2:$P1023, "*Taunt*", Cards!$D$2:$D1023, "Legendary",Cards!$Q$2:$Q1023, "Standard", Cards!$B$2:B1023,B321 )/C321),0)</f>
        <v>0.125</v>
      </c>
      <c r="H321" s="983">
        <f>IFERROR((COUNTIFS(Cards!$P$2:$P1023, "*Spell Damage*", Cards!$D$2:$D1023, "Legendary",Cards!$Q$2:$Q1023, "Standard", Cards!$B$2:B1023,B321 )/C321),0)</f>
        <v>0</v>
      </c>
      <c r="I321" s="984">
        <f>IFERROR((COUNTIFS(Cards!$P$2:$P1023, "*Deathrattle*", Cards!$D$2:$D1023, "Legendary",Cards!$Q$2:$Q1023, "Standard", Cards!$B$2:B1023,B321 )/C321),0)</f>
        <v>0.25</v>
      </c>
      <c r="J321" s="982">
        <f>IFERROR((COUNTIFS(Cards!$P$2:$P1023, "*Divine Shield*", Cards!$D$2:$D1023, "Legendary",Cards!$Q$2:$Q1023, "Standard", Cards!$B$2:B1023,B321 )/C321),0)</f>
        <v>0</v>
      </c>
      <c r="K321" s="983">
        <f>IFERROR((COUNTIFS(Cards!$P$2:$P1023, "*Battlecry*", Cards!$D$2:$D1023, "Legendary",Cards!$Q$2:$Q1023, "Standard", Cards!$B$2:B1023,B321 )/C321),0)</f>
        <v>0.375</v>
      </c>
    </row>
    <row r="322" spans="1:18" ht="12.75">
      <c r="B322" s="978">
        <v>7</v>
      </c>
      <c r="C322" s="978">
        <f>COUNTIFS(Cards!$B$2:$B1023, B322, Cards!$D$2:$D1023, "Legendary",Cards!$Q$2:$Q1023, "Standard")</f>
        <v>12</v>
      </c>
      <c r="D322" s="979">
        <f>IFERROR((SUMIFS(Cards!$M$2:$M1023, Cards!$B$2:$B1023, B322, Cards!$D$2:$D1023, "Legendary",Cards!$Q$2:$Q1023, "Standard")/C322),0)</f>
        <v>5.5</v>
      </c>
      <c r="E322" s="980">
        <f>IFERROR((SUMIFS(Cards!$N$2:$N1023, Cards!$B$2:$B1023, B322, Cards!$D$2:$D1023, "Legendary",Cards!$Q$2:$Q1023, "Standard")/C322),0)</f>
        <v>5.5</v>
      </c>
      <c r="F322" s="981">
        <f>IFERROR((COUNTIFS(Cards!$P$2:$P1023, "*Charge*", Cards!$D$2:$D1023, "Legendary",Cards!$Q$2:$Q1023, "Standard", Cards!$B$2:B1023,B322 )/C322),0)</f>
        <v>8.3333333333333329E-2</v>
      </c>
      <c r="G322" s="982">
        <f>IFERROR((COUNTIFS(Cards!$P$2:$P1023, "*Taunt*", Cards!$D$2:$D1023, "Legendary",Cards!$Q$2:$Q1023, "Standard", Cards!$B$2:B1023,B322 )/C322),0)</f>
        <v>0.16666666666666666</v>
      </c>
      <c r="H322" s="983">
        <f>IFERROR((COUNTIFS(Cards!$P$2:$P1023, "*Spell Damage*", Cards!$D$2:$D1023, "Legendary",Cards!$Q$2:$Q1023, "Standard", Cards!$B$2:B1023,B322 )/C322),0)</f>
        <v>8.3333333333333329E-2</v>
      </c>
      <c r="I322" s="984">
        <f>IFERROR((COUNTIFS(Cards!$P$2:$P1023, "*Deathrattle*", Cards!$D$2:$D1023, "Legendary",Cards!$Q$2:$Q1023, "Standard", Cards!$B$2:B1023,B322 )/C322),0)</f>
        <v>8.3333333333333329E-2</v>
      </c>
      <c r="J322" s="982">
        <f>IFERROR((COUNTIFS(Cards!$P$2:$P1023, "*Divine Shield*", Cards!$D$2:$D1023, "Legendary",Cards!$Q$2:$Q1023, "Standard", Cards!$B$2:B1023,B322 )/C322),0)</f>
        <v>0</v>
      </c>
      <c r="K322" s="983">
        <f>IFERROR((COUNTIFS(Cards!$P$2:$P1023, "*Battlecry*", Cards!$D$2:$D1023, "Legendary",Cards!$Q$2:$Q1023, "Standard", Cards!$B$2:B1023,B322 )/C322),0)</f>
        <v>0.41666666666666669</v>
      </c>
    </row>
    <row r="323" spans="1:18" ht="12.75">
      <c r="B323" s="978">
        <v>8</v>
      </c>
      <c r="C323" s="978">
        <f>COUNTIFS(Cards!$B$2:$B1023, B323, Cards!$D$2:$D1023, "Legendary",Cards!$Q$2:$Q1023, "Standard")</f>
        <v>10</v>
      </c>
      <c r="D323" s="979">
        <f>IFERROR((SUMIFS(Cards!$M$2:$M1023, Cards!$B$2:$B1023, B323, Cards!$D$2:$D1023, "Legendary",Cards!$Q$2:$Q1023, "Standard")/C323),0)</f>
        <v>6.3</v>
      </c>
      <c r="E323" s="980">
        <f>IFERROR((SUMIFS(Cards!$N$2:$N1023, Cards!$B$2:$B1023, B323, Cards!$D$2:$D1023, "Legendary",Cards!$Q$2:$Q1023, "Standard")/C323),0)</f>
        <v>7.1</v>
      </c>
      <c r="F323" s="981">
        <f>IFERROR((COUNTIFS(Cards!$P$2:$P1023, "*Charge*", Cards!$D$2:$D1023, "Legendary",Cards!$Q$2:$Q1023, "Standard", Cards!$B$2:B1023,B323 )/C323),0)</f>
        <v>0.2</v>
      </c>
      <c r="G323" s="982">
        <f>IFERROR((COUNTIFS(Cards!$P$2:$P1023, "*Taunt*", Cards!$D$2:$D1023, "Legendary",Cards!$Q$2:$Q1023, "Standard", Cards!$B$2:B1023,B323 )/C323),0)</f>
        <v>0.2</v>
      </c>
      <c r="H323" s="983">
        <f>IFERROR((COUNTIFS(Cards!$P$2:$P1023, "*Spell Damage*", Cards!$D$2:$D1023, "Legendary",Cards!$Q$2:$Q1023, "Standard", Cards!$B$2:B1023,B323 )/C323),0)</f>
        <v>0</v>
      </c>
      <c r="I323" s="984">
        <f>IFERROR((COUNTIFS(Cards!$P$2:$P1023, "*Deathrattle*", Cards!$D$2:$D1023, "Legendary",Cards!$Q$2:$Q1023, "Standard", Cards!$B$2:B1023,B323 )/C323),0)</f>
        <v>0.2</v>
      </c>
      <c r="J323" s="982">
        <f>IFERROR((COUNTIFS(Cards!$P$2:$P1023, "*Divine Shield*", Cards!$D$2:$D1023, "Legendary",Cards!$Q$2:$Q1023, "Standard", Cards!$B$2:B1023,B323 )/C323),0)</f>
        <v>0.1</v>
      </c>
      <c r="K323" s="983">
        <f>IFERROR((COUNTIFS(Cards!$P$2:$P1023, "*Battlecry*", Cards!$D$2:$D1023, "Legendary",Cards!$Q$2:$Q1023, "Standard", Cards!$B$2:B1023,B323 )/C323),0)</f>
        <v>0</v>
      </c>
    </row>
    <row r="324" spans="1:18" ht="12.75">
      <c r="B324" s="978">
        <v>9</v>
      </c>
      <c r="C324" s="978">
        <f>COUNTIFS(Cards!$B$2:$B1023, B324, Cards!$D$2:$D1023, "Legendary",Cards!$Q$2:$Q1023, "Standard")</f>
        <v>15</v>
      </c>
      <c r="D324" s="979">
        <f>IFERROR((SUMIFS(Cards!$M$2:$M1023, Cards!$B$2:$B1023, B324, Cards!$D$2:$D1023, "Legendary",Cards!$Q$2:$Q1023, "Standard")/C324),0)</f>
        <v>6.666666666666667</v>
      </c>
      <c r="E324" s="980">
        <f>IFERROR((SUMIFS(Cards!$N$2:$N1023, Cards!$B$2:$B1023, B324, Cards!$D$2:$D1023, "Legendary",Cards!$Q$2:$Q1023, "Standard")/C324),0)</f>
        <v>8.6666666666666661</v>
      </c>
      <c r="F324" s="981">
        <f>IFERROR((COUNTIFS(Cards!$P$2:$P1023, "*Charge*", Cards!$D$2:$D1023, "Legendary",Cards!$Q$2:$Q1023, "Standard", Cards!$B$2:B1023,B324 )/C324),0)</f>
        <v>0.13333333333333333</v>
      </c>
      <c r="G324" s="982">
        <f>IFERROR((COUNTIFS(Cards!$P$2:$P1023, "*Taunt*", Cards!$D$2:$D1023, "Legendary",Cards!$Q$2:$Q1023, "Standard", Cards!$B$2:B1023,B324 )/C324),0)</f>
        <v>6.6666666666666666E-2</v>
      </c>
      <c r="H324" s="983">
        <f>IFERROR((COUNTIFS(Cards!$P$2:$P1023, "*Spell Damage*", Cards!$D$2:$D1023, "Legendary",Cards!$Q$2:$Q1023, "Standard", Cards!$B$2:B1023,B324 )/C324),0)</f>
        <v>6.6666666666666666E-2</v>
      </c>
      <c r="I324" s="984">
        <f>IFERROR((COUNTIFS(Cards!$P$2:$P1023, "*Deathrattle*", Cards!$D$2:$D1023, "Legendary",Cards!$Q$2:$Q1023, "Standard", Cards!$B$2:B1023,B324 )/C324),0)</f>
        <v>0.13333333333333333</v>
      </c>
      <c r="J324" s="982">
        <f>IFERROR((COUNTIFS(Cards!$P$2:$P1023, "*Divine Shield*", Cards!$D$2:$D1023, "Legendary",Cards!$Q$2:$Q1023, "Standard", Cards!$B$2:B1023,B324 )/C324),0)</f>
        <v>0</v>
      </c>
      <c r="K324" s="983">
        <f>IFERROR((COUNTIFS(Cards!$P$2:$P1023, "*Battlecry*", Cards!$D$2:$D1023, "Legendary",Cards!$Q$2:$Q1023, "Standard", Cards!$B$2:B1023,B324 )/C324),0)</f>
        <v>0.33333333333333331</v>
      </c>
    </row>
    <row r="325" spans="1:18" ht="12.75">
      <c r="B325" s="985">
        <v>10</v>
      </c>
      <c r="C325" s="985">
        <f>COUNTIFS(Cards!$B$2:$B1023, B325, Cards!$D$2:$D1023, "Legendary",Cards!$Q$2:$Q1023, "Standard")</f>
        <v>7</v>
      </c>
      <c r="D325" s="986">
        <f>IFERROR((SUMIFS(Cards!$M$2:$M1023, Cards!$B$2:$B1023, B325, Cards!$D$2:$D1023, "Legendary",Cards!$Q$2:$Q1023, "Standard")/C325),0)</f>
        <v>8.4285714285714288</v>
      </c>
      <c r="E325" s="987">
        <f>IFERROR((SUMIFS(Cards!$N$2:$N1023, Cards!$B$2:$B1023, B325, Cards!$D$2:$D1023, "Legendary",Cards!$Q$2:$Q1023, "Standard")/C325),0)</f>
        <v>8.4285714285714288</v>
      </c>
      <c r="F325" s="988">
        <f>IFERROR((COUNTIFS(Cards!$P$2:$P1023, "*Charge*", Cards!$D$2:$D1023, "Legendary",Cards!$Q$2:$Q1023, "Standard", Cards!$B$2:B1023,B325 )/C325),0)</f>
        <v>0</v>
      </c>
      <c r="G325" s="989">
        <f>IFERROR((COUNTIFS(Cards!$P$2:$P1023, "*Taunt*", Cards!$D$2:$D1023, "Legendary",Cards!$Q$2:$Q1023, "Standard", Cards!$B$2:B1023,B325 )/C325),0)</f>
        <v>0</v>
      </c>
      <c r="H325" s="990">
        <f>IFERROR((COUNTIFS(Cards!$P$2:$P1023, "*Spell Damage*", Cards!$D$2:$D1023, "Legendary",Cards!$Q$2:$Q1023, "Standard", Cards!$B$2:B1023,B325 )/C325),0)</f>
        <v>0</v>
      </c>
      <c r="I325" s="991">
        <f>IFERROR((COUNTIFS(Cards!$P$2:$P1023, "*Deathrattle*", Cards!$D$2:$D1023, "Legendary",Cards!$Q$2:$Q1023, "Standard", Cards!$B$2:B1023,B325 )/C325),0)</f>
        <v>0.14285714285714285</v>
      </c>
      <c r="J325" s="989">
        <f>IFERROR((COUNTIFS(Cards!$P$2:$P1023, "*Divine Shield*", Cards!$D$2:$D1023, "Legendary",Cards!$Q$2:$Q1023, "Standard", Cards!$B$2:B1023,B325 )/C325),0)</f>
        <v>0</v>
      </c>
      <c r="K325" s="990">
        <f>IFERROR((COUNTIFS(Cards!$P$2:$P1023, "*Battlecry*", Cards!$D$2:$D1023, "Legendary",Cards!$Q$2:$Q1023, "Standard", Cards!$B$2:B1023,B325 )/C325),0)</f>
        <v>0.7142857142857143</v>
      </c>
    </row>
    <row r="326" spans="1:18" ht="12.75">
      <c r="B326" s="993" t="s">
        <v>2201</v>
      </c>
      <c r="C326" s="994">
        <f>SUM(C315:C325)</f>
        <v>84</v>
      </c>
      <c r="D326" s="995">
        <f>SUMIFS(Cards!$M$2:$M1023, Cards!$D$2:$D1023, "Legendary",Cards!$Q$2:$Q1023, "Standard")/C326</f>
        <v>5.2857142857142856</v>
      </c>
      <c r="E326" s="996">
        <f>SUMIFS(Cards!$N$2:$N1023, Cards!$D$2:$D1023, "Legendary",Cards!$Q$2:$Q1023, "Standard")/C326</f>
        <v>5.916666666666667</v>
      </c>
      <c r="F326" s="997">
        <f>COUNTIFS(Cards!$P$2:$P1023, "*Charge*", Cards!$D$2:$D1023, "Legendary",Cards!$Q$2:$Q1023, "Standard")/C326</f>
        <v>7.1428571428571425E-2</v>
      </c>
      <c r="G326" s="997">
        <f>COUNTIFS(Cards!$P$2:$P1023, "*Taunt*", Cards!$D$2:$D1023, "Legendary",Cards!$Q$2:$Q1023, "Standard")/C326</f>
        <v>8.3333333333333329E-2</v>
      </c>
      <c r="H326" s="997">
        <f>COUNTIFS(Cards!$P$2:$P1023, "*Spell Damage*", Cards!$D$2:$D1023, "Legendary",Cards!$Q$2:$Q1023, "Standard")/C326</f>
        <v>3.5714285714285712E-2</v>
      </c>
      <c r="I326" s="997">
        <f>COUNTIFS(Cards!$P$2:$P1023, "*Deathrattle*", Cards!$D$2:$D1023, "Legendary",Cards!$Q$2:$Q1023, "Standard")/C326</f>
        <v>0.14285714285714285</v>
      </c>
      <c r="J326" s="997">
        <f>COUNTIFS(Cards!$P$2:$P1023, "*Divine Shield*", Cards!$D$2:$D1023, "Legendary",Cards!$Q$2:$Q1023, "Standard")/C326</f>
        <v>1.1904761904761904E-2</v>
      </c>
      <c r="K326" s="998">
        <f>COUNTIFS(Cards!$P$2:$P1023, "*Battlecry*", Cards!$D$2:$D1023, "Legendary",Cards!$Q$2:$Q1023, "Standard")/C326</f>
        <v>0.36904761904761907</v>
      </c>
    </row>
    <row r="328" spans="1:18" ht="12.75">
      <c r="A328" s="992"/>
      <c r="B328" s="1205" t="s">
        <v>2212</v>
      </c>
      <c r="C328" s="1007"/>
      <c r="D328" s="1007"/>
      <c r="E328" s="1007"/>
      <c r="F328" s="1007"/>
      <c r="G328" s="1007"/>
      <c r="H328" s="1007"/>
      <c r="I328" s="1007"/>
      <c r="J328" s="1007"/>
      <c r="K328" s="1007"/>
      <c r="L328" s="992"/>
      <c r="M328" s="992"/>
      <c r="N328" s="992"/>
      <c r="O328" s="992"/>
      <c r="P328" s="992"/>
      <c r="Q328" s="992"/>
      <c r="R328" s="992"/>
    </row>
    <row r="329" spans="1:18" ht="12.75">
      <c r="B329" s="802"/>
    </row>
    <row r="330" spans="1:18" ht="12.75">
      <c r="B330" s="1217" t="s">
        <v>2213</v>
      </c>
      <c r="C330" s="1102"/>
      <c r="D330" s="1102"/>
      <c r="E330" s="1102"/>
      <c r="F330" s="1102"/>
      <c r="G330" s="1102"/>
      <c r="H330" s="1102"/>
      <c r="I330" s="1102"/>
      <c r="J330" s="1102"/>
      <c r="K330" s="1030"/>
    </row>
    <row r="331" spans="1:18" ht="12.75">
      <c r="B331" s="977" t="s">
        <v>2187</v>
      </c>
      <c r="C331" s="977" t="s">
        <v>67</v>
      </c>
      <c r="D331" s="977" t="s">
        <v>2188</v>
      </c>
      <c r="E331" s="977" t="s">
        <v>125</v>
      </c>
      <c r="F331" s="977" t="s">
        <v>295</v>
      </c>
      <c r="G331" s="977" t="s">
        <v>1239</v>
      </c>
      <c r="H331" s="977" t="s">
        <v>2189</v>
      </c>
      <c r="I331" s="977" t="s">
        <v>2190</v>
      </c>
      <c r="J331" s="977" t="s">
        <v>1010</v>
      </c>
      <c r="K331" s="977" t="s">
        <v>2191</v>
      </c>
    </row>
    <row r="332" spans="1:18" ht="12.75">
      <c r="B332" s="978">
        <v>0</v>
      </c>
      <c r="C332" s="978">
        <f>COUNTIFS(Cards!$B$2:$B1023, B332, Cards!$L$2:$L1023, "Demon")</f>
        <v>0</v>
      </c>
      <c r="D332" s="979">
        <f>IFERROR((SUMIFS(Cards!$M$2:$M1023, Cards!$B$2:$B1023, B332, Cards!$L$2:$L1023, "Demon")/C332),0)</f>
        <v>0</v>
      </c>
      <c r="E332" s="980">
        <f>IFERROR((SUMIFS(Cards!$N$2:$N1023, Cards!$B$2:$B1023, B332, Cards!$L$2:$L1023, "Demon")/C332),0)</f>
        <v>0</v>
      </c>
      <c r="F332" s="981">
        <f>IFERROR((COUNTIFS(Cards!$P$2:$P1023, "*Charge*", Cards!$L$2:$L1023, "Demon", Cards!$B$2:B1023,B332 )/C332),0)</f>
        <v>0</v>
      </c>
      <c r="G332" s="982">
        <f>IFERROR((COUNTIFS(Cards!$P$2:$P1023, "*Taunt*", Cards!$L$2:$L1023, "Demon", Cards!$B$2:B1023,B332 )/C332),0)</f>
        <v>0</v>
      </c>
      <c r="H332" s="983">
        <f>IFERROR((COUNTIFS(Cards!$P$2:$P1023, "*Spell Damage*", Cards!$L$2:$L1023, "Demon", Cards!$B$2:B1023,B332 )/C332),0)</f>
        <v>0</v>
      </c>
      <c r="I332" s="984">
        <f>IFERROR((COUNTIFS(Cards!$P$2:$P1023, "*Deathrattle*", Cards!$L$2:$L1023, "Demon", Cards!$B$2:B1023,B332 )/C332),0)</f>
        <v>0</v>
      </c>
      <c r="J332" s="982">
        <f>IFERROR((COUNTIFS(Cards!$P$2:$P1023, "*Divine Shield*", Cards!$L$2:$L1023, "Demon", Cards!$B$2:B1023,B332 )/C332),0)</f>
        <v>0</v>
      </c>
      <c r="K332" s="983">
        <f>IFERROR((COUNTIFS(Cards!$P$2:$P1023, "*Battlecry*", Cards!$L$2:$L1023, "Demon", Cards!$B$2:B1023,B332 )/C332),0)</f>
        <v>0</v>
      </c>
    </row>
    <row r="333" spans="1:18" ht="12.75">
      <c r="B333" s="978">
        <v>1</v>
      </c>
      <c r="C333" s="978">
        <f>COUNTIFS(Cards!$B$2:$B1023, B333, Cards!$L$2:$L1023, "Demon")</f>
        <v>3</v>
      </c>
      <c r="D333" s="979">
        <f>IFERROR((SUMIFS(Cards!$M$2:$M1023, Cards!$B$2:$B1023, B333, Cards!$L$2:$L1023, "Demon")/C333),0)</f>
        <v>1.3333333333333333</v>
      </c>
      <c r="E333" s="980">
        <f>IFERROR((SUMIFS(Cards!$N$2:$N1023, Cards!$B$2:$B1023, B333, Cards!$L$2:$L1023, "Demon")/C333),0)</f>
        <v>2</v>
      </c>
      <c r="F333" s="981">
        <f>IFERROR((COUNTIFS(Cards!$P$2:$P1023, "*Charge*", Cards!$L$2:$L1023, "Demon", Cards!$B$2:B1023,B333 )/C333),0)</f>
        <v>0</v>
      </c>
      <c r="G333" s="982">
        <f>IFERROR((COUNTIFS(Cards!$P$2:$P1023, "*Taunt*", Cards!$L$2:$L1023, "Demon", Cards!$B$2:B1023,B333 )/C333),0)</f>
        <v>0.33333333333333331</v>
      </c>
      <c r="H333" s="983">
        <f>IFERROR((COUNTIFS(Cards!$P$2:$P1023, "*Spell Damage*", Cards!$L$2:$L1023, "Demon", Cards!$B$2:B1023,B333 )/C333),0)</f>
        <v>0</v>
      </c>
      <c r="I333" s="984">
        <f>IFERROR((COUNTIFS(Cards!$P$2:$P1023, "*Deathrattle*", Cards!$L$2:$L1023, "Demon", Cards!$B$2:B1023,B333 )/C333),0)</f>
        <v>0</v>
      </c>
      <c r="J333" s="982">
        <f>IFERROR((COUNTIFS(Cards!$P$2:$P1023, "*Divine Shield*", Cards!$L$2:$L1023, "Demon", Cards!$B$2:B1023,B333 )/C333),0)</f>
        <v>0</v>
      </c>
      <c r="K333" s="983">
        <f>IFERROR((COUNTIFS(Cards!$P$2:$P1023, "*Battlecry*", Cards!$L$2:$L1023, "Demon", Cards!$B$2:B1023,B333 )/C333),0)</f>
        <v>0.33333333333333331</v>
      </c>
    </row>
    <row r="334" spans="1:18" ht="12.75">
      <c r="B334" s="978">
        <v>2</v>
      </c>
      <c r="C334" s="978">
        <f>COUNTIFS(Cards!$B$2:$B1023, B334, Cards!$L$2:$L1023, "Demon")</f>
        <v>4</v>
      </c>
      <c r="D334" s="979">
        <f>IFERROR((SUMIFS(Cards!$M$2:$M1023, Cards!$B$2:$B1023, B334, Cards!$L$2:$L1023, "Demon")/C334),0)</f>
        <v>3</v>
      </c>
      <c r="E334" s="980">
        <f>IFERROR((SUMIFS(Cards!$N$2:$N1023, Cards!$B$2:$B1023, B334, Cards!$L$2:$L1023, "Demon")/C334),0)</f>
        <v>3</v>
      </c>
      <c r="F334" s="981">
        <f>IFERROR((COUNTIFS(Cards!$P$2:$P1023, "*Charge*", Cards!$L$2:$L1023, "Demon", Cards!$B$2:B1023,B334 )/C334),0)</f>
        <v>0</v>
      </c>
      <c r="G334" s="982">
        <f>IFERROR((COUNTIFS(Cards!$P$2:$P1023, "*Taunt*", Cards!$L$2:$L1023, "Demon", Cards!$B$2:B1023,B334 )/C334),0)</f>
        <v>0</v>
      </c>
      <c r="H334" s="983">
        <f>IFERROR((COUNTIFS(Cards!$P$2:$P1023, "*Spell Damage*", Cards!$L$2:$L1023, "Demon", Cards!$B$2:B1023,B334 )/C334),0)</f>
        <v>0</v>
      </c>
      <c r="I334" s="984">
        <f>IFERROR((COUNTIFS(Cards!$P$2:$P1023, "*Deathrattle*", Cards!$L$2:$L1023, "Demon", Cards!$B$2:B1023,B334 )/C334),0)</f>
        <v>0</v>
      </c>
      <c r="J334" s="982">
        <f>IFERROR((COUNTIFS(Cards!$P$2:$P1023, "*Divine Shield*", Cards!$L$2:$L1023, "Demon", Cards!$B$2:B1023,B334 )/C334),0)</f>
        <v>0</v>
      </c>
      <c r="K334" s="983">
        <f>IFERROR((COUNTIFS(Cards!$P$2:$P1023, "*Battlecry*", Cards!$L$2:$L1023, "Demon", Cards!$B$2:B1023,B334 )/C334),0)</f>
        <v>0.25</v>
      </c>
    </row>
    <row r="335" spans="1:18" ht="12.75">
      <c r="B335" s="978">
        <v>3</v>
      </c>
      <c r="C335" s="978">
        <f>COUNTIFS(Cards!$B$2:$B1023, B335, Cards!$L$2:$L1023, "Demon")</f>
        <v>3</v>
      </c>
      <c r="D335" s="979">
        <f>IFERROR((SUMIFS(Cards!$M$2:$M1023, Cards!$B$2:$B1023, B335, Cards!$L$2:$L1023, "Demon")/C335),0)</f>
        <v>2.6666666666666665</v>
      </c>
      <c r="E335" s="980">
        <f>IFERROR((SUMIFS(Cards!$N$2:$N1023, Cards!$B$2:$B1023, B335, Cards!$L$2:$L1023, "Demon")/C335),0)</f>
        <v>4</v>
      </c>
      <c r="F335" s="981">
        <f>IFERROR((COUNTIFS(Cards!$P$2:$P1023, "*Charge*", Cards!$L$2:$L1023, "Demon", Cards!$B$2:B1023,B335 )/C335),0)</f>
        <v>0</v>
      </c>
      <c r="G335" s="982">
        <f>IFERROR((COUNTIFS(Cards!$P$2:$P1023, "*Taunt*", Cards!$L$2:$L1023, "Demon", Cards!$B$2:B1023,B335 )/C335),0)</f>
        <v>0.33333333333333331</v>
      </c>
      <c r="H335" s="983">
        <f>IFERROR((COUNTIFS(Cards!$P$2:$P1023, "*Spell Damage*", Cards!$L$2:$L1023, "Demon", Cards!$B$2:B1023,B335 )/C335),0)</f>
        <v>0</v>
      </c>
      <c r="I335" s="984">
        <f>IFERROR((COUNTIFS(Cards!$P$2:$P1023, "*Deathrattle*", Cards!$L$2:$L1023, "Demon", Cards!$B$2:B1023,B335 )/C335),0)</f>
        <v>0</v>
      </c>
      <c r="J335" s="982">
        <f>IFERROR((COUNTIFS(Cards!$P$2:$P1023, "*Divine Shield*", Cards!$L$2:$L1023, "Demon", Cards!$B$2:B1023,B335 )/C335),0)</f>
        <v>0</v>
      </c>
      <c r="K335" s="983">
        <f>IFERROR((COUNTIFS(Cards!$P$2:$P1023, "*Battlecry*", Cards!$L$2:$L1023, "Demon", Cards!$B$2:B1023,B335 )/C335),0)</f>
        <v>0.33333333333333331</v>
      </c>
    </row>
    <row r="336" spans="1:18" ht="12.75">
      <c r="B336" s="978">
        <v>4</v>
      </c>
      <c r="C336" s="978">
        <f>COUNTIFS(Cards!$B$2:$B1023, B336, Cards!$L$2:$L1023, "Demon")</f>
        <v>3</v>
      </c>
      <c r="D336" s="979">
        <f>IFERROR((SUMIFS(Cards!$M$2:$M1023, Cards!$B$2:$B1023, B336, Cards!$L$2:$L1023, "Demon")/C336),0)</f>
        <v>3</v>
      </c>
      <c r="E336" s="980">
        <f>IFERROR((SUMIFS(Cards!$N$2:$N1023, Cards!$B$2:$B1023, B336, Cards!$L$2:$L1023, "Demon")/C336),0)</f>
        <v>3.6666666666666665</v>
      </c>
      <c r="F336" s="981">
        <f>IFERROR((COUNTIFS(Cards!$P$2:$P1023, "*Charge*", Cards!$L$2:$L1023, "Demon", Cards!$B$2:B1023,B336 )/C336),0)</f>
        <v>0</v>
      </c>
      <c r="G336" s="982">
        <f>IFERROR((COUNTIFS(Cards!$P$2:$P1023, "*Taunt*", Cards!$L$2:$L1023, "Demon", Cards!$B$2:B1023,B336 )/C336),0)</f>
        <v>0</v>
      </c>
      <c r="H336" s="983">
        <f>IFERROR((COUNTIFS(Cards!$P$2:$P1023, "*Spell Damage*", Cards!$L$2:$L1023, "Demon", Cards!$B$2:B1023,B336 )/C336),0)</f>
        <v>0</v>
      </c>
      <c r="I336" s="984">
        <f>IFERROR((COUNTIFS(Cards!$P$2:$P1023, "*Deathrattle*", Cards!$L$2:$L1023, "Demon", Cards!$B$2:B1023,B336 )/C336),0)</f>
        <v>0.66666666666666663</v>
      </c>
      <c r="J336" s="982">
        <f>IFERROR((COUNTIFS(Cards!$P$2:$P1023, "*Divine Shield*", Cards!$L$2:$L1023, "Demon", Cards!$B$2:B1023,B336 )/C336),0)</f>
        <v>0</v>
      </c>
      <c r="K336" s="983">
        <f>IFERROR((COUNTIFS(Cards!$P$2:$P1023, "*Battlecry*", Cards!$L$2:$L1023, "Demon", Cards!$B$2:B1023,B336 )/C336),0)</f>
        <v>0.33333333333333331</v>
      </c>
    </row>
    <row r="337" spans="2:11" ht="12.75">
      <c r="B337" s="978">
        <v>5</v>
      </c>
      <c r="C337" s="978">
        <f>COUNTIFS(Cards!$B$2:$B1023, B337, Cards!$L$2:$L1023, "Demon")</f>
        <v>2</v>
      </c>
      <c r="D337" s="979">
        <f>IFERROR((SUMIFS(Cards!$M$2:$M1023, Cards!$B$2:$B1023, B337, Cards!$L$2:$L1023, "Demon")/C337),0)</f>
        <v>4.5</v>
      </c>
      <c r="E337" s="980">
        <f>IFERROR((SUMIFS(Cards!$N$2:$N1023, Cards!$B$2:$B1023, B337, Cards!$L$2:$L1023, "Demon")/C337),0)</f>
        <v>5.5</v>
      </c>
      <c r="F337" s="981">
        <f>IFERROR((COUNTIFS(Cards!$P$2:$P1023, "*Charge*", Cards!$L$2:$L1023, "Demon", Cards!$B$2:B1023,B337 )/C337),0)</f>
        <v>0.5</v>
      </c>
      <c r="G337" s="982">
        <f>IFERROR((COUNTIFS(Cards!$P$2:$P1023, "*Taunt*", Cards!$L$2:$L1023, "Demon", Cards!$B$2:B1023,B337 )/C337),0)</f>
        <v>0</v>
      </c>
      <c r="H337" s="983">
        <f>IFERROR((COUNTIFS(Cards!$P$2:$P1023, "*Spell Damage*", Cards!$L$2:$L1023, "Demon", Cards!$B$2:B1023,B337 )/C337),0)</f>
        <v>0</v>
      </c>
      <c r="I337" s="984">
        <f>IFERROR((COUNTIFS(Cards!$P$2:$P1023, "*Deathrattle*", Cards!$L$2:$L1023, "Demon", Cards!$B$2:B1023,B337 )/C337),0)</f>
        <v>0</v>
      </c>
      <c r="J337" s="982">
        <f>IFERROR((COUNTIFS(Cards!$P$2:$P1023, "*Divine Shield*", Cards!$L$2:$L1023, "Demon", Cards!$B$2:B1023,B337 )/C337),0)</f>
        <v>0</v>
      </c>
      <c r="K337" s="983">
        <f>IFERROR((COUNTIFS(Cards!$P$2:$P1023, "*Battlecry*", Cards!$L$2:$L1023, "Demon", Cards!$B$2:B1023,B337 )/C337),0)</f>
        <v>0</v>
      </c>
    </row>
    <row r="338" spans="2:11" ht="12.75">
      <c r="B338" s="978">
        <v>6</v>
      </c>
      <c r="C338" s="978">
        <f>COUNTIFS(Cards!$B$2:$B1023, B338, Cards!$L$2:$L1023, "Demon")</f>
        <v>3</v>
      </c>
      <c r="D338" s="979">
        <f>IFERROR((SUMIFS(Cards!$M$2:$M1023, Cards!$B$2:$B1023, B338, Cards!$L$2:$L1023, "Demon")/C338),0)</f>
        <v>6</v>
      </c>
      <c r="E338" s="980">
        <f>IFERROR((SUMIFS(Cards!$N$2:$N1023, Cards!$B$2:$B1023, B338, Cards!$L$2:$L1023, "Demon")/C338),0)</f>
        <v>5</v>
      </c>
      <c r="F338" s="981">
        <f>IFERROR((COUNTIFS(Cards!$P$2:$P1023, "*Charge*", Cards!$L$2:$L1023, "Demon", Cards!$B$2:B1023,B338 )/C338),0)</f>
        <v>0</v>
      </c>
      <c r="G338" s="982">
        <f>IFERROR((COUNTIFS(Cards!$P$2:$P1023, "*Taunt*", Cards!$L$2:$L1023, "Demon", Cards!$B$2:B1023,B338 )/C338),0)</f>
        <v>0</v>
      </c>
      <c r="H338" s="983">
        <f>IFERROR((COUNTIFS(Cards!$P$2:$P1023, "*Spell Damage*", Cards!$L$2:$L1023, "Demon", Cards!$B$2:B1023,B338 )/C338),0)</f>
        <v>0</v>
      </c>
      <c r="I338" s="984">
        <f>IFERROR((COUNTIFS(Cards!$P$2:$P1023, "*Deathrattle*", Cards!$L$2:$L1023, "Demon", Cards!$B$2:B1023,B338 )/C338),0)</f>
        <v>0</v>
      </c>
      <c r="J338" s="982">
        <f>IFERROR((COUNTIFS(Cards!$P$2:$P1023, "*Divine Shield*", Cards!$L$2:$L1023, "Demon", Cards!$B$2:B1023,B338 )/C338),0)</f>
        <v>0</v>
      </c>
      <c r="K338" s="983">
        <f>IFERROR((COUNTIFS(Cards!$P$2:$P1023, "*Battlecry*", Cards!$L$2:$L1023, "Demon", Cards!$B$2:B1023,B338 )/C338),0)</f>
        <v>0.33333333333333331</v>
      </c>
    </row>
    <row r="339" spans="2:11" ht="12.75">
      <c r="B339" s="978">
        <v>7</v>
      </c>
      <c r="C339" s="978">
        <f>COUNTIFS(Cards!$B$2:$B1023, B339, Cards!$L$2:$L1023, "Demon")</f>
        <v>1</v>
      </c>
      <c r="D339" s="979">
        <f>IFERROR((SUMIFS(Cards!$M$2:$M1023, Cards!$B$2:$B1023, B339, Cards!$L$2:$L1023, "Demon")/C339),0)</f>
        <v>6</v>
      </c>
      <c r="E339" s="980">
        <f>IFERROR((SUMIFS(Cards!$N$2:$N1023, Cards!$B$2:$B1023, B339, Cards!$L$2:$L1023, "Demon")/C339),0)</f>
        <v>8</v>
      </c>
      <c r="F339" s="981">
        <f>IFERROR((COUNTIFS(Cards!$P$2:$P1023, "*Charge*", Cards!$L$2:$L1023, "Demon", Cards!$B$2:B1023,B339 )/C339),0)</f>
        <v>0</v>
      </c>
      <c r="G339" s="982">
        <f>IFERROR((COUNTIFS(Cards!$P$2:$P1023, "*Taunt*", Cards!$L$2:$L1023, "Demon", Cards!$B$2:B1023,B339 )/C339),0)</f>
        <v>0</v>
      </c>
      <c r="H339" s="983">
        <f>IFERROR((COUNTIFS(Cards!$P$2:$P1023, "*Spell Damage*", Cards!$L$2:$L1023, "Demon", Cards!$B$2:B1023,B339 )/C339),0)</f>
        <v>0</v>
      </c>
      <c r="I339" s="984">
        <f>IFERROR((COUNTIFS(Cards!$P$2:$P1023, "*Deathrattle*", Cards!$L$2:$L1023, "Demon", Cards!$B$2:B1023,B339 )/C339),0)</f>
        <v>0</v>
      </c>
      <c r="J339" s="982">
        <f>IFERROR((COUNTIFS(Cards!$P$2:$P1023, "*Divine Shield*", Cards!$L$2:$L1023, "Demon", Cards!$B$2:B1023,B339 )/C339),0)</f>
        <v>0</v>
      </c>
      <c r="K339" s="983">
        <f>IFERROR((COUNTIFS(Cards!$P$2:$P1023, "*Battlecry*", Cards!$L$2:$L1023, "Demon", Cards!$B$2:B1023,B339 )/C339),0)</f>
        <v>0</v>
      </c>
    </row>
    <row r="340" spans="2:11" ht="12.75">
      <c r="B340" s="978">
        <v>8</v>
      </c>
      <c r="C340" s="978">
        <f>COUNTIFS(Cards!$B$2:$B1023, B340, Cards!$L$2:$L1023, "Demon")</f>
        <v>0</v>
      </c>
      <c r="D340" s="979">
        <f>IFERROR((SUMIFS(Cards!$M$2:$M1023, Cards!$B$2:$B1023, B340, Cards!$L$2:$L1023, "Demon")/C340),0)</f>
        <v>0</v>
      </c>
      <c r="E340" s="980">
        <f>IFERROR((SUMIFS(Cards!$N$2:$N1023, Cards!$B$2:$B1023, B340, Cards!$L$2:$L1023, "Demon")/C340),0)</f>
        <v>0</v>
      </c>
      <c r="F340" s="981">
        <f>IFERROR((COUNTIFS(Cards!$P$2:$P1023, "*Charge*", Cards!$L$2:$L1023, "Demon", Cards!$B$2:B1023,B340 )/C340),0)</f>
        <v>0</v>
      </c>
      <c r="G340" s="982">
        <f>IFERROR((COUNTIFS(Cards!$P$2:$P1023, "*Taunt*", Cards!$L$2:$L1023, "Demon", Cards!$B$2:B1023,B340 )/C340),0)</f>
        <v>0</v>
      </c>
      <c r="H340" s="983">
        <f>IFERROR((COUNTIFS(Cards!$P$2:$P1023, "*Spell Damage*", Cards!$L$2:$L1023, "Demon", Cards!$B$2:B1023,B340 )/C340),0)</f>
        <v>0</v>
      </c>
      <c r="I340" s="984">
        <f>IFERROR((COUNTIFS(Cards!$P$2:$P1023, "*Deathrattle*", Cards!$L$2:$L1023, "Demon", Cards!$B$2:B1023,B340 )/C340),0)</f>
        <v>0</v>
      </c>
      <c r="J340" s="982">
        <f>IFERROR((COUNTIFS(Cards!$P$2:$P1023, "*Divine Shield*", Cards!$L$2:$L1023, "Demon", Cards!$B$2:B1023,B340 )/C340),0)</f>
        <v>0</v>
      </c>
      <c r="K340" s="983">
        <f>IFERROR((COUNTIFS(Cards!$P$2:$P1023, "*Battlecry*", Cards!$L$2:$L1023, "Demon", Cards!$B$2:B1023,B340 )/C340),0)</f>
        <v>0</v>
      </c>
    </row>
    <row r="341" spans="2:11" ht="12.75">
      <c r="B341" s="978">
        <v>9</v>
      </c>
      <c r="C341" s="978">
        <f>COUNTIFS(Cards!$B$2:$B1023, B341, Cards!$L$2:$L1023, "Demon")</f>
        <v>2</v>
      </c>
      <c r="D341" s="979">
        <f>IFERROR((SUMIFS(Cards!$M$2:$M1023, Cards!$B$2:$B1023, B341, Cards!$L$2:$L1023, "Demon")/C341),0)</f>
        <v>6</v>
      </c>
      <c r="E341" s="980">
        <f>IFERROR((SUMIFS(Cards!$N$2:$N1023, Cards!$B$2:$B1023, B341, Cards!$L$2:$L1023, "Demon")/C341),0)</f>
        <v>11</v>
      </c>
      <c r="F341" s="981">
        <f>IFERROR((COUNTIFS(Cards!$P$2:$P1023, "*Charge*", Cards!$L$2:$L1023, "Demon", Cards!$B$2:B1023,B341 )/C341),0)</f>
        <v>0</v>
      </c>
      <c r="G341" s="982">
        <f>IFERROR((COUNTIFS(Cards!$P$2:$P1023, "*Taunt*", Cards!$L$2:$L1023, "Demon", Cards!$B$2:B1023,B341 )/C341),0)</f>
        <v>0.5</v>
      </c>
      <c r="H341" s="983">
        <f>IFERROR((COUNTIFS(Cards!$P$2:$P1023, "*Spell Damage*", Cards!$L$2:$L1023, "Demon", Cards!$B$2:B1023,B341 )/C341),0)</f>
        <v>0</v>
      </c>
      <c r="I341" s="984">
        <f>IFERROR((COUNTIFS(Cards!$P$2:$P1023, "*Deathrattle*", Cards!$L$2:$L1023, "Demon", Cards!$B$2:B1023,B341 )/C341),0)</f>
        <v>0</v>
      </c>
      <c r="J341" s="982">
        <f>IFERROR((COUNTIFS(Cards!$P$2:$P1023, "*Divine Shield*", Cards!$L$2:$L1023, "Demon", Cards!$B$2:B1023,B341 )/C341),0)</f>
        <v>0</v>
      </c>
      <c r="K341" s="983">
        <f>IFERROR((COUNTIFS(Cards!$P$2:$P1023, "*Battlecry*", Cards!$L$2:$L1023, "Demon", Cards!$B$2:B1023,B341 )/C341),0)</f>
        <v>0.5</v>
      </c>
    </row>
    <row r="342" spans="2:11" ht="12.75">
      <c r="B342" s="985">
        <v>10</v>
      </c>
      <c r="C342" s="985">
        <f>COUNTIFS(Cards!$B$2:$B1023, B342, Cards!$L$2:$L1023, "Demon")</f>
        <v>0</v>
      </c>
      <c r="D342" s="986">
        <f>IFERROR((SUMIFS(Cards!$M$2:$M1023, Cards!$B$2:$B1023, B342, Cards!$L$2:$L1023, "Demon")/C342),0)</f>
        <v>0</v>
      </c>
      <c r="E342" s="987">
        <f>IFERROR((SUMIFS(Cards!$N$2:$N1023, Cards!$B$2:$B1023, B342, Cards!$L$2:$L1023, "Demon")/C342),0)</f>
        <v>0</v>
      </c>
      <c r="F342" s="988">
        <f>IFERROR((COUNTIFS(Cards!$P$2:$P1023, "*Charge*", Cards!$L$2:$L1023, "Demon", Cards!$B$2:B1023,B342 )/C342),0)</f>
        <v>0</v>
      </c>
      <c r="G342" s="989">
        <f>IFERROR((COUNTIFS(Cards!$P$2:$P1023, "*Taunt*", Cards!$L$2:$L1023, "Demon", Cards!$B$2:B1023,B342 )/C342),0)</f>
        <v>0</v>
      </c>
      <c r="H342" s="990">
        <f>IFERROR((COUNTIFS(Cards!$P$2:$P1023, "*Spell Damage*", Cards!$L$2:$L1023, "Demon", Cards!$B$2:B1023,B342 )/C342),0)</f>
        <v>0</v>
      </c>
      <c r="I342" s="991">
        <f>IFERROR((COUNTIFS(Cards!$P$2:$P1023, "*Deathrattle*", Cards!$L$2:$L1023, "Demon", Cards!$B$2:B1023,B342 )/C342),0)</f>
        <v>0</v>
      </c>
      <c r="J342" s="989">
        <f>IFERROR((COUNTIFS(Cards!$P$2:$P1023, "*Divine Shield*", Cards!$L$2:$L1023, "Demon", Cards!$B$2:B1023,B342 )/C342),0)</f>
        <v>0</v>
      </c>
      <c r="K342" s="990">
        <f>IFERROR((COUNTIFS(Cards!$P$2:$P1023, "*Battlecry*", Cards!$L$2:$L1023, "Demon", Cards!$B$2:B1023,B342 )/C342),0)</f>
        <v>0</v>
      </c>
    </row>
    <row r="343" spans="2:11" ht="12.75">
      <c r="B343" s="993" t="s">
        <v>2201</v>
      </c>
      <c r="C343" s="994">
        <f>SUM(C332:C342)</f>
        <v>21</v>
      </c>
      <c r="D343" s="995">
        <f>SUMIFS(Cards!$M$2:$M1023, Cards!$L$2:$L1023, "Demon")/C343</f>
        <v>3.7142857142857144</v>
      </c>
      <c r="E343" s="996">
        <f>SUMIFS(Cards!$N$2:$N1023, Cards!$L$2:$L1023, "Demon")/C343</f>
        <v>4.6190476190476186</v>
      </c>
      <c r="F343" s="997">
        <f>COUNTIFS(Cards!$P$2:$P1023, "*Charge*", Cards!$L$2:$L1023, "Demon")/C343</f>
        <v>4.7619047619047616E-2</v>
      </c>
      <c r="G343" s="997">
        <f>COUNTIFS(Cards!$P$2:$P1023, "*Taunt*", Cards!$L$2:$L1023, "Demon")/C343</f>
        <v>0.14285714285714285</v>
      </c>
      <c r="H343" s="997">
        <f>COUNTIFS(Cards!$P$2:$P1023, "*Spell Damage*", Cards!$L$2:$L1023, "Demon")/C343</f>
        <v>0</v>
      </c>
      <c r="I343" s="997">
        <f>COUNTIFS(Cards!$P$2:$P1023, "*Deathrattle*", Cards!$L$2:$L1023, "Demon")/C343</f>
        <v>9.5238095238095233E-2</v>
      </c>
      <c r="J343" s="997">
        <f>COUNTIFS(Cards!$P$2:$P1023, "*Divine Shield*", Cards!$L$2:$L1023, "Demon")/C343</f>
        <v>0</v>
      </c>
      <c r="K343" s="998">
        <f>COUNTIFS(Cards!$P$2:$P1023, "*Battlecry*", Cards!$L$2:$L1023, "Demon")/C343</f>
        <v>0.2857142857142857</v>
      </c>
    </row>
    <row r="345" spans="2:11" ht="12.75">
      <c r="B345" s="1217" t="s">
        <v>2214</v>
      </c>
      <c r="C345" s="1102"/>
      <c r="D345" s="1102"/>
      <c r="E345" s="1102"/>
      <c r="F345" s="1102"/>
      <c r="G345" s="1102"/>
      <c r="H345" s="1102"/>
      <c r="I345" s="1102"/>
      <c r="J345" s="1102"/>
      <c r="K345" s="1030"/>
    </row>
    <row r="346" spans="2:11" ht="12.75">
      <c r="B346" s="977" t="s">
        <v>2187</v>
      </c>
      <c r="C346" s="977" t="s">
        <v>67</v>
      </c>
      <c r="D346" s="977" t="s">
        <v>2188</v>
      </c>
      <c r="E346" s="977" t="s">
        <v>125</v>
      </c>
      <c r="F346" s="977" t="s">
        <v>295</v>
      </c>
      <c r="G346" s="977" t="s">
        <v>1239</v>
      </c>
      <c r="H346" s="977" t="s">
        <v>2189</v>
      </c>
      <c r="I346" s="977" t="s">
        <v>2190</v>
      </c>
      <c r="J346" s="977" t="s">
        <v>1010</v>
      </c>
      <c r="K346" s="977" t="s">
        <v>2191</v>
      </c>
    </row>
    <row r="347" spans="2:11" ht="12.75">
      <c r="B347" s="978">
        <v>0</v>
      </c>
      <c r="C347" s="978">
        <f>COUNTIFS(Cards!$B$2:$B1023, B347, Cards!$L$2:$L1023, "Demon",Cards!$Q$2:$Q1023, "Standard")</f>
        <v>0</v>
      </c>
      <c r="D347" s="979">
        <f>IFERROR((SUMIFS(Cards!$M$2:$M1023, Cards!$B$2:$B1023, B347, Cards!$L$2:$L1023, "Demon",Cards!$Q$2:$Q1023, "Standard")/C347),0)</f>
        <v>0</v>
      </c>
      <c r="E347" s="980">
        <f>IFERROR((SUMIFS(Cards!$N$2:$N1023, Cards!$B$2:$B1023, B347, Cards!$L$2:$L1023, "Demon",Cards!$Q$2:$Q1023, "Standard")/C347),0)</f>
        <v>0</v>
      </c>
      <c r="F347" s="981">
        <f>IFERROR((COUNTIFS(Cards!$P$2:$P1023, "*Charge*", Cards!$L$2:$L1023, "Demon",Cards!$Q$2:$Q1023, "Standard", Cards!$B$2:B1023,B347 )/C347),0)</f>
        <v>0</v>
      </c>
      <c r="G347" s="982">
        <f>IFERROR((COUNTIFS(Cards!$P$2:$P1023, "*Taunt*", Cards!$L$2:$L1023, "Demon",Cards!$Q$2:$Q1023, "Standard", Cards!$B$2:B1023,B347 )/C347),0)</f>
        <v>0</v>
      </c>
      <c r="H347" s="983">
        <f>IFERROR((COUNTIFS(Cards!$P$2:$P1023, "*Spell Damage*", Cards!$L$2:$L1023, "Demon",Cards!$Q$2:$Q1023, "Standard", Cards!$B$2:B1023,B347 )/C347),0)</f>
        <v>0</v>
      </c>
      <c r="I347" s="984">
        <f>IFERROR((COUNTIFS(Cards!$P$2:$P1023, "*Deathrattle*", Cards!$L$2:$L1023, "Demon",Cards!$Q$2:$Q1023, "Standard", Cards!$B$2:B1023,B347 )/C347),0)</f>
        <v>0</v>
      </c>
      <c r="J347" s="982">
        <f>IFERROR((COUNTIFS(Cards!$P$2:$P1023, "*Divine Shield*", Cards!$L$2:$L1023, "Demon",Cards!$Q$2:$Q1023, "Standard", Cards!$B$2:B1023,B347 )/C347),0)</f>
        <v>0</v>
      </c>
      <c r="K347" s="983">
        <f>IFERROR((COUNTIFS(Cards!$P$2:$P1023, "*Battlecry*", Cards!$L$2:$L1023, "Demon",Cards!$Q$2:$Q1023, "Standard", Cards!$B$2:B1023,B347 )/C347),0)</f>
        <v>0</v>
      </c>
    </row>
    <row r="348" spans="2:11" ht="12.75">
      <c r="B348" s="978">
        <v>1</v>
      </c>
      <c r="C348" s="978">
        <f>COUNTIFS(Cards!$B$2:$B1023, B348, Cards!$L$2:$L1023, "Demon",Cards!$Q$2:$Q1023, "Standard")</f>
        <v>3</v>
      </c>
      <c r="D348" s="979">
        <f>IFERROR((SUMIFS(Cards!$M$2:$M1023, Cards!$B$2:$B1023, B348, Cards!$L$2:$L1023, "Demon",Cards!$Q$2:$Q1023, "Standard")/C348),0)</f>
        <v>1.3333333333333333</v>
      </c>
      <c r="E348" s="980">
        <f>IFERROR((SUMIFS(Cards!$N$2:$N1023, Cards!$B$2:$B1023, B348, Cards!$L$2:$L1023, "Demon",Cards!$Q$2:$Q1023, "Standard")/C348),0)</f>
        <v>2</v>
      </c>
      <c r="F348" s="981">
        <f>IFERROR((COUNTIFS(Cards!$P$2:$P1023, "*Charge*", Cards!$L$2:$L1023, "Demon",Cards!$Q$2:$Q1023, "Standard", Cards!$B$2:B1023,B348 )/C348),0)</f>
        <v>0</v>
      </c>
      <c r="G348" s="982">
        <f>IFERROR((COUNTIFS(Cards!$P$2:$P1023, "*Taunt*", Cards!$L$2:$L1023, "Demon",Cards!$Q$2:$Q1023, "Standard", Cards!$B$2:B1023,B348 )/C348),0)</f>
        <v>0.33333333333333331</v>
      </c>
      <c r="H348" s="983">
        <f>IFERROR((COUNTIFS(Cards!$P$2:$P1023, "*Spell Damage*", Cards!$L$2:$L1023, "Demon",Cards!$Q$2:$Q1023, "Standard", Cards!$B$2:B1023,B348 )/C348),0)</f>
        <v>0</v>
      </c>
      <c r="I348" s="984">
        <f>IFERROR((COUNTIFS(Cards!$P$2:$P1023, "*Deathrattle*", Cards!$L$2:$L1023, "Demon",Cards!$Q$2:$Q1023, "Standard", Cards!$B$2:B1023,B348 )/C348),0)</f>
        <v>0</v>
      </c>
      <c r="J348" s="982">
        <f>IFERROR((COUNTIFS(Cards!$P$2:$P1023, "*Divine Shield*", Cards!$L$2:$L1023, "Demon",Cards!$Q$2:$Q1023, "Standard", Cards!$B$2:B1023,B348 )/C348),0)</f>
        <v>0</v>
      </c>
      <c r="K348" s="983">
        <f>IFERROR((COUNTIFS(Cards!$P$2:$P1023, "*Battlecry*", Cards!$L$2:$L1023, "Demon",Cards!$Q$2:$Q1023, "Standard", Cards!$B$2:B1023,B348 )/C348),0)</f>
        <v>0.33333333333333331</v>
      </c>
    </row>
    <row r="349" spans="2:11" ht="12.75">
      <c r="B349" s="978">
        <v>2</v>
      </c>
      <c r="C349" s="978">
        <f>COUNTIFS(Cards!$B$2:$B1023, B349, Cards!$L$2:$L1023, "Demon",Cards!$Q$2:$Q1023, "Standard")</f>
        <v>3</v>
      </c>
      <c r="D349" s="979">
        <f>IFERROR((SUMIFS(Cards!$M$2:$M1023, Cards!$B$2:$B1023, B349, Cards!$L$2:$L1023, "Demon",Cards!$Q$2:$Q1023, "Standard")/C349),0)</f>
        <v>3.6666666666666665</v>
      </c>
      <c r="E349" s="980">
        <f>IFERROR((SUMIFS(Cards!$N$2:$N1023, Cards!$B$2:$B1023, B349, Cards!$L$2:$L1023, "Demon",Cards!$Q$2:$Q1023, "Standard")/C349),0)</f>
        <v>2.6666666666666665</v>
      </c>
      <c r="F349" s="981">
        <f>IFERROR((COUNTIFS(Cards!$P$2:$P1023, "*Charge*", Cards!$L$2:$L1023, "Demon",Cards!$Q$2:$Q1023, "Standard", Cards!$B$2:B1023,B349 )/C349),0)</f>
        <v>0</v>
      </c>
      <c r="G349" s="982">
        <f>IFERROR((COUNTIFS(Cards!$P$2:$P1023, "*Taunt*", Cards!$L$2:$L1023, "Demon",Cards!$Q$2:$Q1023, "Standard", Cards!$B$2:B1023,B349 )/C349),0)</f>
        <v>0</v>
      </c>
      <c r="H349" s="983">
        <f>IFERROR((COUNTIFS(Cards!$P$2:$P1023, "*Spell Damage*", Cards!$L$2:$L1023, "Demon",Cards!$Q$2:$Q1023, "Standard", Cards!$B$2:B1023,B349 )/C349),0)</f>
        <v>0</v>
      </c>
      <c r="I349" s="984">
        <f>IFERROR((COUNTIFS(Cards!$P$2:$P1023, "*Deathrattle*", Cards!$L$2:$L1023, "Demon",Cards!$Q$2:$Q1023, "Standard", Cards!$B$2:B1023,B349 )/C349),0)</f>
        <v>0</v>
      </c>
      <c r="J349" s="982">
        <f>IFERROR((COUNTIFS(Cards!$P$2:$P1023, "*Divine Shield*", Cards!$L$2:$L1023, "Demon",Cards!$Q$2:$Q1023, "Standard", Cards!$B$2:B1023,B349 )/C349),0)</f>
        <v>0</v>
      </c>
      <c r="K349" s="983">
        <f>IFERROR((COUNTIFS(Cards!$P$2:$P1023, "*Battlecry*", Cards!$L$2:$L1023, "Demon",Cards!$Q$2:$Q1023, "Standard", Cards!$B$2:B1023,B349 )/C349),0)</f>
        <v>0.33333333333333331</v>
      </c>
    </row>
    <row r="350" spans="2:11" ht="12.75">
      <c r="B350" s="978">
        <v>3</v>
      </c>
      <c r="C350" s="978">
        <f>COUNTIFS(Cards!$B$2:$B1023, B350, Cards!$L$2:$L1023, "Demon",Cards!$Q$2:$Q1023, "Standard")</f>
        <v>3</v>
      </c>
      <c r="D350" s="979">
        <f>IFERROR((SUMIFS(Cards!$M$2:$M1023, Cards!$B$2:$B1023, B350, Cards!$L$2:$L1023, "Demon",Cards!$Q$2:$Q1023, "Standard")/C350),0)</f>
        <v>2.6666666666666665</v>
      </c>
      <c r="E350" s="980">
        <f>IFERROR((SUMIFS(Cards!$N$2:$N1023, Cards!$B$2:$B1023, B350, Cards!$L$2:$L1023, "Demon",Cards!$Q$2:$Q1023, "Standard")/C350),0)</f>
        <v>4</v>
      </c>
      <c r="F350" s="981">
        <f>IFERROR((COUNTIFS(Cards!$P$2:$P1023, "*Charge*", Cards!$L$2:$L1023, "Demon",Cards!$Q$2:$Q1023, "Standard", Cards!$B$2:B1023,B350 )/C350),0)</f>
        <v>0</v>
      </c>
      <c r="G350" s="982">
        <f>IFERROR((COUNTIFS(Cards!$P$2:$P1023, "*Taunt*", Cards!$L$2:$L1023, "Demon",Cards!$Q$2:$Q1023, "Standard", Cards!$B$2:B1023,B350 )/C350),0)</f>
        <v>0.33333333333333331</v>
      </c>
      <c r="H350" s="983">
        <f>IFERROR((COUNTIFS(Cards!$P$2:$P1023, "*Spell Damage*", Cards!$L$2:$L1023, "Demon",Cards!$Q$2:$Q1023, "Standard", Cards!$B$2:B1023,B350 )/C350),0)</f>
        <v>0</v>
      </c>
      <c r="I350" s="984">
        <f>IFERROR((COUNTIFS(Cards!$P$2:$P1023, "*Deathrattle*", Cards!$L$2:$L1023, "Demon",Cards!$Q$2:$Q1023, "Standard", Cards!$B$2:B1023,B350 )/C350),0)</f>
        <v>0</v>
      </c>
      <c r="J350" s="982">
        <f>IFERROR((COUNTIFS(Cards!$P$2:$P1023, "*Divine Shield*", Cards!$L$2:$L1023, "Demon",Cards!$Q$2:$Q1023, "Standard", Cards!$B$2:B1023,B350 )/C350),0)</f>
        <v>0</v>
      </c>
      <c r="K350" s="983">
        <f>IFERROR((COUNTIFS(Cards!$P$2:$P1023, "*Battlecry*", Cards!$L$2:$L1023, "Demon",Cards!$Q$2:$Q1023, "Standard", Cards!$B$2:B1023,B350 )/C350),0)</f>
        <v>0.33333333333333331</v>
      </c>
    </row>
    <row r="351" spans="2:11" ht="12.75">
      <c r="B351" s="978">
        <v>4</v>
      </c>
      <c r="C351" s="978">
        <f>COUNTIFS(Cards!$B$2:$B1023, B351, Cards!$L$2:$L1023, "Demon",Cards!$Q$2:$Q1023, "Standard")</f>
        <v>2</v>
      </c>
      <c r="D351" s="979">
        <f>IFERROR((SUMIFS(Cards!$M$2:$M1023, Cards!$B$2:$B1023, B351, Cards!$L$2:$L1023, "Demon",Cards!$Q$2:$Q1023, "Standard")/C351),0)</f>
        <v>3</v>
      </c>
      <c r="E351" s="980">
        <f>IFERROR((SUMIFS(Cards!$N$2:$N1023, Cards!$B$2:$B1023, B351, Cards!$L$2:$L1023, "Demon",Cards!$Q$2:$Q1023, "Standard")/C351),0)</f>
        <v>3.5</v>
      </c>
      <c r="F351" s="981">
        <f>IFERROR((COUNTIFS(Cards!$P$2:$P1023, "*Charge*", Cards!$L$2:$L1023, "Demon",Cards!$Q$2:$Q1023, "Standard", Cards!$B$2:B1023,B351 )/C351),0)</f>
        <v>0</v>
      </c>
      <c r="G351" s="982">
        <f>IFERROR((COUNTIFS(Cards!$P$2:$P1023, "*Taunt*", Cards!$L$2:$L1023, "Demon",Cards!$Q$2:$Q1023, "Standard", Cards!$B$2:B1023,B351 )/C351),0)</f>
        <v>0</v>
      </c>
      <c r="H351" s="983">
        <f>IFERROR((COUNTIFS(Cards!$P$2:$P1023, "*Spell Damage*", Cards!$L$2:$L1023, "Demon",Cards!$Q$2:$Q1023, "Standard", Cards!$B$2:B1023,B351 )/C351),0)</f>
        <v>0</v>
      </c>
      <c r="I351" s="984">
        <f>IFERROR((COUNTIFS(Cards!$P$2:$P1023, "*Deathrattle*", Cards!$L$2:$L1023, "Demon",Cards!$Q$2:$Q1023, "Standard", Cards!$B$2:B1023,B351 )/C351),0)</f>
        <v>0.5</v>
      </c>
      <c r="J351" s="982">
        <f>IFERROR((COUNTIFS(Cards!$P$2:$P1023, "*Divine Shield*", Cards!$L$2:$L1023, "Demon",Cards!$Q$2:$Q1023, "Standard", Cards!$B$2:B1023,B351 )/C351),0)</f>
        <v>0</v>
      </c>
      <c r="K351" s="983">
        <f>IFERROR((COUNTIFS(Cards!$P$2:$P1023, "*Battlecry*", Cards!$L$2:$L1023, "Demon",Cards!$Q$2:$Q1023, "Standard", Cards!$B$2:B1023,B351 )/C351),0)</f>
        <v>0.5</v>
      </c>
    </row>
    <row r="352" spans="2:11" ht="12.75">
      <c r="B352" s="978">
        <v>5</v>
      </c>
      <c r="C352" s="978">
        <f>COUNTIFS(Cards!$B$2:$B1023, B352, Cards!$L$2:$L1023, "Demon",Cards!$Q$2:$Q1023, "Standard")</f>
        <v>1</v>
      </c>
      <c r="D352" s="979">
        <f>IFERROR((SUMIFS(Cards!$M$2:$M1023, Cards!$B$2:$B1023, B352, Cards!$L$2:$L1023, "Demon",Cards!$Q$2:$Q1023, "Standard")/C352),0)</f>
        <v>5</v>
      </c>
      <c r="E352" s="980">
        <f>IFERROR((SUMIFS(Cards!$N$2:$N1023, Cards!$B$2:$B1023, B352, Cards!$L$2:$L1023, "Demon",Cards!$Q$2:$Q1023, "Standard")/C352),0)</f>
        <v>7</v>
      </c>
      <c r="F352" s="981">
        <f>IFERROR((COUNTIFS(Cards!$P$2:$P1023, "*Charge*", Cards!$L$2:$L1023, "Demon",Cards!$Q$2:$Q1023, "Standard", Cards!$B$2:B1023,B352 )/C352),0)</f>
        <v>1</v>
      </c>
      <c r="G352" s="982">
        <f>IFERROR((COUNTIFS(Cards!$P$2:$P1023, "*Taunt*", Cards!$L$2:$L1023, "Demon",Cards!$Q$2:$Q1023, "Standard", Cards!$B$2:B1023,B352 )/C352),0)</f>
        <v>0</v>
      </c>
      <c r="H352" s="983">
        <f>IFERROR((COUNTIFS(Cards!$P$2:$P1023, "*Spell Damage*", Cards!$L$2:$L1023, "Demon",Cards!$Q$2:$Q1023, "Standard", Cards!$B$2:B1023,B352 )/C352),0)</f>
        <v>0</v>
      </c>
      <c r="I352" s="984">
        <f>IFERROR((COUNTIFS(Cards!$P$2:$P1023, "*Deathrattle*", Cards!$L$2:$L1023, "Demon",Cards!$Q$2:$Q1023, "Standard", Cards!$B$2:B1023,B352 )/C352),0)</f>
        <v>0</v>
      </c>
      <c r="J352" s="982">
        <f>IFERROR((COUNTIFS(Cards!$P$2:$P1023, "*Divine Shield*", Cards!$L$2:$L1023, "Demon",Cards!$Q$2:$Q1023, "Standard", Cards!$B$2:B1023,B352 )/C352),0)</f>
        <v>0</v>
      </c>
      <c r="K352" s="983">
        <f>IFERROR((COUNTIFS(Cards!$P$2:$P1023, "*Battlecry*", Cards!$L$2:$L1023, "Demon",Cards!$Q$2:$Q1023, "Standard", Cards!$B$2:B1023,B352 )/C352),0)</f>
        <v>0</v>
      </c>
    </row>
    <row r="353" spans="1:19" ht="12.75">
      <c r="B353" s="978">
        <v>6</v>
      </c>
      <c r="C353" s="978">
        <f>COUNTIFS(Cards!$B$2:$B1023, B353, Cards!$L$2:$L1023, "Demon",Cards!$Q$2:$Q1023, "Standard")</f>
        <v>3</v>
      </c>
      <c r="D353" s="979">
        <f>IFERROR((SUMIFS(Cards!$M$2:$M1023, Cards!$B$2:$B1023, B353, Cards!$L$2:$L1023, "Demon",Cards!$Q$2:$Q1023, "Standard")/C353),0)</f>
        <v>6</v>
      </c>
      <c r="E353" s="980">
        <f>IFERROR((SUMIFS(Cards!$N$2:$N1023, Cards!$B$2:$B1023, B353, Cards!$L$2:$L1023, "Demon",Cards!$Q$2:$Q1023, "Standard")/C353),0)</f>
        <v>5</v>
      </c>
      <c r="F353" s="981">
        <f>IFERROR((COUNTIFS(Cards!$P$2:$P1023, "*Charge*", Cards!$L$2:$L1023, "Demon",Cards!$Q$2:$Q1023, "Standard", Cards!$B$2:B1023,B353 )/C353),0)</f>
        <v>0</v>
      </c>
      <c r="G353" s="982">
        <f>IFERROR((COUNTIFS(Cards!$P$2:$P1023, "*Taunt*", Cards!$L$2:$L1023, "Demon",Cards!$Q$2:$Q1023, "Standard", Cards!$B$2:B1023,B353 )/C353),0)</f>
        <v>0</v>
      </c>
      <c r="H353" s="983">
        <f>IFERROR((COUNTIFS(Cards!$P$2:$P1023, "*Spell Damage*", Cards!$L$2:$L1023, "Demon",Cards!$Q$2:$Q1023, "Standard", Cards!$B$2:B1023,B353 )/C353),0)</f>
        <v>0</v>
      </c>
      <c r="I353" s="984">
        <f>IFERROR((COUNTIFS(Cards!$P$2:$P1023, "*Deathrattle*", Cards!$L$2:$L1023, "Demon",Cards!$Q$2:$Q1023, "Standard", Cards!$B$2:B1023,B353 )/C353),0)</f>
        <v>0</v>
      </c>
      <c r="J353" s="982">
        <f>IFERROR((COUNTIFS(Cards!$P$2:$P1023, "*Divine Shield*", Cards!$L$2:$L1023, "Demon",Cards!$Q$2:$Q1023, "Standard", Cards!$B$2:B1023,B353 )/C353),0)</f>
        <v>0</v>
      </c>
      <c r="K353" s="983">
        <f>IFERROR((COUNTIFS(Cards!$P$2:$P1023, "*Battlecry*", Cards!$L$2:$L1023, "Demon",Cards!$Q$2:$Q1023, "Standard", Cards!$B$2:B1023,B353 )/C353),0)</f>
        <v>0.33333333333333331</v>
      </c>
    </row>
    <row r="354" spans="1:19" ht="12.75">
      <c r="B354" s="978">
        <v>7</v>
      </c>
      <c r="C354" s="978">
        <f>COUNTIFS(Cards!$B$2:$B1023, B354, Cards!$L$2:$L1023, "Demon",Cards!$Q$2:$Q1023, "Standard")</f>
        <v>1</v>
      </c>
      <c r="D354" s="979">
        <f>IFERROR((SUMIFS(Cards!$M$2:$M1023, Cards!$B$2:$B1023, B354, Cards!$L$2:$L1023, "Demon",Cards!$Q$2:$Q1023, "Standard")/C354),0)</f>
        <v>6</v>
      </c>
      <c r="E354" s="980">
        <f>IFERROR((SUMIFS(Cards!$N$2:$N1023, Cards!$B$2:$B1023, B354, Cards!$L$2:$L1023, "Demon",Cards!$Q$2:$Q1023, "Standard")/C354),0)</f>
        <v>8</v>
      </c>
      <c r="F354" s="981">
        <f>IFERROR((COUNTIFS(Cards!$P$2:$P1023, "*Charge*", Cards!$L$2:$L1023, "Demon",Cards!$Q$2:$Q1023, "Standard", Cards!$B$2:B1023,B354 )/C354),0)</f>
        <v>0</v>
      </c>
      <c r="G354" s="982">
        <f>IFERROR((COUNTIFS(Cards!$P$2:$P1023, "*Taunt*", Cards!$L$2:$L1023, "Demon",Cards!$Q$2:$Q1023, "Standard", Cards!$B$2:B1023,B354 )/C354),0)</f>
        <v>0</v>
      </c>
      <c r="H354" s="983">
        <f>IFERROR((COUNTIFS(Cards!$P$2:$P1023, "*Spell Damage*", Cards!$L$2:$L1023, "Demon",Cards!$Q$2:$Q1023, "Standard", Cards!$B$2:B1023,B354 )/C354),0)</f>
        <v>0</v>
      </c>
      <c r="I354" s="984">
        <f>IFERROR((COUNTIFS(Cards!$P$2:$P1023, "*Deathrattle*", Cards!$L$2:$L1023, "Demon",Cards!$Q$2:$Q1023, "Standard", Cards!$B$2:B1023,B354 )/C354),0)</f>
        <v>0</v>
      </c>
      <c r="J354" s="982">
        <f>IFERROR((COUNTIFS(Cards!$P$2:$P1023, "*Divine Shield*", Cards!$L$2:$L1023, "Demon",Cards!$Q$2:$Q1023, "Standard", Cards!$B$2:B1023,B354 )/C354),0)</f>
        <v>0</v>
      </c>
      <c r="K354" s="983">
        <f>IFERROR((COUNTIFS(Cards!$P$2:$P1023, "*Battlecry*", Cards!$L$2:$L1023, "Demon",Cards!$Q$2:$Q1023, "Standard", Cards!$B$2:B1023,B354 )/C354),0)</f>
        <v>0</v>
      </c>
    </row>
    <row r="355" spans="1:19" ht="12.75">
      <c r="B355" s="978">
        <v>8</v>
      </c>
      <c r="C355" s="978">
        <f>COUNTIFS(Cards!$B$2:$B1023, B355, Cards!$L$2:$L1023, "Demon",Cards!$Q$2:$Q1023, "Standard")</f>
        <v>0</v>
      </c>
      <c r="D355" s="979">
        <f>IFERROR((SUMIFS(Cards!$M$2:$M1023, Cards!$B$2:$B1023, B355, Cards!$L$2:$L1023, "Demon",Cards!$Q$2:$Q1023, "Standard")/C355),0)</f>
        <v>0</v>
      </c>
      <c r="E355" s="980">
        <f>IFERROR((SUMIFS(Cards!$N$2:$N1023, Cards!$B$2:$B1023, B355, Cards!$L$2:$L1023, "Demon",Cards!$Q$2:$Q1023, "Standard")/C355),0)</f>
        <v>0</v>
      </c>
      <c r="F355" s="981">
        <f>IFERROR((COUNTIFS(Cards!$P$2:$P1023, "*Charge*", Cards!$L$2:$L1023, "Demon",Cards!$Q$2:$Q1023, "Standard", Cards!$B$2:B1023,B355 )/C355),0)</f>
        <v>0</v>
      </c>
      <c r="G355" s="982">
        <f>IFERROR((COUNTIFS(Cards!$P$2:$P1023, "*Taunt*", Cards!$L$2:$L1023, "Demon",Cards!$Q$2:$Q1023, "Standard", Cards!$B$2:B1023,B355 )/C355),0)</f>
        <v>0</v>
      </c>
      <c r="H355" s="983">
        <f>IFERROR((COUNTIFS(Cards!$P$2:$P1023, "*Spell Damage*", Cards!$L$2:$L1023, "Demon",Cards!$Q$2:$Q1023, "Standard", Cards!$B$2:B1023,B355 )/C355),0)</f>
        <v>0</v>
      </c>
      <c r="I355" s="984">
        <f>IFERROR((COUNTIFS(Cards!$P$2:$P1023, "*Deathrattle*", Cards!$L$2:$L1023, "Demon",Cards!$Q$2:$Q1023, "Standard", Cards!$B$2:B1023,B355 )/C355),0)</f>
        <v>0</v>
      </c>
      <c r="J355" s="982">
        <f>IFERROR((COUNTIFS(Cards!$P$2:$P1023, "*Divine Shield*", Cards!$L$2:$L1023, "Demon",Cards!$Q$2:$Q1023, "Standard", Cards!$B$2:B1023,B355 )/C355),0)</f>
        <v>0</v>
      </c>
      <c r="K355" s="983">
        <f>IFERROR((COUNTIFS(Cards!$P$2:$P1023, "*Battlecry*", Cards!$L$2:$L1023, "Demon",Cards!$Q$2:$Q1023, "Standard", Cards!$B$2:B1023,B355 )/C355),0)</f>
        <v>0</v>
      </c>
    </row>
    <row r="356" spans="1:19" ht="12.75">
      <c r="B356" s="978">
        <v>9</v>
      </c>
      <c r="C356" s="978">
        <f>COUNTIFS(Cards!$B$2:$B1023, B356, Cards!$L$2:$L1023, "Demon",Cards!$Q$2:$Q1023, "Standard")</f>
        <v>1</v>
      </c>
      <c r="D356" s="979">
        <f>IFERROR((SUMIFS(Cards!$M$2:$M1023, Cards!$B$2:$B1023, B356, Cards!$L$2:$L1023, "Demon",Cards!$Q$2:$Q1023, "Standard")/C356),0)</f>
        <v>3</v>
      </c>
      <c r="E356" s="980">
        <f>IFERROR((SUMIFS(Cards!$N$2:$N1023, Cards!$B$2:$B1023, B356, Cards!$L$2:$L1023, "Demon",Cards!$Q$2:$Q1023, "Standard")/C356),0)</f>
        <v>15</v>
      </c>
      <c r="F356" s="981">
        <f>IFERROR((COUNTIFS(Cards!$P$2:$P1023, "*Charge*", Cards!$L$2:$L1023, "Demon",Cards!$Q$2:$Q1023, "Standard", Cards!$B$2:B1023,B356 )/C356),0)</f>
        <v>0</v>
      </c>
      <c r="G356" s="982">
        <f>IFERROR((COUNTIFS(Cards!$P$2:$P1023, "*Taunt*", Cards!$L$2:$L1023, "Demon",Cards!$Q$2:$Q1023, "Standard", Cards!$B$2:B1023,B356 )/C356),0)</f>
        <v>0</v>
      </c>
      <c r="H356" s="983">
        <f>IFERROR((COUNTIFS(Cards!$P$2:$P1023, "*Spell Damage*", Cards!$L$2:$L1023, "Demon",Cards!$Q$2:$Q1023, "Standard", Cards!$B$2:B1023,B356 )/C356),0)</f>
        <v>0</v>
      </c>
      <c r="I356" s="984">
        <f>IFERROR((COUNTIFS(Cards!$P$2:$P1023, "*Deathrattle*", Cards!$L$2:$L1023, "Demon",Cards!$Q$2:$Q1023, "Standard", Cards!$B$2:B1023,B356 )/C356),0)</f>
        <v>0</v>
      </c>
      <c r="J356" s="982">
        <f>IFERROR((COUNTIFS(Cards!$P$2:$P1023, "*Divine Shield*", Cards!$L$2:$L1023, "Demon",Cards!$Q$2:$Q1023, "Standard", Cards!$B$2:B1023,B356 )/C356),0)</f>
        <v>0</v>
      </c>
      <c r="K356" s="983">
        <f>IFERROR((COUNTIFS(Cards!$P$2:$P1023, "*Battlecry*", Cards!$L$2:$L1023, "Demon",Cards!$Q$2:$Q1023, "Standard", Cards!$B$2:B1023,B356 )/C356),0)</f>
        <v>1</v>
      </c>
    </row>
    <row r="357" spans="1:19" ht="12.75">
      <c r="B357" s="985">
        <v>10</v>
      </c>
      <c r="C357" s="985">
        <f>COUNTIFS(Cards!$B$2:$B1023, B357, Cards!$L$2:$L1023, "Demon",Cards!$Q$2:$Q1023, "Standard")</f>
        <v>0</v>
      </c>
      <c r="D357" s="986">
        <f>IFERROR((SUMIFS(Cards!$M$2:$M1023, Cards!$B$2:$B1023, B357, Cards!$L$2:$L1023, "Demon",Cards!$Q$2:$Q1023, "Standard")/C357),0)</f>
        <v>0</v>
      </c>
      <c r="E357" s="987">
        <f>IFERROR((SUMIFS(Cards!$N$2:$N1023, Cards!$B$2:$B1023, B357, Cards!$L$2:$L1023, "Demon",Cards!$Q$2:$Q1023, "Standard")/C357),0)</f>
        <v>0</v>
      </c>
      <c r="F357" s="988">
        <f>IFERROR((COUNTIFS(Cards!$P$2:$P1023, "*Charge*", Cards!$L$2:$L1023, "Demon",Cards!$Q$2:$Q1023, "Standard", Cards!$B$2:B1023,B357 )/C357),0)</f>
        <v>0</v>
      </c>
      <c r="G357" s="989">
        <f>IFERROR((COUNTIFS(Cards!$P$2:$P1023, "*Taunt*", Cards!$L$2:$L1023, "Demon",Cards!$Q$2:$Q1023, "Standard", Cards!$B$2:B1023,B357 )/C357),0)</f>
        <v>0</v>
      </c>
      <c r="H357" s="990">
        <f>IFERROR((COUNTIFS(Cards!$P$2:$P1023, "*Spell Damage*", Cards!$L$2:$L1023, "Demon",Cards!$Q$2:$Q1023, "Standard", Cards!$B$2:B1023,B357 )/C357),0)</f>
        <v>0</v>
      </c>
      <c r="I357" s="991">
        <f>IFERROR((COUNTIFS(Cards!$P$2:$P1023, "*Deathrattle*", Cards!$L$2:$L1023, "Demon",Cards!$Q$2:$Q1023, "Standard", Cards!$B$2:B1023,B357 )/C357),0)</f>
        <v>0</v>
      </c>
      <c r="J357" s="989">
        <f>IFERROR((COUNTIFS(Cards!$P$2:$P1023, "*Divine Shield*", Cards!$L$2:$L1023, "Demon",Cards!$Q$2:$Q1023, "Standard", Cards!$B$2:B1023,B357 )/C357),0)</f>
        <v>0</v>
      </c>
      <c r="K357" s="990">
        <f>IFERROR((COUNTIFS(Cards!$P$2:$P1023, "*Battlecry*", Cards!$L$2:$L1023, "Demon",Cards!$Q$2:$Q1023, "Standard", Cards!$B$2:B1023,B357 )/C357),0)</f>
        <v>0</v>
      </c>
    </row>
    <row r="358" spans="1:19" ht="12.75">
      <c r="B358" s="993" t="s">
        <v>2201</v>
      </c>
      <c r="C358" s="994">
        <f>SUM(C347:C357)</f>
        <v>17</v>
      </c>
      <c r="D358" s="995">
        <f>SUMIFS(Cards!$M$2:$M1023, Cards!$L$2:$L1023, "Demon",Cards!$Q$2:$Q1023, "Standard")/C358</f>
        <v>3.5882352941176472</v>
      </c>
      <c r="E358" s="996">
        <f>SUMIFS(Cards!$N$2:$N1023, Cards!$L$2:$L1023, "Demon",Cards!$Q$2:$Q1023, "Standard")/C358</f>
        <v>4.5882352941176467</v>
      </c>
      <c r="F358" s="997">
        <f>COUNTIFS(Cards!$P$2:$P1023, "*Charge*", Cards!$L$2:$L1023, "Demon",Cards!$Q$2:$Q1023, "Standard")/C358</f>
        <v>5.8823529411764705E-2</v>
      </c>
      <c r="G358" s="997">
        <f>COUNTIFS(Cards!$P$2:$P1023, "*Taunt*", Cards!$L$2:$L1023, "Demon",Cards!$Q$2:$Q1023, "Standard")/C358</f>
        <v>0.11764705882352941</v>
      </c>
      <c r="H358" s="997">
        <f>COUNTIFS(Cards!$P$2:$P1023, "*Spell Damage*", Cards!$L$2:$L1023, "Demon",Cards!$Q$2:$Q1023, "Standard")/C358</f>
        <v>0</v>
      </c>
      <c r="I358" s="997">
        <f>COUNTIFS(Cards!$P$2:$P1023, "*Deathrattle*", Cards!$L$2:$L1023, "Demon",Cards!$Q$2:$Q1023, "Standard")/C358</f>
        <v>5.8823529411764705E-2</v>
      </c>
      <c r="J358" s="997">
        <f>COUNTIFS(Cards!$P$2:$P1023, "*Divine Shield*", Cards!$L$2:$L1023, "Demon",Cards!$Q$2:$Q1023, "Standard")/C358</f>
        <v>0</v>
      </c>
      <c r="K358" s="998">
        <f>COUNTIFS(Cards!$P$2:$P1023, "*Battlecry*", Cards!$L$2:$L1023, "Demon",Cards!$Q$2:$Q1023, "Standard")/C358</f>
        <v>0.35294117647058826</v>
      </c>
    </row>
    <row r="360" spans="1:19" ht="12.75">
      <c r="A360" s="992"/>
      <c r="B360" s="1205" t="s">
        <v>2215</v>
      </c>
      <c r="C360" s="1007"/>
      <c r="D360" s="1007"/>
      <c r="E360" s="1007"/>
      <c r="F360" s="1007"/>
      <c r="G360" s="1007"/>
      <c r="H360" s="1007"/>
      <c r="I360" s="1007"/>
      <c r="J360" s="1007"/>
      <c r="K360" s="1007"/>
      <c r="L360" s="992"/>
      <c r="M360" s="992"/>
      <c r="N360" s="992"/>
      <c r="O360" s="992"/>
      <c r="P360" s="992"/>
      <c r="Q360" s="992"/>
      <c r="R360" s="992"/>
    </row>
    <row r="361" spans="1:19" ht="12.75">
      <c r="B361" s="802"/>
    </row>
    <row r="362" spans="1:19" ht="12.75">
      <c r="B362" s="1217" t="s">
        <v>2216</v>
      </c>
      <c r="C362" s="1102"/>
      <c r="D362" s="1102"/>
      <c r="E362" s="1102"/>
      <c r="F362" s="1102"/>
      <c r="G362" s="1102"/>
      <c r="H362" s="1102"/>
      <c r="I362" s="1102"/>
      <c r="J362" s="1102"/>
      <c r="K362" s="1030"/>
    </row>
    <row r="363" spans="1:19" ht="12.75">
      <c r="B363" s="977" t="s">
        <v>2187</v>
      </c>
      <c r="C363" s="977" t="s">
        <v>67</v>
      </c>
      <c r="D363" s="977" t="s">
        <v>2188</v>
      </c>
      <c r="E363" s="977" t="s">
        <v>125</v>
      </c>
      <c r="F363" s="977" t="s">
        <v>295</v>
      </c>
      <c r="G363" s="977" t="s">
        <v>1239</v>
      </c>
      <c r="H363" s="977" t="s">
        <v>2189</v>
      </c>
      <c r="I363" s="977" t="s">
        <v>2190</v>
      </c>
      <c r="J363" s="977" t="s">
        <v>1010</v>
      </c>
      <c r="K363" s="977" t="s">
        <v>2191</v>
      </c>
    </row>
    <row r="364" spans="1:19" ht="12.75">
      <c r="B364" s="978">
        <v>0</v>
      </c>
      <c r="C364" s="999">
        <f>COUNTIFS(Cards!$B$2:$B1023, B364, Cards!$F$2:$F1023, "Priest",Cards!$K$2:$K1023, "Minion", Cards!$P$2:$P1023, "*Deathrattle*")+COUNTIFS(Cards!$B$2:$B1023, B364, Cards!$F$2:$F1023, "Neutral",Cards!$K$2:$K1023, "Minion", Cards!$P$2:$P1023, "*Deathrattle*")</f>
        <v>0</v>
      </c>
      <c r="D364" s="979">
        <f>IFERROR(((SUMIFS(Cards!$M$2:$M1023, Cards!$B$2:$B1023, B364, Cards!$F$2:$F1023, "Priest",Cards!$K$2:$K1023, "Minion", Cards!$P$2:$P1023, "*Deathrattle*")+SUMIFS(Cards!$M$2:$M1023, Cards!$B$2:$B1023, B364, Cards!$F$2:$F1023, "Neutral",Cards!$K$2:$K1023, "Minion", Cards!$P$2:$P1023, "*Deathrattle*"))/C364),0)</f>
        <v>0</v>
      </c>
      <c r="E364" s="980">
        <f>IFERROR(((SUMIFS(Cards!$N$2:$N1023, Cards!$B$2:$B1023, B364, Cards!$F$2:$F1023, "Priest",Cards!$K$2:$K1023, "Minion", Cards!$P$2:$P1023, "*Deathrattle*")+SUMIFS(Cards!$N$2:$N1023, Cards!$B$2:$B1023, B364, Cards!$F$2:$F1023, "Neutral",Cards!$K$2:$K1023, "Minion", Cards!$P$2:$P1023, "*Deathrattle*"))/C364),0)</f>
        <v>0</v>
      </c>
      <c r="F364" s="981">
        <f>IFERROR(((COUNTIFS(Cards!$P$2:$P1023, "*Charge*", Cards!$B$2:$B1023, B364, Cards!$F$2:$F1023, "Priest",Cards!$K$2:$K1023, "Minion", Cards!$P$2:$P1023, "*Deathrattle*")+COUNTIFS(Cards!$P$2:$P1023, "*Charge*", Cards!$B$2:$B1023, B364, Cards!$F$2:$F1023, "Neutral",Cards!$K$2:$K1023, "Minion", Cards!$P$2:$P1023, "*Deathrattle*"))/C364),0)</f>
        <v>0</v>
      </c>
      <c r="G364" s="982">
        <f>IFERROR(((COUNTIFS(Cards!$P$2:$P1023, "*Taunt*", Cards!$B$2:$B1023, B364, Cards!$F$2:$F1023, "Priest",Cards!$K$2:$K1023, "Minion", Cards!$P$2:$P1023, "*Deathrattle*")+COUNTIFS(Cards!$P$2:$P1023, "*Taunt*", Cards!$B$2:$B1023, B364, Cards!$F$2:$F1023, "Neutral",Cards!$K$2:$K1023, "Minion", Cards!$P$2:$P1023, "*Deathrattle*"))/C364),0)</f>
        <v>0</v>
      </c>
      <c r="H364" s="983">
        <f>IFERROR(((COUNTIFS(Cards!$P$2:$P1023, "*Spell Damage*", Cards!$B$2:$B1023, B364, Cards!$F$2:$F1023, "Priest",Cards!$K$2:$K1023, "Minion", Cards!$P$2:$P1023, "*Deathrattle*")+COUNTIFS(Cards!$P$2:$P1023, "*Spell Damage*", Cards!$B$2:$B1023, B364, Cards!$F$2:$F1023, "Neutral",Cards!$K$2:$K1023, "Minion", Cards!$P$2:$P1023, "*Deathrattle*"))/C364),0)</f>
        <v>0</v>
      </c>
      <c r="I364" s="332" t="s">
        <v>2217</v>
      </c>
      <c r="J364" s="982">
        <f>IFERROR(((COUNTIFS(Cards!$P$2:$P1023, "*Divine Shield*", Cards!$B$2:$B1023, B364, Cards!$F$2:$F1023, "Priest",Cards!$K$2:$K1023, "Minion", Cards!$P$2:$P1023, "*Deathrattle*")+COUNTIFS(Cards!$P$2:$P1023, "*Divine Shield*", Cards!$B$2:$B1023, B364, Cards!$F$2:$F1023, "Neutral",Cards!$K$2:$K1023, "Minion", Cards!$P$2:$P1023, "*Deathrattle*"))/C364),0)</f>
        <v>0</v>
      </c>
      <c r="K364" s="983">
        <f>IFERROR(((COUNTIFS(Cards!$P$2:$P1023, "*Battlecry*", Cards!$B$2:$B1023, B364, Cards!$F$2:$F1023, "Priest",Cards!$K$2:$K1023, "Minion", Cards!$P$2:$P1023, "*Deathrattle*")+COUNTIFS(Cards!$P$2:$P1023, "*Battlecry*", Cards!$B$2:$B1023, B364, Cards!$F$2:$F1023, "Neutral",Cards!$K$2:$K1023, "Minion", Cards!$P$2:$P1023, "*Deathrattle*"))/C364),0)</f>
        <v>0</v>
      </c>
    </row>
    <row r="365" spans="1:19" ht="12.75">
      <c r="B365" s="978">
        <v>1</v>
      </c>
      <c r="C365" s="999">
        <f>COUNTIFS(Cards!$B$2:$B1023, B365, Cards!$F$2:$F1023, "Priest",Cards!$K$2:$K1023, "Minion", Cards!$P$2:$P1023, "*Deathrattle*")+COUNTIFS(Cards!$B$2:$B1023, B365, Cards!$F$2:$F1023, "Neutral",Cards!$K$2:$K1023, "Minion", Cards!$P$2:$P1023, "*Deathrattle*")</f>
        <v>5</v>
      </c>
      <c r="D365" s="979">
        <f>IFERROR(((SUMIFS(Cards!$M$2:$M1023, Cards!$B$2:$B1023, B365, Cards!$F$2:$F1023, "Priest",Cards!$K$2:$K1023, "Minion", Cards!$P$2:$P1023, "*Deathrattle*")+SUMIFS(Cards!$M$2:$M1023, Cards!$B$2:$B1023, B365, Cards!$F$2:$F1023, "Neutral",Cards!$K$2:$K1023, "Minion", Cards!$P$2:$P1023, "*Deathrattle*"))/C365),0)</f>
        <v>1.4</v>
      </c>
      <c r="E365" s="980">
        <f>IFERROR(((SUMIFS(Cards!$N$2:$N1023, Cards!$B$2:$B1023, B365, Cards!$F$2:$F1023, "Priest",Cards!$K$2:$K1023, "Minion", Cards!$P$2:$P1023, "*Deathrattle*")+SUMIFS(Cards!$N$2:$N1023, Cards!$B$2:$B1023, B365, Cards!$F$2:$F1023, "Neutral",Cards!$K$2:$K1023, "Minion", Cards!$P$2:$P1023, "*Deathrattle*"))/C365),0)</f>
        <v>1.4</v>
      </c>
      <c r="F365" s="981">
        <f>IFERROR(((COUNTIFS(Cards!$P$2:$P1023, "*Charge*", Cards!$B$2:$B1023, B365, Cards!$F$2:$F1023, "Priest",Cards!$K$2:$K1023, "Minion", Cards!$P$2:$P1023, "*Deathrattle*")+COUNTIFS(Cards!$P$2:$P1023, "*Charge*", Cards!$B$2:$B1023, B365, Cards!$F$2:$F1023, "Neutral",Cards!$K$2:$K1023, "Minion", Cards!$P$2:$P1023, "*Deathrattle*"))/C365),0)</f>
        <v>0</v>
      </c>
      <c r="G365" s="982">
        <f>IFERROR(((COUNTIFS(Cards!$P$2:$P1023, "*Taunt*", Cards!$B$2:$B1023, B365, Cards!$F$2:$F1023, "Priest",Cards!$K$2:$K1023, "Minion", Cards!$P$2:$P1023, "*Deathrattle*")+COUNTIFS(Cards!$P$2:$P1023, "*Taunt*", Cards!$B$2:$B1023, B365, Cards!$F$2:$F1023, "Neutral",Cards!$K$2:$K1023, "Minion", Cards!$P$2:$P1023, "*Deathrattle*"))/C365),0)</f>
        <v>0</v>
      </c>
      <c r="H365" s="983">
        <f>IFERROR(((COUNTIFS(Cards!$P$2:$P1023, "*Spell Damage*", Cards!$B$2:$B1023, B365, Cards!$F$2:$F1023, "Priest",Cards!$K$2:$K1023, "Minion", Cards!$P$2:$P1023, "*Deathrattle*")+COUNTIFS(Cards!$P$2:$P1023, "*Spell Damage*", Cards!$B$2:$B1023, B365, Cards!$F$2:$F1023, "Neutral",Cards!$K$2:$K1023, "Minion", Cards!$P$2:$P1023, "*Deathrattle*"))/C365),0)</f>
        <v>0</v>
      </c>
      <c r="I365" s="332" t="s">
        <v>2217</v>
      </c>
      <c r="J365" s="982">
        <f>IFERROR(((COUNTIFS(Cards!$P$2:$P1023, "*Divine Shield*", Cards!$B$2:$B1023, B365, Cards!$F$2:$F1023, "Priest",Cards!$K$2:$K1023, "Minion", Cards!$P$2:$P1023, "*Deathrattle*")+COUNTIFS(Cards!$P$2:$P1023, "*Divine Shield*", Cards!$B$2:$B1023, B365, Cards!$F$2:$F1023, "Neutral",Cards!$K$2:$K1023, "Minion", Cards!$P$2:$P1023, "*Deathrattle*"))/C365),0)</f>
        <v>0</v>
      </c>
      <c r="K365" s="983">
        <f>IFERROR(((COUNTIFS(Cards!$P$2:$P1023, "*Battlecry*", Cards!$B$2:$B1023, B365, Cards!$F$2:$F1023, "Priest",Cards!$K$2:$K1023, "Minion", Cards!$P$2:$P1023, "*Deathrattle*")+COUNTIFS(Cards!$P$2:$P1023, "*Battlecry*", Cards!$B$2:$B1023, B365, Cards!$F$2:$F1023, "Neutral",Cards!$K$2:$K1023, "Minion", Cards!$P$2:$P1023, "*Deathrattle*"))/C365),0)</f>
        <v>0</v>
      </c>
    </row>
    <row r="366" spans="1:19" ht="12.75">
      <c r="B366" s="978">
        <v>2</v>
      </c>
      <c r="C366" s="999">
        <f>COUNTIFS(Cards!$B$2:$B1023, B366, Cards!$F$2:$F1023, "Priest",Cards!$K$2:$K1023, "Minion", Cards!$P$2:$P1023, "*Deathrattle*")+COUNTIFS(Cards!$B$2:$B1023, B366, Cards!$F$2:$F1023, "Neutral",Cards!$K$2:$K1023, "Minion", Cards!$P$2:$P1023, "*Deathrattle*")</f>
        <v>7</v>
      </c>
      <c r="D366" s="979">
        <f>IFERROR(((SUMIFS(Cards!$M$2:$M1023, Cards!$B$2:$B1023, B366, Cards!$F$2:$F1023, "Priest",Cards!$K$2:$K1023, "Minion", Cards!$P$2:$P1023, "*Deathrattle*")+SUMIFS(Cards!$M$2:$M1023, Cards!$B$2:$B1023, B366, Cards!$F$2:$F1023, "Neutral",Cards!$K$2:$K1023, "Minion", Cards!$P$2:$P1023, "*Deathrattle*"))/C366),0)</f>
        <v>1.2857142857142858</v>
      </c>
      <c r="E366" s="980">
        <f>IFERROR(((SUMIFS(Cards!$N$2:$N1023, Cards!$B$2:$B1023, B366, Cards!$F$2:$F1023, "Priest",Cards!$K$2:$K1023, "Minion", Cards!$P$2:$P1023, "*Deathrattle*")+SUMIFS(Cards!$N$2:$N1023, Cards!$B$2:$B1023, B366, Cards!$F$2:$F1023, "Neutral",Cards!$K$2:$K1023, "Minion", Cards!$P$2:$P1023, "*Deathrattle*"))/C366),0)</f>
        <v>1.7142857142857142</v>
      </c>
      <c r="F366" s="981">
        <f>IFERROR(((COUNTIFS(Cards!$P$2:$P1023, "*Charge*", Cards!$B$2:$B1023, B366, Cards!$F$2:$F1023, "Priest",Cards!$K$2:$K1023, "Minion", Cards!$P$2:$P1023, "*Deathrattle*")+COUNTIFS(Cards!$P$2:$P1023, "*Charge*", Cards!$B$2:$B1023, B366, Cards!$F$2:$F1023, "Neutral",Cards!$K$2:$K1023, "Minion", Cards!$P$2:$P1023, "*Deathrattle*"))/C366),0)</f>
        <v>0</v>
      </c>
      <c r="G366" s="982">
        <f>IFERROR(((COUNTIFS(Cards!$P$2:$P1023, "*Taunt*", Cards!$B$2:$B1023, B366, Cards!$F$2:$F1023, "Priest",Cards!$K$2:$K1023, "Minion", Cards!$P$2:$P1023, "*Deathrattle*")+COUNTIFS(Cards!$P$2:$P1023, "*Taunt*", Cards!$B$2:$B1023, B366, Cards!$F$2:$F1023, "Neutral",Cards!$K$2:$K1023, "Minion", Cards!$P$2:$P1023, "*Deathrattle*"))/C366),0)</f>
        <v>0.14285714285714285</v>
      </c>
      <c r="H366" s="983">
        <f>IFERROR(((COUNTIFS(Cards!$P$2:$P1023, "*Spell Damage*", Cards!$B$2:$B1023, B366, Cards!$F$2:$F1023, "Priest",Cards!$K$2:$K1023, "Minion", Cards!$P$2:$P1023, "*Deathrattle*")+COUNTIFS(Cards!$P$2:$P1023, "*Spell Damage*", Cards!$B$2:$B1023, B366, Cards!$F$2:$F1023, "Neutral",Cards!$K$2:$K1023, "Minion", Cards!$P$2:$P1023, "*Deathrattle*"))/C366),0)</f>
        <v>0.14285714285714285</v>
      </c>
      <c r="I366" s="332" t="s">
        <v>2217</v>
      </c>
      <c r="J366" s="982">
        <f>IFERROR(((COUNTIFS(Cards!$P$2:$P1023, "*Divine Shield*", Cards!$B$2:$B1023, B366, Cards!$F$2:$F1023, "Priest",Cards!$K$2:$K1023, "Minion", Cards!$P$2:$P1023, "*Deathrattle*")+COUNTIFS(Cards!$P$2:$P1023, "*Divine Shield*", Cards!$B$2:$B1023, B366, Cards!$F$2:$F1023, "Neutral",Cards!$K$2:$K1023, "Minion", Cards!$P$2:$P1023, "*Deathrattle*"))/C366),0)</f>
        <v>0</v>
      </c>
      <c r="K366" s="983">
        <f>IFERROR(((COUNTIFS(Cards!$P$2:$P1023, "*Battlecry*", Cards!$B$2:$B1023, B366, Cards!$F$2:$F1023, "Priest",Cards!$K$2:$K1023, "Minion", Cards!$P$2:$P1023, "*Deathrattle*")+COUNTIFS(Cards!$P$2:$P1023, "*Battlecry*", Cards!$B$2:$B1023, B366, Cards!$F$2:$F1023, "Neutral",Cards!$K$2:$K1023, "Minion", Cards!$P$2:$P1023, "*Deathrattle*"))/C366),0)</f>
        <v>0</v>
      </c>
      <c r="S366" s="976"/>
    </row>
    <row r="367" spans="1:19" ht="12.75">
      <c r="B367" s="978">
        <v>3</v>
      </c>
      <c r="C367" s="999">
        <f>COUNTIFS(Cards!$B$2:$B1023, B367, Cards!$F$2:$F1023, "Priest",Cards!$K$2:$K1023, "Minion", Cards!$P$2:$P1023, "*Deathrattle*")+COUNTIFS(Cards!$B$2:$B1023, B367, Cards!$F$2:$F1023, "Neutral",Cards!$K$2:$K1023, "Minion", Cards!$P$2:$P1023, "*Deathrattle*")</f>
        <v>5</v>
      </c>
      <c r="D367" s="979">
        <f>IFERROR(((SUMIFS(Cards!$M$2:$M1023, Cards!$B$2:$B1023, B367, Cards!$F$2:$F1023, "Priest",Cards!$K$2:$K1023, "Minion", Cards!$P$2:$P1023, "*Deathrattle*")+SUMIFS(Cards!$M$2:$M1023, Cards!$B$2:$B1023, B367, Cards!$F$2:$F1023, "Neutral",Cards!$K$2:$K1023, "Minion", Cards!$P$2:$P1023, "*Deathrattle*"))/C367),0)</f>
        <v>2.6</v>
      </c>
      <c r="E367" s="980">
        <f>IFERROR(((SUMIFS(Cards!$N$2:$N1023, Cards!$B$2:$B1023, B367, Cards!$F$2:$F1023, "Priest",Cards!$K$2:$K1023, "Minion", Cards!$P$2:$P1023, "*Deathrattle*")+SUMIFS(Cards!$N$2:$N1023, Cards!$B$2:$B1023, B367, Cards!$F$2:$F1023, "Neutral",Cards!$K$2:$K1023, "Minion", Cards!$P$2:$P1023, "*Deathrattle*"))/C367),0)</f>
        <v>4.2</v>
      </c>
      <c r="F367" s="981">
        <f>IFERROR(((COUNTIFS(Cards!$P$2:$P1023, "*Charge*", Cards!$B$2:$B1023, B367, Cards!$F$2:$F1023, "Priest",Cards!$K$2:$K1023, "Minion", Cards!$P$2:$P1023, "*Deathrattle*")+COUNTIFS(Cards!$P$2:$P1023, "*Charge*", Cards!$B$2:$B1023, B367, Cards!$F$2:$F1023, "Neutral",Cards!$K$2:$K1023, "Minion", Cards!$P$2:$P1023, "*Deathrattle*"))/C367),0)</f>
        <v>0</v>
      </c>
      <c r="G367" s="982">
        <f>IFERROR(((COUNTIFS(Cards!$P$2:$P1023, "*Taunt*", Cards!$B$2:$B1023, B367, Cards!$F$2:$F1023, "Priest",Cards!$K$2:$K1023, "Minion", Cards!$P$2:$P1023, "*Deathrattle*")+COUNTIFS(Cards!$P$2:$P1023, "*Taunt*", Cards!$B$2:$B1023, B367, Cards!$F$2:$F1023, "Neutral",Cards!$K$2:$K1023, "Minion", Cards!$P$2:$P1023, "*Deathrattle*"))/C367),0)</f>
        <v>0.2</v>
      </c>
      <c r="H367" s="983">
        <f>IFERROR(((COUNTIFS(Cards!$P$2:$P1023, "*Spell Damage*", Cards!$B$2:$B1023, B367, Cards!$F$2:$F1023, "Priest",Cards!$K$2:$K1023, "Minion", Cards!$P$2:$P1023, "*Deathrattle*")+COUNTIFS(Cards!$P$2:$P1023, "*Spell Damage*", Cards!$B$2:$B1023, B367, Cards!$F$2:$F1023, "Neutral",Cards!$K$2:$K1023, "Minion", Cards!$P$2:$P1023, "*Deathrattle*"))/C367),0)</f>
        <v>0</v>
      </c>
      <c r="I367" s="332" t="s">
        <v>2217</v>
      </c>
      <c r="J367" s="982">
        <f>IFERROR(((COUNTIFS(Cards!$P$2:$P1023, "*Divine Shield*", Cards!$B$2:$B1023, B367, Cards!$F$2:$F1023, "Priest",Cards!$K$2:$K1023, "Minion", Cards!$P$2:$P1023, "*Deathrattle*")+COUNTIFS(Cards!$P$2:$P1023, "*Divine Shield*", Cards!$B$2:$B1023, B367, Cards!$F$2:$F1023, "Neutral",Cards!$K$2:$K1023, "Minion", Cards!$P$2:$P1023, "*Deathrattle*"))/C367),0)</f>
        <v>0</v>
      </c>
      <c r="K367" s="983">
        <f>IFERROR(((COUNTIFS(Cards!$P$2:$P1023, "*Battlecry*", Cards!$B$2:$B1023, B367, Cards!$F$2:$F1023, "Priest",Cards!$K$2:$K1023, "Minion", Cards!$P$2:$P1023, "*Deathrattle*")+COUNTIFS(Cards!$P$2:$P1023, "*Battlecry*", Cards!$B$2:$B1023, B367, Cards!$F$2:$F1023, "Neutral",Cards!$K$2:$K1023, "Minion", Cards!$P$2:$P1023, "*Deathrattle*"))/C367),0)</f>
        <v>0</v>
      </c>
      <c r="S367" s="802"/>
    </row>
    <row r="368" spans="1:19" ht="12.75">
      <c r="B368" s="978">
        <v>4</v>
      </c>
      <c r="C368" s="999">
        <f>COUNTIFS(Cards!$B$2:$B1023, B368, Cards!$F$2:$F1023, "Priest",Cards!$K$2:$K1023, "Minion", Cards!$P$2:$P1023, "*Deathrattle*")+COUNTIFS(Cards!$B$2:$B1023, B368, Cards!$F$2:$F1023, "Neutral",Cards!$K$2:$K1023, "Minion", Cards!$P$2:$P1023, "*Deathrattle*")</f>
        <v>6</v>
      </c>
      <c r="D368" s="979">
        <f>IFERROR(((SUMIFS(Cards!$M$2:$M1023, Cards!$B$2:$B1023, B368, Cards!$F$2:$F1023, "Priest",Cards!$K$2:$K1023, "Minion", Cards!$P$2:$P1023, "*Deathrattle*")+SUMIFS(Cards!$M$2:$M1023, Cards!$B$2:$B1023, B368, Cards!$F$2:$F1023, "Neutral",Cards!$K$2:$K1023, "Minion", Cards!$P$2:$P1023, "*Deathrattle*"))/C368),0)</f>
        <v>3.1666666666666665</v>
      </c>
      <c r="E368" s="980">
        <f>IFERROR(((SUMIFS(Cards!$N$2:$N1023, Cards!$B$2:$B1023, B368, Cards!$F$2:$F1023, "Priest",Cards!$K$2:$K1023, "Minion", Cards!$P$2:$P1023, "*Deathrattle*")+SUMIFS(Cards!$N$2:$N1023, Cards!$B$2:$B1023, B368, Cards!$F$2:$F1023, "Neutral",Cards!$K$2:$K1023, "Minion", Cards!$P$2:$P1023, "*Deathrattle*"))/C368),0)</f>
        <v>2.8333333333333335</v>
      </c>
      <c r="F368" s="981">
        <f>IFERROR(((COUNTIFS(Cards!$P$2:$P1023, "*Charge*", Cards!$B$2:$B1023, B368, Cards!$F$2:$F1023, "Priest",Cards!$K$2:$K1023, "Minion", Cards!$P$2:$P1023, "*Deathrattle*")+COUNTIFS(Cards!$P$2:$P1023, "*Charge*", Cards!$B$2:$B1023, B368, Cards!$F$2:$F1023, "Neutral",Cards!$K$2:$K1023, "Minion", Cards!$P$2:$P1023, "*Deathrattle*"))/C368),0)</f>
        <v>0</v>
      </c>
      <c r="G368" s="982">
        <f>IFERROR(((COUNTIFS(Cards!$P$2:$P1023, "*Taunt*", Cards!$B$2:$B1023, B368, Cards!$F$2:$F1023, "Priest",Cards!$K$2:$K1023, "Minion", Cards!$P$2:$P1023, "*Deathrattle*")+COUNTIFS(Cards!$P$2:$P1023, "*Taunt*", Cards!$B$2:$B1023, B368, Cards!$F$2:$F1023, "Neutral",Cards!$K$2:$K1023, "Minion", Cards!$P$2:$P1023, "*Deathrattle*"))/C368),0)</f>
        <v>0.16666666666666666</v>
      </c>
      <c r="H368" s="983">
        <f>IFERROR(((COUNTIFS(Cards!$P$2:$P1023, "*Spell Damage*", Cards!$B$2:$B1023, B368, Cards!$F$2:$F1023, "Priest",Cards!$K$2:$K1023, "Minion", Cards!$P$2:$P1023, "*Deathrattle*")+COUNTIFS(Cards!$P$2:$P1023, "*Spell Damage*", Cards!$B$2:$B1023, B368, Cards!$F$2:$F1023, "Neutral",Cards!$K$2:$K1023, "Minion", Cards!$P$2:$P1023, "*Deathrattle*"))/C368),0)</f>
        <v>0</v>
      </c>
      <c r="I368" s="332" t="s">
        <v>2217</v>
      </c>
      <c r="J368" s="982">
        <f>IFERROR(((COUNTIFS(Cards!$P$2:$P1023, "*Divine Shield*", Cards!$B$2:$B1023, B368, Cards!$F$2:$F1023, "Priest",Cards!$K$2:$K1023, "Minion", Cards!$P$2:$P1023, "*Deathrattle*")+COUNTIFS(Cards!$P$2:$P1023, "*Divine Shield*", Cards!$B$2:$B1023, B368, Cards!$F$2:$F1023, "Neutral",Cards!$K$2:$K1023, "Minion", Cards!$P$2:$P1023, "*Deathrattle*"))/C368),0)</f>
        <v>0</v>
      </c>
      <c r="K368" s="983">
        <f>IFERROR(((COUNTIFS(Cards!$P$2:$P1023, "*Battlecry*", Cards!$B$2:$B1023, B368, Cards!$F$2:$F1023, "Priest",Cards!$K$2:$K1023, "Minion", Cards!$P$2:$P1023, "*Deathrattle*")+COUNTIFS(Cards!$P$2:$P1023, "*Battlecry*", Cards!$B$2:$B1023, B368, Cards!$F$2:$F1023, "Neutral",Cards!$K$2:$K1023, "Minion", Cards!$P$2:$P1023, "*Deathrattle*"))/C368),0)</f>
        <v>0</v>
      </c>
      <c r="S368" s="802"/>
    </row>
    <row r="369" spans="2:19" ht="12.75">
      <c r="B369" s="978">
        <v>5</v>
      </c>
      <c r="C369" s="999">
        <f>COUNTIFS(Cards!$B$2:$B1023, B369, Cards!$F$2:$F1023, "Priest",Cards!$K$2:$K1023, "Minion", Cards!$P$2:$P1023, "*Deathrattle*")+COUNTIFS(Cards!$B$2:$B1023, B369, Cards!$F$2:$F1023, "Neutral",Cards!$K$2:$K1023, "Minion", Cards!$P$2:$P1023, "*Deathrattle*")</f>
        <v>6</v>
      </c>
      <c r="D369" s="979">
        <f>IFERROR(((SUMIFS(Cards!$M$2:$M1023, Cards!$B$2:$B1023, B369, Cards!$F$2:$F1023, "Priest",Cards!$K$2:$K1023, "Minion", Cards!$P$2:$P1023, "*Deathrattle*")+SUMIFS(Cards!$M$2:$M1023, Cards!$B$2:$B1023, B369, Cards!$F$2:$F1023, "Neutral",Cards!$K$2:$K1023, "Minion", Cards!$P$2:$P1023, "*Deathrattle*"))/C369),0)</f>
        <v>4.666666666666667</v>
      </c>
      <c r="E369" s="980">
        <f>IFERROR(((SUMIFS(Cards!$N$2:$N1023, Cards!$B$2:$B1023, B369, Cards!$F$2:$F1023, "Priest",Cards!$K$2:$K1023, "Minion", Cards!$P$2:$P1023, "*Deathrattle*")+SUMIFS(Cards!$N$2:$N1023, Cards!$B$2:$B1023, B369, Cards!$F$2:$F1023, "Neutral",Cards!$K$2:$K1023, "Minion", Cards!$P$2:$P1023, "*Deathrattle*"))/C369),0)</f>
        <v>5</v>
      </c>
      <c r="F369" s="981">
        <f>IFERROR(((COUNTIFS(Cards!$P$2:$P1023, "*Charge*", Cards!$B$2:$B1023, B369, Cards!$F$2:$F1023, "Priest",Cards!$K$2:$K1023, "Minion", Cards!$P$2:$P1023, "*Deathrattle*")+COUNTIFS(Cards!$P$2:$P1023, "*Charge*", Cards!$B$2:$B1023, B369, Cards!$F$2:$F1023, "Neutral",Cards!$K$2:$K1023, "Minion", Cards!$P$2:$P1023, "*Deathrattle*"))/C369),0)</f>
        <v>0</v>
      </c>
      <c r="G369" s="982">
        <f>IFERROR(((COUNTIFS(Cards!$P$2:$P1023, "*Taunt*", Cards!$B$2:$B1023, B369, Cards!$F$2:$F1023, "Priest",Cards!$K$2:$K1023, "Minion", Cards!$P$2:$P1023, "*Deathrattle*")+COUNTIFS(Cards!$P$2:$P1023, "*Taunt*", Cards!$B$2:$B1023, B369, Cards!$F$2:$F1023, "Neutral",Cards!$K$2:$K1023, "Minion", Cards!$P$2:$P1023, "*Deathrattle*"))/C369),0)</f>
        <v>0.33333333333333331</v>
      </c>
      <c r="H369" s="983">
        <f>IFERROR(((COUNTIFS(Cards!$P$2:$P1023, "*Spell Damage*", Cards!$B$2:$B1023, B369, Cards!$F$2:$F1023, "Priest",Cards!$K$2:$K1023, "Minion", Cards!$P$2:$P1023, "*Deathrattle*")+COUNTIFS(Cards!$P$2:$P1023, "*Spell Damage*", Cards!$B$2:$B1023, B369, Cards!$F$2:$F1023, "Neutral",Cards!$K$2:$K1023, "Minion", Cards!$P$2:$P1023, "*Deathrattle*"))/C369),0)</f>
        <v>0</v>
      </c>
      <c r="I369" s="332" t="s">
        <v>2217</v>
      </c>
      <c r="J369" s="982">
        <f>IFERROR(((COUNTIFS(Cards!$P$2:$P1023, "*Divine Shield*", Cards!$B$2:$B1023, B369, Cards!$F$2:$F1023, "Priest",Cards!$K$2:$K1023, "Minion", Cards!$P$2:$P1023, "*Deathrattle*")+COUNTIFS(Cards!$P$2:$P1023, "*Divine Shield*", Cards!$B$2:$B1023, B369, Cards!$F$2:$F1023, "Neutral",Cards!$K$2:$K1023, "Minion", Cards!$P$2:$P1023, "*Deathrattle*"))/C369),0)</f>
        <v>0</v>
      </c>
      <c r="K369" s="983">
        <f>IFERROR(((COUNTIFS(Cards!$P$2:$P1023, "*Battlecry*", Cards!$B$2:$B1023, B369, Cards!$F$2:$F1023, "Priest",Cards!$K$2:$K1023, "Minion", Cards!$P$2:$P1023, "*Deathrattle*")+COUNTIFS(Cards!$P$2:$P1023, "*Battlecry*", Cards!$B$2:$B1023, B369, Cards!$F$2:$F1023, "Neutral",Cards!$K$2:$K1023, "Minion", Cards!$P$2:$P1023, "*Deathrattle*"))/C369),0)</f>
        <v>0</v>
      </c>
      <c r="S369" s="802"/>
    </row>
    <row r="370" spans="2:19" ht="12.75">
      <c r="B370" s="978">
        <v>6</v>
      </c>
      <c r="C370" s="999">
        <f>COUNTIFS(Cards!$B$2:$B1023, B370, Cards!$F$2:$F1023, "Priest",Cards!$K$2:$K1023, "Minion", Cards!$P$2:$P1023, "*Deathrattle*")+COUNTIFS(Cards!$B$2:$B1023, B370, Cards!$F$2:$F1023, "Neutral",Cards!$K$2:$K1023, "Minion", Cards!$P$2:$P1023, "*Deathrattle*")</f>
        <v>7</v>
      </c>
      <c r="D370" s="979">
        <f>IFERROR(((SUMIFS(Cards!$M$2:$M1023, Cards!$B$2:$B1023, B370, Cards!$F$2:$F1023, "Priest",Cards!$K$2:$K1023, "Minion", Cards!$P$2:$P1023, "*Deathrattle*")+SUMIFS(Cards!$M$2:$M1023, Cards!$B$2:$B1023, B370, Cards!$F$2:$F1023, "Neutral",Cards!$K$2:$K1023, "Minion", Cards!$P$2:$P1023, "*Deathrattle*"))/C370),0)</f>
        <v>5.4285714285714288</v>
      </c>
      <c r="E370" s="980">
        <f>IFERROR(((SUMIFS(Cards!$N$2:$N1023, Cards!$B$2:$B1023, B370, Cards!$F$2:$F1023, "Priest",Cards!$K$2:$K1023, "Minion", Cards!$P$2:$P1023, "*Deathrattle*")+SUMIFS(Cards!$N$2:$N1023, Cards!$B$2:$B1023, B370, Cards!$F$2:$F1023, "Neutral",Cards!$K$2:$K1023, "Minion", Cards!$P$2:$P1023, "*Deathrattle*"))/C370),0)</f>
        <v>5.4285714285714288</v>
      </c>
      <c r="F370" s="981">
        <f>IFERROR(((COUNTIFS(Cards!$P$2:$P1023, "*Charge*", Cards!$B$2:$B1023, B370, Cards!$F$2:$F1023, "Priest",Cards!$K$2:$K1023, "Minion", Cards!$P$2:$P1023, "*Deathrattle*")+COUNTIFS(Cards!$P$2:$P1023, "*Charge*", Cards!$B$2:$B1023, B370, Cards!$F$2:$F1023, "Neutral",Cards!$K$2:$K1023, "Minion", Cards!$P$2:$P1023, "*Deathrattle*"))/C370),0)</f>
        <v>0</v>
      </c>
      <c r="G370" s="982">
        <f>IFERROR(((COUNTIFS(Cards!$P$2:$P1023, "*Taunt*", Cards!$B$2:$B1023, B370, Cards!$F$2:$F1023, "Priest",Cards!$K$2:$K1023, "Minion", Cards!$P$2:$P1023, "*Deathrattle*")+COUNTIFS(Cards!$P$2:$P1023, "*Taunt*", Cards!$B$2:$B1023, B370, Cards!$F$2:$F1023, "Neutral",Cards!$K$2:$K1023, "Minion", Cards!$P$2:$P1023, "*Deathrattle*"))/C370),0)</f>
        <v>0</v>
      </c>
      <c r="H370" s="983">
        <f>IFERROR(((COUNTIFS(Cards!$P$2:$P1023, "*Spell Damage*", Cards!$B$2:$B1023, B370, Cards!$F$2:$F1023, "Priest",Cards!$K$2:$K1023, "Minion", Cards!$P$2:$P1023, "*Deathrattle*")+COUNTIFS(Cards!$P$2:$P1023, "*Spell Damage*", Cards!$B$2:$B1023, B370, Cards!$F$2:$F1023, "Neutral",Cards!$K$2:$K1023, "Minion", Cards!$P$2:$P1023, "*Deathrattle*"))/C370),0)</f>
        <v>0</v>
      </c>
      <c r="I370" s="332" t="s">
        <v>2217</v>
      </c>
      <c r="J370" s="982">
        <f>IFERROR(((COUNTIFS(Cards!$P$2:$P1023, "*Divine Shield*", Cards!$B$2:$B1023, B370, Cards!$F$2:$F1023, "Priest",Cards!$K$2:$K1023, "Minion", Cards!$P$2:$P1023, "*Deathrattle*")+COUNTIFS(Cards!$P$2:$P1023, "*Divine Shield*", Cards!$B$2:$B1023, B370, Cards!$F$2:$F1023, "Neutral",Cards!$K$2:$K1023, "Minion", Cards!$P$2:$P1023, "*Deathrattle*"))/C370),0)</f>
        <v>0</v>
      </c>
      <c r="K370" s="983">
        <f>IFERROR(((COUNTIFS(Cards!$P$2:$P1023, "*Battlecry*", Cards!$B$2:$B1023, B370, Cards!$F$2:$F1023, "Priest",Cards!$K$2:$K1023, "Minion", Cards!$P$2:$P1023, "*Deathrattle*")+COUNTIFS(Cards!$P$2:$P1023, "*Battlecry*", Cards!$B$2:$B1023, B370, Cards!$F$2:$F1023, "Neutral",Cards!$K$2:$K1023, "Minion", Cards!$P$2:$P1023, "*Deathrattle*"))/C370),0)</f>
        <v>0.14285714285714285</v>
      </c>
    </row>
    <row r="371" spans="2:19" ht="12.75">
      <c r="B371" s="978">
        <v>7</v>
      </c>
      <c r="C371" s="999">
        <f>COUNTIFS(Cards!$B$2:$B1023, B371, Cards!$F$2:$F1023, "Priest",Cards!$K$2:$K1023, "Minion", Cards!$P$2:$P1023, "*Deathrattle*")+COUNTIFS(Cards!$B$2:$B1023, B371, Cards!$F$2:$F1023, "Neutral",Cards!$K$2:$K1023, "Minion", Cards!$P$2:$P1023, "*Deathrattle*")</f>
        <v>1</v>
      </c>
      <c r="D371" s="979">
        <f>IFERROR(((SUMIFS(Cards!$M$2:$M1023, Cards!$B$2:$B1023, B371, Cards!$F$2:$F1023, "Priest",Cards!$K$2:$K1023, "Minion", Cards!$P$2:$P1023, "*Deathrattle*")+SUMIFS(Cards!$M$2:$M1023, Cards!$B$2:$B1023, B371, Cards!$F$2:$F1023, "Neutral",Cards!$K$2:$K1023, "Minion", Cards!$P$2:$P1023, "*Deathrattle*"))/C371),0)</f>
        <v>6</v>
      </c>
      <c r="E371" s="980">
        <f>IFERROR(((SUMIFS(Cards!$N$2:$N1023, Cards!$B$2:$B1023, B371, Cards!$F$2:$F1023, "Priest",Cards!$K$2:$K1023, "Minion", Cards!$P$2:$P1023, "*Deathrattle*")+SUMIFS(Cards!$N$2:$N1023, Cards!$B$2:$B1023, B371, Cards!$F$2:$F1023, "Neutral",Cards!$K$2:$K1023, "Minion", Cards!$P$2:$P1023, "*Deathrattle*"))/C371),0)</f>
        <v>6</v>
      </c>
      <c r="F371" s="981">
        <f>IFERROR(((COUNTIFS(Cards!$P$2:$P1023, "*Charge*", Cards!$B$2:$B1023, B371, Cards!$F$2:$F1023, "Priest",Cards!$K$2:$K1023, "Minion", Cards!$P$2:$P1023, "*Deathrattle*")+COUNTIFS(Cards!$P$2:$P1023, "*Charge*", Cards!$B$2:$B1023, B371, Cards!$F$2:$F1023, "Neutral",Cards!$K$2:$K1023, "Minion", Cards!$P$2:$P1023, "*Deathrattle*"))/C371),0)</f>
        <v>0</v>
      </c>
      <c r="G371" s="982">
        <f>IFERROR(((COUNTIFS(Cards!$P$2:$P1023, "*Taunt*", Cards!$B$2:$B1023, B371, Cards!$F$2:$F1023, "Priest",Cards!$K$2:$K1023, "Minion", Cards!$P$2:$P1023, "*Deathrattle*")+COUNTIFS(Cards!$P$2:$P1023, "*Taunt*", Cards!$B$2:$B1023, B371, Cards!$F$2:$F1023, "Neutral",Cards!$K$2:$K1023, "Minion", Cards!$P$2:$P1023, "*Deathrattle*"))/C371),0)</f>
        <v>1</v>
      </c>
      <c r="H371" s="983">
        <f>IFERROR(((COUNTIFS(Cards!$P$2:$P1023, "*Spell Damage*", Cards!$B$2:$B1023, B371, Cards!$F$2:$F1023, "Priest",Cards!$K$2:$K1023, "Minion", Cards!$P$2:$P1023, "*Deathrattle*")+COUNTIFS(Cards!$P$2:$P1023, "*Spell Damage*", Cards!$B$2:$B1023, B371, Cards!$F$2:$F1023, "Neutral",Cards!$K$2:$K1023, "Minion", Cards!$P$2:$P1023, "*Deathrattle*"))/C371),0)</f>
        <v>0</v>
      </c>
      <c r="I371" s="332" t="s">
        <v>2217</v>
      </c>
      <c r="J371" s="982">
        <f>IFERROR(((COUNTIFS(Cards!$P$2:$P1023, "*Divine Shield*", Cards!$B$2:$B1023, B371, Cards!$F$2:$F1023, "Priest",Cards!$K$2:$K1023, "Minion", Cards!$P$2:$P1023, "*Deathrattle*")+COUNTIFS(Cards!$P$2:$P1023, "*Divine Shield*", Cards!$B$2:$B1023, B371, Cards!$F$2:$F1023, "Neutral",Cards!$K$2:$K1023, "Minion", Cards!$P$2:$P1023, "*Deathrattle*"))/C371),0)</f>
        <v>0</v>
      </c>
      <c r="K371" s="983">
        <f>IFERROR(((COUNTIFS(Cards!$P$2:$P1023, "*Battlecry*", Cards!$B$2:$B1023, B371, Cards!$F$2:$F1023, "Priest",Cards!$K$2:$K1023, "Minion", Cards!$P$2:$P1023, "*Deathrattle*")+COUNTIFS(Cards!$P$2:$P1023, "*Battlecry*", Cards!$B$2:$B1023, B371, Cards!$F$2:$F1023, "Neutral",Cards!$K$2:$K1023, "Minion", Cards!$P$2:$P1023, "*Deathrattle*"))/C371),0)</f>
        <v>0</v>
      </c>
    </row>
    <row r="372" spans="2:19" ht="12.75">
      <c r="B372" s="978">
        <v>8</v>
      </c>
      <c r="C372" s="999">
        <f>COUNTIFS(Cards!$B$2:$B1023, B372, Cards!$F$2:$F1023, "Priest",Cards!$K$2:$K1023, "Minion", Cards!$P$2:$P1023, "*Deathrattle*")+COUNTIFS(Cards!$B$2:$B1023, B372, Cards!$F$2:$F1023, "Neutral",Cards!$K$2:$K1023, "Minion", Cards!$P$2:$P1023, "*Deathrattle*")</f>
        <v>1</v>
      </c>
      <c r="D372" s="979">
        <f>IFERROR(((SUMIFS(Cards!$M$2:$M1023, Cards!$B$2:$B1023, B372, Cards!$F$2:$F1023, "Priest",Cards!$K$2:$K1023, "Minion", Cards!$P$2:$P1023, "*Deathrattle*")+SUMIFS(Cards!$M$2:$M1023, Cards!$B$2:$B1023, B372, Cards!$F$2:$F1023, "Neutral",Cards!$K$2:$K1023, "Minion", Cards!$P$2:$P1023, "*Deathrattle*"))/C372),0)</f>
        <v>5</v>
      </c>
      <c r="E372" s="980">
        <f>IFERROR(((SUMIFS(Cards!$N$2:$N1023, Cards!$B$2:$B1023, B372, Cards!$F$2:$F1023, "Priest",Cards!$K$2:$K1023, "Minion", Cards!$P$2:$P1023, "*Deathrattle*")+SUMIFS(Cards!$N$2:$N1023, Cards!$B$2:$B1023, B372, Cards!$F$2:$F1023, "Neutral",Cards!$K$2:$K1023, "Minion", Cards!$P$2:$P1023, "*Deathrattle*"))/C372),0)</f>
        <v>7</v>
      </c>
      <c r="F372" s="981">
        <f>IFERROR(((COUNTIFS(Cards!$P$2:$P1023, "*Charge*", Cards!$B$2:$B1023, B372, Cards!$F$2:$F1023, "Priest",Cards!$K$2:$K1023, "Minion", Cards!$P$2:$P1023, "*Deathrattle*")+COUNTIFS(Cards!$P$2:$P1023, "*Charge*", Cards!$B$2:$B1023, B372, Cards!$F$2:$F1023, "Neutral",Cards!$K$2:$K1023, "Minion", Cards!$P$2:$P1023, "*Deathrattle*"))/C372),0)</f>
        <v>0</v>
      </c>
      <c r="G372" s="982">
        <f>IFERROR(((COUNTIFS(Cards!$P$2:$P1023, "*Taunt*", Cards!$B$2:$B1023, B372, Cards!$F$2:$F1023, "Priest",Cards!$K$2:$K1023, "Minion", Cards!$P$2:$P1023, "*Deathrattle*")+COUNTIFS(Cards!$P$2:$P1023, "*Taunt*", Cards!$B$2:$B1023, B372, Cards!$F$2:$F1023, "Neutral",Cards!$K$2:$K1023, "Minion", Cards!$P$2:$P1023, "*Deathrattle*"))/C372),0)</f>
        <v>0</v>
      </c>
      <c r="H372" s="983">
        <f>IFERROR(((COUNTIFS(Cards!$P$2:$P1023, "*Spell Damage*", Cards!$B$2:$B1023, B372, Cards!$F$2:$F1023, "Priest",Cards!$K$2:$K1023, "Minion", Cards!$P$2:$P1023, "*Deathrattle*")+COUNTIFS(Cards!$P$2:$P1023, "*Spell Damage*", Cards!$B$2:$B1023, B372, Cards!$F$2:$F1023, "Neutral",Cards!$K$2:$K1023, "Minion", Cards!$P$2:$P1023, "*Deathrattle*"))/C372),0)</f>
        <v>0</v>
      </c>
      <c r="I372" s="332" t="s">
        <v>2217</v>
      </c>
      <c r="J372" s="982">
        <f>IFERROR(((COUNTIFS(Cards!$P$2:$P1023, "*Divine Shield*", Cards!$B$2:$B1023, B372, Cards!$F$2:$F1023, "Priest",Cards!$K$2:$K1023, "Minion", Cards!$P$2:$P1023, "*Deathrattle*")+COUNTIFS(Cards!$P$2:$P1023, "*Divine Shield*", Cards!$B$2:$B1023, B372, Cards!$F$2:$F1023, "Neutral",Cards!$K$2:$K1023, "Minion", Cards!$P$2:$P1023, "*Deathrattle*"))/C372),0)</f>
        <v>0</v>
      </c>
      <c r="K372" s="983">
        <f>IFERROR(((COUNTIFS(Cards!$P$2:$P1023, "*Battlecry*", Cards!$B$2:$B1023, B372, Cards!$F$2:$F1023, "Priest",Cards!$K$2:$K1023, "Minion", Cards!$P$2:$P1023, "*Deathrattle*")+COUNTIFS(Cards!$P$2:$P1023, "*Battlecry*", Cards!$B$2:$B1023, B372, Cards!$F$2:$F1023, "Neutral",Cards!$K$2:$K1023, "Minion", Cards!$P$2:$P1023, "*Deathrattle*"))/C372),0)</f>
        <v>0</v>
      </c>
    </row>
    <row r="373" spans="2:19" ht="12.75">
      <c r="B373" s="978">
        <v>9</v>
      </c>
      <c r="C373" s="999">
        <f>COUNTIFS(Cards!$B$2:$B1023, B373, Cards!$F$2:$F1023, "Priest",Cards!$K$2:$K1023, "Minion", Cards!$P$2:$P1023, "*Deathrattle*")+COUNTIFS(Cards!$B$2:$B1023, B373, Cards!$F$2:$F1023, "Neutral",Cards!$K$2:$K1023, "Minion", Cards!$P$2:$P1023, "*Deathrattle*")</f>
        <v>1</v>
      </c>
      <c r="D373" s="979">
        <f>IFERROR(((SUMIFS(Cards!$M$2:$M1023, Cards!$B$2:$B1023, B373, Cards!$F$2:$F1023, "Priest",Cards!$K$2:$K1023, "Minion", Cards!$P$2:$P1023, "*Deathrattle*")+SUMIFS(Cards!$M$2:$M1023, Cards!$B$2:$B1023, B373, Cards!$F$2:$F1023, "Neutral",Cards!$K$2:$K1023, "Minion", Cards!$P$2:$P1023, "*Deathrattle*"))/C373),0)</f>
        <v>9</v>
      </c>
      <c r="E373" s="980">
        <f>IFERROR(((SUMIFS(Cards!$N$2:$N1023, Cards!$B$2:$B1023, B373, Cards!$F$2:$F1023, "Priest",Cards!$K$2:$K1023, "Minion", Cards!$P$2:$P1023, "*Deathrattle*")+SUMIFS(Cards!$N$2:$N1023, Cards!$B$2:$B1023, B373, Cards!$F$2:$F1023, "Neutral",Cards!$K$2:$K1023, "Minion", Cards!$P$2:$P1023, "*Deathrattle*"))/C373),0)</f>
        <v>7</v>
      </c>
      <c r="F373" s="981">
        <f>IFERROR(((COUNTIFS(Cards!$P$2:$P1023, "*Charge*", Cards!$B$2:$B1023, B373, Cards!$F$2:$F1023, "Priest",Cards!$K$2:$K1023, "Minion", Cards!$P$2:$P1023, "*Deathrattle*")+COUNTIFS(Cards!$P$2:$P1023, "*Charge*", Cards!$B$2:$B1023, B373, Cards!$F$2:$F1023, "Neutral",Cards!$K$2:$K1023, "Minion", Cards!$P$2:$P1023, "*Deathrattle*"))/C373),0)</f>
        <v>0</v>
      </c>
      <c r="G373" s="982">
        <f>IFERROR(((COUNTIFS(Cards!$P$2:$P1023, "*Taunt*", Cards!$B$2:$B1023, B373, Cards!$F$2:$F1023, "Priest",Cards!$K$2:$K1023, "Minion", Cards!$P$2:$P1023, "*Deathrattle*")+COUNTIFS(Cards!$P$2:$P1023, "*Taunt*", Cards!$B$2:$B1023, B373, Cards!$F$2:$F1023, "Neutral",Cards!$K$2:$K1023, "Minion", Cards!$P$2:$P1023, "*Deathrattle*"))/C373),0)</f>
        <v>0</v>
      </c>
      <c r="H373" s="983">
        <f>IFERROR(((COUNTIFS(Cards!$P$2:$P1023, "*Spell Damage*", Cards!$B$2:$B1023, B373, Cards!$F$2:$F1023, "Priest",Cards!$K$2:$K1023, "Minion", Cards!$P$2:$P1023, "*Deathrattle*")+COUNTIFS(Cards!$P$2:$P1023, "*Spell Damage*", Cards!$B$2:$B1023, B373, Cards!$F$2:$F1023, "Neutral",Cards!$K$2:$K1023, "Minion", Cards!$P$2:$P1023, "*Deathrattle*"))/C373),0)</f>
        <v>0</v>
      </c>
      <c r="I373" s="332" t="s">
        <v>2217</v>
      </c>
      <c r="J373" s="982">
        <f>IFERROR(((COUNTIFS(Cards!$P$2:$P1023, "*Divine Shield*", Cards!$B$2:$B1023, B373, Cards!$F$2:$F1023, "Priest",Cards!$K$2:$K1023, "Minion", Cards!$P$2:$P1023, "*Deathrattle*")+COUNTIFS(Cards!$P$2:$P1023, "*Divine Shield*", Cards!$B$2:$B1023, B373, Cards!$F$2:$F1023, "Neutral",Cards!$K$2:$K1023, "Minion", Cards!$P$2:$P1023, "*Deathrattle*"))/C373),0)</f>
        <v>0</v>
      </c>
      <c r="K373" s="983">
        <f>IFERROR(((COUNTIFS(Cards!$P$2:$P1023, "*Battlecry*", Cards!$B$2:$B1023, B373, Cards!$F$2:$F1023, "Priest",Cards!$K$2:$K1023, "Minion", Cards!$P$2:$P1023, "*Deathrattle*")+COUNTIFS(Cards!$P$2:$P1023, "*Battlecry*", Cards!$B$2:$B1023, B373, Cards!$F$2:$F1023, "Neutral",Cards!$K$2:$K1023, "Minion", Cards!$P$2:$P1023, "*Deathrattle*"))/C373),0)</f>
        <v>0</v>
      </c>
    </row>
    <row r="374" spans="2:19" ht="12.75">
      <c r="B374" s="985">
        <v>10</v>
      </c>
      <c r="C374" s="999">
        <f>COUNTIFS(Cards!$B$2:$B1023, B374, Cards!$F$2:$F1023, "Priest",Cards!$K$2:$K1023, "Minion", Cards!$P$2:$P1023, "*Deathrattle*")+COUNTIFS(Cards!$B$2:$B1023, B374, Cards!$F$2:$F1023, "Neutral",Cards!$K$2:$K1023, "Minion", Cards!$P$2:$P1023, "*Deathrattle*")</f>
        <v>1</v>
      </c>
      <c r="D374" s="979">
        <f>IFERROR(((SUMIFS(Cards!$M$2:$M1023, Cards!$B$2:$B1023, B374, Cards!$F$2:$F1023, "Priest",Cards!$K$2:$K1023, "Minion", Cards!$P$2:$P1023, "*Deathrattle*")+SUMIFS(Cards!$M$2:$M1023, Cards!$B$2:$B1023, B374, Cards!$F$2:$F1023, "Neutral",Cards!$K$2:$K1023, "Minion", Cards!$P$2:$P1023, "*Deathrattle*"))/C374),0)</f>
        <v>12</v>
      </c>
      <c r="E374" s="980">
        <f>IFERROR(((SUMIFS(Cards!$N$2:$N1023, Cards!$B$2:$B1023, B374, Cards!$F$2:$F1023, "Priest",Cards!$K$2:$K1023, "Minion", Cards!$P$2:$P1023, "*Deathrattle*")+SUMIFS(Cards!$N$2:$N1023, Cards!$B$2:$B1023, B374, Cards!$F$2:$F1023, "Neutral",Cards!$K$2:$K1023, "Minion", Cards!$P$2:$P1023, "*Deathrattle*"))/C374),0)</f>
        <v>12</v>
      </c>
      <c r="F374" s="981">
        <f>IFERROR(((COUNTIFS(Cards!$P$2:$P1023, "*Charge*", Cards!$B$2:$B1023, B374, Cards!$F$2:$F1023, "Priest",Cards!$K$2:$K1023, "Minion", Cards!$P$2:$P1023, "*Deathrattle*")+COUNTIFS(Cards!$P$2:$P1023, "*Charge*", Cards!$B$2:$B1023, B374, Cards!$F$2:$F1023, "Neutral",Cards!$K$2:$K1023, "Minion", Cards!$P$2:$P1023, "*Deathrattle*"))/C374),0)</f>
        <v>0</v>
      </c>
      <c r="G374" s="982">
        <f>IFERROR(((COUNTIFS(Cards!$P$2:$P1023, "*Taunt*", Cards!$B$2:$B1023, B374, Cards!$F$2:$F1023, "Priest",Cards!$K$2:$K1023, "Minion", Cards!$P$2:$P1023, "*Deathrattle*")+COUNTIFS(Cards!$P$2:$P1023, "*Taunt*", Cards!$B$2:$B1023, B374, Cards!$F$2:$F1023, "Neutral",Cards!$K$2:$K1023, "Minion", Cards!$P$2:$P1023, "*Deathrattle*"))/C374),0)</f>
        <v>0</v>
      </c>
      <c r="H374" s="983">
        <f>IFERROR(((COUNTIFS(Cards!$P$2:$P1023, "*Spell Damage*", Cards!$B$2:$B1023, B374, Cards!$F$2:$F1023, "Priest",Cards!$K$2:$K1023, "Minion", Cards!$P$2:$P1023, "*Deathrattle*")+COUNTIFS(Cards!$P$2:$P1023, "*Spell Damage*", Cards!$B$2:$B1023, B374, Cards!$F$2:$F1023, "Neutral",Cards!$K$2:$K1023, "Minion", Cards!$P$2:$P1023, "*Deathrattle*"))/C374),0)</f>
        <v>0</v>
      </c>
      <c r="I374" s="1000" t="s">
        <v>2217</v>
      </c>
      <c r="J374" s="982">
        <f>IFERROR(((COUNTIFS(Cards!$P$2:$P1023, "*Divine Shield*", Cards!$B$2:$B1023, B374, Cards!$F$2:$F1023, "Priest",Cards!$K$2:$K1023, "Minion", Cards!$P$2:$P1023, "*Deathrattle*")+COUNTIFS(Cards!$P$2:$P1023, "*Divine Shield*", Cards!$B$2:$B1023, B374, Cards!$F$2:$F1023, "Neutral",Cards!$K$2:$K1023, "Minion", Cards!$P$2:$P1023, "*Deathrattle*"))/C374),0)</f>
        <v>0</v>
      </c>
      <c r="K374" s="983">
        <f>IFERROR(((COUNTIFS(Cards!$P$2:$P1023, "*Battlecry*", Cards!$B$2:$B1023, B374, Cards!$F$2:$F1023, "Priest",Cards!$K$2:$K1023, "Minion", Cards!$P$2:$P1023, "*Deathrattle*")+COUNTIFS(Cards!$P$2:$P1023, "*Battlecry*", Cards!$B$2:$B1023, B374, Cards!$F$2:$F1023, "Neutral",Cards!$K$2:$K1023, "Minion", Cards!$P$2:$P1023, "*Deathrattle*"))/C374),0)</f>
        <v>0</v>
      </c>
    </row>
    <row r="375" spans="2:19" ht="12.75">
      <c r="B375" s="993" t="s">
        <v>2201</v>
      </c>
      <c r="C375" s="994">
        <f>SUM(C364:C374)</f>
        <v>40</v>
      </c>
      <c r="D375" s="995">
        <f>IFERROR(((SUMIFS(Cards!$M$2:$M1023, Cards!$F$2:$F1023, "Priest",Cards!$K$2:$K1023, "Minion", Cards!$P$2:$P1023, "*Deathrattle*")+SUMIFS(Cards!$M$2:$M1023, Cards!$F$2:$F1023, "Neutral",Cards!$K$2:$K1023, "Minion", Cards!$P$2:$P1023, "*Deathrattle*"))/C375),0)</f>
        <v>3.65</v>
      </c>
      <c r="E375" s="996">
        <f>IFERROR(((SUMIFS(Cards!$N$2:$N1023, Cards!$F$2:$F1023, "Priest",Cards!$K$2:$K1023, "Minion", Cards!$P$2:$P1023, "*Deathrattle*")+SUMIFS(Cards!$N$2:$N1023, Cards!$F$2:$F1023, "Neutral",Cards!$K$2:$K1023, "Minion", Cards!$P$2:$P1023, "*Deathrattle*"))/C375),0)</f>
        <v>3.9249999999999998</v>
      </c>
      <c r="F375" s="1001">
        <f>IFERROR(((COUNTIFS(Cards!$P$2:$P1023, "*Charge*", Cards!$F$2:$F1023, "Priest",Cards!$K$2:$K1023, "Minion", Cards!$P$2:$P1023, "*Deathrattle*")+COUNTIFS(Cards!$P$2:$P1023, "*Charge*", Cards!$F$2:$F1023, "Neutral",Cards!$K$2:$K1023, "Minion", Cards!$P$2:$P1023, "*Deathrattle*"))/C375),0)</f>
        <v>0</v>
      </c>
      <c r="G375" s="997">
        <f>IFERROR(((COUNTIFS(Cards!$P$2:$P1023, "*Taunt*", Cards!$F$2:$F1023, "Priest",Cards!$K$2:$K1023, "Minion", Cards!$P$2:$P1023, "*Deathrattle*")+COUNTIFS(Cards!$P$2:$P1023, "*Taunt*", Cards!$F$2:$F1023, "Neutral",Cards!$K$2:$K1023, "Minion", Cards!$P$2:$P1023, "*Deathrattle*"))/C375),0)</f>
        <v>0.15</v>
      </c>
      <c r="H375" s="997">
        <f>IFERROR(((COUNTIFS(Cards!$P$2:$P1023, "*Spell Damage*", Cards!$F$2:$F1023, "Priest",Cards!$K$2:$K1023, "Minion", Cards!$P$2:$P1023, "*Deathrattle*")+COUNTIFS(Cards!$P$2:$P1023, "*Spell Damage*", Cards!$F$2:$F1023, "Neutral",Cards!$K$2:$K1023, "Minion", Cards!$P$2:$P1023, "*Deathrattle*"))/C375),0)</f>
        <v>2.5000000000000001E-2</v>
      </c>
      <c r="I375" s="1001" t="s">
        <v>2217</v>
      </c>
      <c r="J375" s="997">
        <f>IFERROR(((COUNTIFS(Cards!$P$2:$P1023, "*Divine Shield*", Cards!$F$2:$F1023, "Priest",Cards!$K$2:$K1023, "Minion", Cards!$P$2:$P1023, "*Deathrattle*")+COUNTIFS(Cards!$P$2:$P1023, "*Divine Shield*", Cards!$F$2:$F1023, "Neutral",Cards!$K$2:$K1023, "Minion", Cards!$P$2:$P1023, "*Deathrattle*"))/C375),0)</f>
        <v>0</v>
      </c>
      <c r="K375" s="998">
        <f>IFERROR(((COUNTIFS(Cards!$P$2:$P1023, "*Battlecry*", Cards!$F$2:$F1023, "Priest",Cards!$K$2:$K1023, "Minion", Cards!$P$2:$P1023, "*Deathrattle*")+COUNTIFS(Cards!$P$2:$P1023, "*Battlecry*", Cards!$F$2:$F1023, "Neutral",Cards!$K$2:$K1023, "Minion", Cards!$P$2:$P1023, "*Deathrattle*"))/C375),0)</f>
        <v>2.5000000000000001E-2</v>
      </c>
    </row>
    <row r="377" spans="2:19" ht="12.75">
      <c r="B377" s="1217" t="s">
        <v>2218</v>
      </c>
      <c r="C377" s="1102"/>
      <c r="D377" s="1102"/>
      <c r="E377" s="1102"/>
      <c r="F377" s="1102"/>
      <c r="G377" s="1102"/>
      <c r="H377" s="1102"/>
      <c r="I377" s="1102"/>
      <c r="J377" s="1102"/>
      <c r="K377" s="1030"/>
    </row>
    <row r="378" spans="2:19" ht="12.75">
      <c r="B378" s="977" t="s">
        <v>2187</v>
      </c>
      <c r="C378" s="977" t="s">
        <v>67</v>
      </c>
      <c r="D378" s="977" t="s">
        <v>2188</v>
      </c>
      <c r="E378" s="977" t="s">
        <v>125</v>
      </c>
      <c r="F378" s="977" t="s">
        <v>295</v>
      </c>
      <c r="G378" s="977" t="s">
        <v>1239</v>
      </c>
      <c r="H378" s="977" t="s">
        <v>2189</v>
      </c>
      <c r="I378" s="977" t="s">
        <v>2190</v>
      </c>
      <c r="J378" s="977" t="s">
        <v>1010</v>
      </c>
      <c r="K378" s="977" t="s">
        <v>2191</v>
      </c>
    </row>
    <row r="379" spans="2:19" ht="12.75">
      <c r="B379" s="978">
        <v>0</v>
      </c>
      <c r="C379" s="999">
        <f>COUNTIFS(Cards!$B$2:$B1023, B379, Cards!$F$2:$F1023, "Priest",Cards!$K$2:$K1023, "Minion", Cards!$Q$2:$Q1023, "Standard", Cards!$P$2:$P1023, "*Deathrattle*")+COUNTIFS(Cards!$B$2:$B1023, B379, Cards!$F$2:$F1023, "Neutral",Cards!$K$2:$K1023, "Minion", Cards!$Q$2:$Q1023, "Standard", Cards!$P$2:$P1023, "*Deathrattle*")</f>
        <v>0</v>
      </c>
      <c r="D379" s="979">
        <f>IFERROR(((SUMIFS(Cards!$M$2:$M1023, Cards!$B$2:$B1023, B379, Cards!$F$2:$F1023, "Priest",Cards!$K$2:$K1023, "Minion", Cards!$Q$2:$Q1023, "Standard", Cards!$P$2:$P1023, "*Deathrattle*")+SUMIFS(Cards!$M$2:$M1023, Cards!$B$2:$B1023, B379, Cards!$F$2:$F1023, "Neutral",Cards!$K$2:$K1023, "Minion", Cards!$Q$2:$Q1023, "Standard", Cards!$P$2:$P1023, "*Deathrattle*"))/C379),0)</f>
        <v>0</v>
      </c>
      <c r="E379" s="980">
        <f>IFERROR(((SUMIFS(Cards!$N$2:$N1023, Cards!$B$2:$B1023, B379, Cards!$F$2:$F1023, "Priest",Cards!$K$2:$K1023, "Minion", Cards!$Q$2:$Q1023, "Standard", Cards!$P$2:$P1023, "*Deathrattle*")+SUMIFS(Cards!$N$2:$N1023, Cards!$B$2:$B1023, B379, Cards!$F$2:$F1023, "Neutral",Cards!$K$2:$K1023, "Minion", Cards!$Q$2:$Q1023, "Standard", Cards!$P$2:$P1023, "*Deathrattle*"))/C379),0)</f>
        <v>0</v>
      </c>
      <c r="F379" s="981">
        <f>IFERROR(((COUNTIFS(Cards!$P$2:$P1023, "*Charge*", Cards!$B$2:$B1023, B379, Cards!$F$2:$F1023, "Priest",Cards!$K$2:$K1023, "Minion", Cards!$Q$2:$Q1023, "Standard", Cards!$P$2:$P1023, "*Deathrattle*")+COUNTIFS(Cards!$P$2:$P1023, "*Charge*", Cards!$B$2:$B1023, B379, Cards!$F$2:$F1023, "Neutral",Cards!$K$2:$K1023, "Minion", Cards!$Q$2:$Q1023, "Standard", Cards!$P$2:$P1023, "*Deathrattle*"))/C379),0)</f>
        <v>0</v>
      </c>
      <c r="G379" s="982">
        <f>IFERROR(((COUNTIFS(Cards!$P$2:$P1023, "*Taunt*", Cards!$B$2:$B1023, B379, Cards!$F$2:$F1023, "Priest",Cards!$K$2:$K1023, "Minion", Cards!$Q$2:$Q1023, "Standard", Cards!$P$2:$P1023, "*Deathrattle*")+COUNTIFS(Cards!$P$2:$P1023, "*Taunt*", Cards!$B$2:$B1023, B379, Cards!$F$2:$F1023, "Neutral",Cards!$K$2:$K1023, "Minion", Cards!$Q$2:$Q1023, "Standard", Cards!$P$2:$P1023, "*Deathrattle*"))/C379),0)</f>
        <v>0</v>
      </c>
      <c r="H379" s="983">
        <f>IFERROR(((COUNTIFS(Cards!$P$2:$P1023, "*Spell Damage*", Cards!$B$2:$B1023, B379, Cards!$F$2:$F1023, "Priest",Cards!$K$2:$K1023, "Minion", Cards!$Q$2:$Q1023, "Standard", Cards!$P$2:$P1023, "*Deathrattle*")+COUNTIFS(Cards!$P$2:$P1023, "*Spell Damage*", Cards!$B$2:$B1023, B379, Cards!$F$2:$F1023, "Neutral",Cards!$K$2:$K1023, "Minion", Cards!$Q$2:$Q1023, "Standard", Cards!$P$2:$P1023, "*Deathrattle*"))/C379),0)</f>
        <v>0</v>
      </c>
      <c r="I379" s="332" t="s">
        <v>2217</v>
      </c>
      <c r="J379" s="982">
        <f>IFERROR(((COUNTIFS(Cards!$P$2:$P1023, "*Divine Shield*", Cards!$B$2:$B1023, B379, Cards!$F$2:$F1023, "Priest",Cards!$K$2:$K1023, "Minion", Cards!$Q$2:$Q1023, "Standard", Cards!$P$2:$P1023, "*Deathrattle*")+COUNTIFS(Cards!$P$2:$P1023, "*Divine Shield*", Cards!$B$2:$B1023, B379, Cards!$F$2:$F1023, "Neutral",Cards!$K$2:$K1023, "Minion", Cards!$Q$2:$Q1023, "Standard", Cards!$P$2:$P1023, "*Deathrattle*"))/C379),0)</f>
        <v>0</v>
      </c>
      <c r="K379" s="983">
        <f>IFERROR(((COUNTIFS(Cards!$P$2:$P1023, "*Battlecry*", Cards!$B$2:$B1023, B379, Cards!$F$2:$F1023, "Priest",Cards!$K$2:$K1023, "Minion", Cards!$Q$2:$Q1023, "Standard", Cards!$P$2:$P1023, "*Deathrattle*")+COUNTIFS(Cards!$P$2:$P1023, "*Battlecry*", Cards!$B$2:$B1023, B379, Cards!$F$2:$F1023, "Neutral",Cards!$K$2:$K1023, "Minion", Cards!$Q$2:$Q1023, "Standard", Cards!$P$2:$P1023, "*Deathrattle*"))/C379),0)</f>
        <v>0</v>
      </c>
    </row>
    <row r="380" spans="2:19" ht="12.75">
      <c r="B380" s="978">
        <v>1</v>
      </c>
      <c r="C380" s="999">
        <f>COUNTIFS(Cards!$B$2:$B1023, B380, Cards!$F$2:$F1023, "Priest",Cards!$K$2:$K1023, "Minion", Cards!$Q$2:$Q1023, "Standard", Cards!$P$2:$P1023, "*Deathrattle*")+COUNTIFS(Cards!$B$2:$B1023, B380, Cards!$F$2:$F1023, "Neutral",Cards!$K$2:$K1023, "Minion", Cards!$Q$2:$Q1023, "Standard", Cards!$P$2:$P1023, "*Deathrattle*")</f>
        <v>3</v>
      </c>
      <c r="D380" s="979">
        <f>IFERROR(((SUMIFS(Cards!$M$2:$M1023, Cards!$B$2:$B1023, B380, Cards!$F$2:$F1023, "Priest",Cards!$K$2:$K1023, "Minion", Cards!$Q$2:$Q1023, "Standard", Cards!$P$2:$P1023, "*Deathrattle*")+SUMIFS(Cards!$M$2:$M1023, Cards!$B$2:$B1023, B380, Cards!$F$2:$F1023, "Neutral",Cards!$K$2:$K1023, "Minion", Cards!$Q$2:$Q1023, "Standard", Cards!$P$2:$P1023, "*Deathrattle*"))/C380),0)</f>
        <v>1</v>
      </c>
      <c r="E380" s="980">
        <f>IFERROR(((SUMIFS(Cards!$N$2:$N1023, Cards!$B$2:$B1023, B380, Cards!$F$2:$F1023, "Priest",Cards!$K$2:$K1023, "Minion", Cards!$Q$2:$Q1023, "Standard", Cards!$P$2:$P1023, "*Deathrattle*")+SUMIFS(Cards!$N$2:$N1023, Cards!$B$2:$B1023, B380, Cards!$F$2:$F1023, "Neutral",Cards!$K$2:$K1023, "Minion", Cards!$Q$2:$Q1023, "Standard", Cards!$P$2:$P1023, "*Deathrattle*"))/C380),0)</f>
        <v>1</v>
      </c>
      <c r="F380" s="981">
        <f>IFERROR(((COUNTIFS(Cards!$P$2:$P1023, "*Charge*", Cards!$B$2:$B1023, B380, Cards!$F$2:$F1023, "Priest",Cards!$K$2:$K1023, "Minion", Cards!$Q$2:$Q1023, "Standard", Cards!$P$2:$P1023, "*Deathrattle*")+COUNTIFS(Cards!$P$2:$P1023, "*Charge*", Cards!$B$2:$B1023, B380, Cards!$F$2:$F1023, "Neutral",Cards!$K$2:$K1023, "Minion", Cards!$Q$2:$Q1023, "Standard", Cards!$P$2:$P1023, "*Deathrattle*"))/C380),0)</f>
        <v>0</v>
      </c>
      <c r="G380" s="982">
        <f>IFERROR(((COUNTIFS(Cards!$P$2:$P1023, "*Taunt*", Cards!$B$2:$B1023, B380, Cards!$F$2:$F1023, "Priest",Cards!$K$2:$K1023, "Minion", Cards!$Q$2:$Q1023, "Standard", Cards!$P$2:$P1023, "*Deathrattle*")+COUNTIFS(Cards!$P$2:$P1023, "*Taunt*", Cards!$B$2:$B1023, B380, Cards!$F$2:$F1023, "Neutral",Cards!$K$2:$K1023, "Minion", Cards!$Q$2:$Q1023, "Standard", Cards!$P$2:$P1023, "*Deathrattle*"))/C380),0)</f>
        <v>0</v>
      </c>
      <c r="H380" s="983">
        <f>IFERROR(((COUNTIFS(Cards!$P$2:$P1023, "*Spell Damage*", Cards!$B$2:$B1023, B380, Cards!$F$2:$F1023, "Priest",Cards!$K$2:$K1023, "Minion", Cards!$Q$2:$Q1023, "Standard", Cards!$P$2:$P1023, "*Deathrattle*")+COUNTIFS(Cards!$P$2:$P1023, "*Spell Damage*", Cards!$B$2:$B1023, B380, Cards!$F$2:$F1023, "Neutral",Cards!$K$2:$K1023, "Minion", Cards!$Q$2:$Q1023, "Standard", Cards!$P$2:$P1023, "*Deathrattle*"))/C380),0)</f>
        <v>0</v>
      </c>
      <c r="I380" s="332" t="s">
        <v>2217</v>
      </c>
      <c r="J380" s="982">
        <f>IFERROR(((COUNTIFS(Cards!$P$2:$P1023, "*Divine Shield*", Cards!$B$2:$B1023, B380, Cards!$F$2:$F1023, "Priest",Cards!$K$2:$K1023, "Minion", Cards!$Q$2:$Q1023, "Standard", Cards!$P$2:$P1023, "*Deathrattle*")+COUNTIFS(Cards!$P$2:$P1023, "*Divine Shield*", Cards!$B$2:$B1023, B380, Cards!$F$2:$F1023, "Neutral",Cards!$K$2:$K1023, "Minion", Cards!$Q$2:$Q1023, "Standard", Cards!$P$2:$P1023, "*Deathrattle*"))/C380),0)</f>
        <v>0</v>
      </c>
      <c r="K380" s="983">
        <f>IFERROR(((COUNTIFS(Cards!$P$2:$P1023, "*Battlecry*", Cards!$B$2:$B1023, B380, Cards!$F$2:$F1023, "Priest",Cards!$K$2:$K1023, "Minion", Cards!$Q$2:$Q1023, "Standard", Cards!$P$2:$P1023, "*Deathrattle*")+COUNTIFS(Cards!$P$2:$P1023, "*Battlecry*", Cards!$B$2:$B1023, B380, Cards!$F$2:$F1023, "Neutral",Cards!$K$2:$K1023, "Minion", Cards!$Q$2:$Q1023, "Standard", Cards!$P$2:$P1023, "*Deathrattle*"))/C380),0)</f>
        <v>0</v>
      </c>
    </row>
    <row r="381" spans="2:19" ht="12.75">
      <c r="B381" s="978">
        <v>2</v>
      </c>
      <c r="C381" s="999">
        <f>COUNTIFS(Cards!$B$2:$B1023, B381, Cards!$F$2:$F1023, "Priest",Cards!$K$2:$K1023, "Minion", Cards!$Q$2:$Q1023, "Standard", Cards!$P$2:$P1023, "*Deathrattle*")+COUNTIFS(Cards!$B$2:$B1023, B381, Cards!$F$2:$F1023, "Neutral",Cards!$K$2:$K1023, "Minion", Cards!$Q$2:$Q1023, "Standard", Cards!$P$2:$P1023, "*Deathrattle*")</f>
        <v>3</v>
      </c>
      <c r="D381" s="979">
        <f>IFERROR(((SUMIFS(Cards!$M$2:$M1023, Cards!$B$2:$B1023, B381, Cards!$F$2:$F1023, "Priest",Cards!$K$2:$K1023, "Minion", Cards!$Q$2:$Q1023, "Standard", Cards!$P$2:$P1023, "*Deathrattle*")+SUMIFS(Cards!$M$2:$M1023, Cards!$B$2:$B1023, B381, Cards!$F$2:$F1023, "Neutral",Cards!$K$2:$K1023, "Minion", Cards!$Q$2:$Q1023, "Standard", Cards!$P$2:$P1023, "*Deathrattle*"))/C381),0)</f>
        <v>2</v>
      </c>
      <c r="E381" s="980">
        <f>IFERROR(((SUMIFS(Cards!$N$2:$N1023, Cards!$B$2:$B1023, B381, Cards!$F$2:$F1023, "Priest",Cards!$K$2:$K1023, "Minion", Cards!$Q$2:$Q1023, "Standard", Cards!$P$2:$P1023, "*Deathrattle*")+SUMIFS(Cards!$N$2:$N1023, Cards!$B$2:$B1023, B381, Cards!$F$2:$F1023, "Neutral",Cards!$K$2:$K1023, "Minion", Cards!$Q$2:$Q1023, "Standard", Cards!$P$2:$P1023, "*Deathrattle*"))/C381),0)</f>
        <v>1.3333333333333333</v>
      </c>
      <c r="F381" s="981">
        <f>IFERROR(((COUNTIFS(Cards!$P$2:$P1023, "*Charge*", Cards!$B$2:$B1023, B381, Cards!$F$2:$F1023, "Priest",Cards!$K$2:$K1023, "Minion", Cards!$Q$2:$Q1023, "Standard", Cards!$P$2:$P1023, "*Deathrattle*")+COUNTIFS(Cards!$P$2:$P1023, "*Charge*", Cards!$B$2:$B1023, B381, Cards!$F$2:$F1023, "Neutral",Cards!$K$2:$K1023, "Minion", Cards!$Q$2:$Q1023, "Standard", Cards!$P$2:$P1023, "*Deathrattle*"))/C381),0)</f>
        <v>0</v>
      </c>
      <c r="G381" s="982">
        <f>IFERROR(((COUNTIFS(Cards!$P$2:$P1023, "*Taunt*", Cards!$B$2:$B1023, B381, Cards!$F$2:$F1023, "Priest",Cards!$K$2:$K1023, "Minion", Cards!$Q$2:$Q1023, "Standard", Cards!$P$2:$P1023, "*Deathrattle*")+COUNTIFS(Cards!$P$2:$P1023, "*Taunt*", Cards!$B$2:$B1023, B381, Cards!$F$2:$F1023, "Neutral",Cards!$K$2:$K1023, "Minion", Cards!$Q$2:$Q1023, "Standard", Cards!$P$2:$P1023, "*Deathrattle*"))/C381),0)</f>
        <v>0</v>
      </c>
      <c r="H381" s="983">
        <f>IFERROR(((COUNTIFS(Cards!$P$2:$P1023, "*Spell Damage*", Cards!$B$2:$B1023, B381, Cards!$F$2:$F1023, "Priest",Cards!$K$2:$K1023, "Minion", Cards!$Q$2:$Q1023, "Standard", Cards!$P$2:$P1023, "*Deathrattle*")+COUNTIFS(Cards!$P$2:$P1023, "*Spell Damage*", Cards!$B$2:$B1023, B381, Cards!$F$2:$F1023, "Neutral",Cards!$K$2:$K1023, "Minion", Cards!$Q$2:$Q1023, "Standard", Cards!$P$2:$P1023, "*Deathrattle*"))/C381),0)</f>
        <v>0.33333333333333331</v>
      </c>
      <c r="I381" s="332" t="s">
        <v>2217</v>
      </c>
      <c r="J381" s="982">
        <f>IFERROR(((COUNTIFS(Cards!$P$2:$P1023, "*Divine Shield*", Cards!$B$2:$B1023, B381, Cards!$F$2:$F1023, "Priest",Cards!$K$2:$K1023, "Minion", Cards!$Q$2:$Q1023, "Standard", Cards!$P$2:$P1023, "*Deathrattle*")+COUNTIFS(Cards!$P$2:$P1023, "*Divine Shield*", Cards!$B$2:$B1023, B381, Cards!$F$2:$F1023, "Neutral",Cards!$K$2:$K1023, "Minion", Cards!$Q$2:$Q1023, "Standard", Cards!$P$2:$P1023, "*Deathrattle*"))/C381),0)</f>
        <v>0</v>
      </c>
      <c r="K381" s="983">
        <f>IFERROR(((COUNTIFS(Cards!$P$2:$P1023, "*Battlecry*", Cards!$B$2:$B1023, B381, Cards!$F$2:$F1023, "Priest",Cards!$K$2:$K1023, "Minion", Cards!$Q$2:$Q1023, "Standard", Cards!$P$2:$P1023, "*Deathrattle*")+COUNTIFS(Cards!$P$2:$P1023, "*Battlecry*", Cards!$B$2:$B1023, B381, Cards!$F$2:$F1023, "Neutral",Cards!$K$2:$K1023, "Minion", Cards!$Q$2:$Q1023, "Standard", Cards!$P$2:$P1023, "*Deathrattle*"))/C381),0)</f>
        <v>0</v>
      </c>
    </row>
    <row r="382" spans="2:19" ht="12.75">
      <c r="B382" s="978">
        <v>3</v>
      </c>
      <c r="C382" s="999">
        <f>COUNTIFS(Cards!$B$2:$B1023, B382, Cards!$F$2:$F1023, "Priest",Cards!$K$2:$K1023, "Minion", Cards!$Q$2:$Q1023, "Standard", Cards!$P$2:$P1023, "*Deathrattle*")+COUNTIFS(Cards!$B$2:$B1023, B382, Cards!$F$2:$F1023, "Neutral",Cards!$K$2:$K1023, "Minion", Cards!$Q$2:$Q1023, "Standard", Cards!$P$2:$P1023, "*Deathrattle*")</f>
        <v>2</v>
      </c>
      <c r="D382" s="979">
        <f>IFERROR(((SUMIFS(Cards!$M$2:$M1023, Cards!$B$2:$B1023, B382, Cards!$F$2:$F1023, "Priest",Cards!$K$2:$K1023, "Minion", Cards!$Q$2:$Q1023, "Standard", Cards!$P$2:$P1023, "*Deathrattle*")+SUMIFS(Cards!$M$2:$M1023, Cards!$B$2:$B1023, B382, Cards!$F$2:$F1023, "Neutral",Cards!$K$2:$K1023, "Minion", Cards!$Q$2:$Q1023, "Standard", Cards!$P$2:$P1023, "*Deathrattle*"))/C382),0)</f>
        <v>2</v>
      </c>
      <c r="E382" s="980">
        <f>IFERROR(((SUMIFS(Cards!$N$2:$N1023, Cards!$B$2:$B1023, B382, Cards!$F$2:$F1023, "Priest",Cards!$K$2:$K1023, "Minion", Cards!$Q$2:$Q1023, "Standard", Cards!$P$2:$P1023, "*Deathrattle*")+SUMIFS(Cards!$N$2:$N1023, Cards!$B$2:$B1023, B382, Cards!$F$2:$F1023, "Neutral",Cards!$K$2:$K1023, "Minion", Cards!$Q$2:$Q1023, "Standard", Cards!$P$2:$P1023, "*Deathrattle*"))/C382),0)</f>
        <v>2.5</v>
      </c>
      <c r="F382" s="981">
        <f>IFERROR(((COUNTIFS(Cards!$P$2:$P1023, "*Charge*", Cards!$B$2:$B1023, B382, Cards!$F$2:$F1023, "Priest",Cards!$K$2:$K1023, "Minion", Cards!$Q$2:$Q1023, "Standard", Cards!$P$2:$P1023, "*Deathrattle*")+COUNTIFS(Cards!$P$2:$P1023, "*Charge*", Cards!$B$2:$B1023, B382, Cards!$F$2:$F1023, "Neutral",Cards!$K$2:$K1023, "Minion", Cards!$Q$2:$Q1023, "Standard", Cards!$P$2:$P1023, "*Deathrattle*"))/C382),0)</f>
        <v>0</v>
      </c>
      <c r="G382" s="982">
        <f>IFERROR(((COUNTIFS(Cards!$P$2:$P1023, "*Taunt*", Cards!$B$2:$B1023, B382, Cards!$F$2:$F1023, "Priest",Cards!$K$2:$K1023, "Minion", Cards!$Q$2:$Q1023, "Standard", Cards!$P$2:$P1023, "*Deathrattle*")+COUNTIFS(Cards!$P$2:$P1023, "*Taunt*", Cards!$B$2:$B1023, B382, Cards!$F$2:$F1023, "Neutral",Cards!$K$2:$K1023, "Minion", Cards!$Q$2:$Q1023, "Standard", Cards!$P$2:$P1023, "*Deathrattle*"))/C382),0)</f>
        <v>0</v>
      </c>
      <c r="H382" s="983">
        <f>IFERROR(((COUNTIFS(Cards!$P$2:$P1023, "*Spell Damage*", Cards!$B$2:$B1023, B382, Cards!$F$2:$F1023, "Priest",Cards!$K$2:$K1023, "Minion", Cards!$Q$2:$Q1023, "Standard", Cards!$P$2:$P1023, "*Deathrattle*")+COUNTIFS(Cards!$P$2:$P1023, "*Spell Damage*", Cards!$B$2:$B1023, B382, Cards!$F$2:$F1023, "Neutral",Cards!$K$2:$K1023, "Minion", Cards!$Q$2:$Q1023, "Standard", Cards!$P$2:$P1023, "*Deathrattle*"))/C382),0)</f>
        <v>0</v>
      </c>
      <c r="I382" s="332" t="s">
        <v>2217</v>
      </c>
      <c r="J382" s="982">
        <f>IFERROR(((COUNTIFS(Cards!$P$2:$P1023, "*Divine Shield*", Cards!$B$2:$B1023, B382, Cards!$F$2:$F1023, "Priest",Cards!$K$2:$K1023, "Minion", Cards!$Q$2:$Q1023, "Standard", Cards!$P$2:$P1023, "*Deathrattle*")+COUNTIFS(Cards!$P$2:$P1023, "*Divine Shield*", Cards!$B$2:$B1023, B382, Cards!$F$2:$F1023, "Neutral",Cards!$K$2:$K1023, "Minion", Cards!$Q$2:$Q1023, "Standard", Cards!$P$2:$P1023, "*Deathrattle*"))/C382),0)</f>
        <v>0</v>
      </c>
      <c r="K382" s="983">
        <f>IFERROR(((COUNTIFS(Cards!$P$2:$P1023, "*Battlecry*", Cards!$B$2:$B1023, B382, Cards!$F$2:$F1023, "Priest",Cards!$K$2:$K1023, "Minion", Cards!$Q$2:$Q1023, "Standard", Cards!$P$2:$P1023, "*Deathrattle*")+COUNTIFS(Cards!$P$2:$P1023, "*Battlecry*", Cards!$B$2:$B1023, B382, Cards!$F$2:$F1023, "Neutral",Cards!$K$2:$K1023, "Minion", Cards!$Q$2:$Q1023, "Standard", Cards!$P$2:$P1023, "*Deathrattle*"))/C382),0)</f>
        <v>0</v>
      </c>
    </row>
    <row r="383" spans="2:19" ht="12.75">
      <c r="B383" s="978">
        <v>4</v>
      </c>
      <c r="C383" s="999">
        <f>COUNTIFS(Cards!$B$2:$B1023, B383, Cards!$F$2:$F1023, "Priest",Cards!$K$2:$K1023, "Minion", Cards!$Q$2:$Q1023, "Standard", Cards!$P$2:$P1023, "*Deathrattle*")+COUNTIFS(Cards!$B$2:$B1023, B383, Cards!$F$2:$F1023, "Neutral",Cards!$K$2:$K1023, "Minion", Cards!$Q$2:$Q1023, "Standard", Cards!$P$2:$P1023, "*Deathrattle*")</f>
        <v>4</v>
      </c>
      <c r="D383" s="979">
        <f>IFERROR(((SUMIFS(Cards!$M$2:$M1023, Cards!$B$2:$B1023, B383, Cards!$F$2:$F1023, "Priest",Cards!$K$2:$K1023, "Minion", Cards!$Q$2:$Q1023, "Standard", Cards!$P$2:$P1023, "*Deathrattle*")+SUMIFS(Cards!$M$2:$M1023, Cards!$B$2:$B1023, B383, Cards!$F$2:$F1023, "Neutral",Cards!$K$2:$K1023, "Minion", Cards!$Q$2:$Q1023, "Standard", Cards!$P$2:$P1023, "*Deathrattle*"))/C383),0)</f>
        <v>2.75</v>
      </c>
      <c r="E383" s="980">
        <f>IFERROR(((SUMIFS(Cards!$N$2:$N1023, Cards!$B$2:$B1023, B383, Cards!$F$2:$F1023, "Priest",Cards!$K$2:$K1023, "Minion", Cards!$Q$2:$Q1023, "Standard", Cards!$P$2:$P1023, "*Deathrattle*")+SUMIFS(Cards!$N$2:$N1023, Cards!$B$2:$B1023, B383, Cards!$F$2:$F1023, "Neutral",Cards!$K$2:$K1023, "Minion", Cards!$Q$2:$Q1023, "Standard", Cards!$P$2:$P1023, "*Deathrattle*"))/C383),0)</f>
        <v>2.25</v>
      </c>
      <c r="F383" s="981">
        <f>IFERROR(((COUNTIFS(Cards!$P$2:$P1023, "*Charge*", Cards!$B$2:$B1023, B383, Cards!$F$2:$F1023, "Priest",Cards!$K$2:$K1023, "Minion", Cards!$Q$2:$Q1023, "Standard", Cards!$P$2:$P1023, "*Deathrattle*")+COUNTIFS(Cards!$P$2:$P1023, "*Charge*", Cards!$B$2:$B1023, B383, Cards!$F$2:$F1023, "Neutral",Cards!$K$2:$K1023, "Minion", Cards!$Q$2:$Q1023, "Standard", Cards!$P$2:$P1023, "*Deathrattle*"))/C383),0)</f>
        <v>0</v>
      </c>
      <c r="G383" s="982">
        <f>IFERROR(((COUNTIFS(Cards!$P$2:$P1023, "*Taunt*", Cards!$B$2:$B1023, B383, Cards!$F$2:$F1023, "Priest",Cards!$K$2:$K1023, "Minion", Cards!$Q$2:$Q1023, "Standard", Cards!$P$2:$P1023, "*Deathrattle*")+COUNTIFS(Cards!$P$2:$P1023, "*Taunt*", Cards!$B$2:$B1023, B383, Cards!$F$2:$F1023, "Neutral",Cards!$K$2:$K1023, "Minion", Cards!$Q$2:$Q1023, "Standard", Cards!$P$2:$P1023, "*Deathrattle*"))/C383),0)</f>
        <v>0.25</v>
      </c>
      <c r="H383" s="983">
        <f>IFERROR(((COUNTIFS(Cards!$P$2:$P1023, "*Spell Damage*", Cards!$B$2:$B1023, B383, Cards!$F$2:$F1023, "Priest",Cards!$K$2:$K1023, "Minion", Cards!$Q$2:$Q1023, "Standard", Cards!$P$2:$P1023, "*Deathrattle*")+COUNTIFS(Cards!$P$2:$P1023, "*Spell Damage*", Cards!$B$2:$B1023, B383, Cards!$F$2:$F1023, "Neutral",Cards!$K$2:$K1023, "Minion", Cards!$Q$2:$Q1023, "Standard", Cards!$P$2:$P1023, "*Deathrattle*"))/C383),0)</f>
        <v>0</v>
      </c>
      <c r="I383" s="332" t="s">
        <v>2217</v>
      </c>
      <c r="J383" s="982">
        <f>IFERROR(((COUNTIFS(Cards!$P$2:$P1023, "*Divine Shield*", Cards!$B$2:$B1023, B383, Cards!$F$2:$F1023, "Priest",Cards!$K$2:$K1023, "Minion", Cards!$Q$2:$Q1023, "Standard", Cards!$P$2:$P1023, "*Deathrattle*")+COUNTIFS(Cards!$P$2:$P1023, "*Divine Shield*", Cards!$B$2:$B1023, B383, Cards!$F$2:$F1023, "Neutral",Cards!$K$2:$K1023, "Minion", Cards!$Q$2:$Q1023, "Standard", Cards!$P$2:$P1023, "*Deathrattle*"))/C383),0)</f>
        <v>0</v>
      </c>
      <c r="K383" s="983">
        <f>IFERROR(((COUNTIFS(Cards!$P$2:$P1023, "*Battlecry*", Cards!$B$2:$B1023, B383, Cards!$F$2:$F1023, "Priest",Cards!$K$2:$K1023, "Minion", Cards!$Q$2:$Q1023, "Standard", Cards!$P$2:$P1023, "*Deathrattle*")+COUNTIFS(Cards!$P$2:$P1023, "*Battlecry*", Cards!$B$2:$B1023, B383, Cards!$F$2:$F1023, "Neutral",Cards!$K$2:$K1023, "Minion", Cards!$Q$2:$Q1023, "Standard", Cards!$P$2:$P1023, "*Deathrattle*"))/C383),0)</f>
        <v>0</v>
      </c>
    </row>
    <row r="384" spans="2:19" ht="12.75">
      <c r="B384" s="978">
        <v>5</v>
      </c>
      <c r="C384" s="999">
        <f>COUNTIFS(Cards!$B$2:$B1023, B384, Cards!$F$2:$F1023, "Priest",Cards!$K$2:$K1023, "Minion", Cards!$Q$2:$Q1023, "Standard", Cards!$P$2:$P1023, "*Deathrattle*")+COUNTIFS(Cards!$B$2:$B1023, B384, Cards!$F$2:$F1023, "Neutral",Cards!$K$2:$K1023, "Minion", Cards!$Q$2:$Q1023, "Standard", Cards!$P$2:$P1023, "*Deathrattle*")</f>
        <v>3</v>
      </c>
      <c r="D384" s="979">
        <f>IFERROR(((SUMIFS(Cards!$M$2:$M1023, Cards!$B$2:$B1023, B384, Cards!$F$2:$F1023, "Priest",Cards!$K$2:$K1023, "Minion", Cards!$Q$2:$Q1023, "Standard", Cards!$P$2:$P1023, "*Deathrattle*")+SUMIFS(Cards!$M$2:$M1023, Cards!$B$2:$B1023, B384, Cards!$F$2:$F1023, "Neutral",Cards!$K$2:$K1023, "Minion", Cards!$Q$2:$Q1023, "Standard", Cards!$P$2:$P1023, "*Deathrattle*"))/C384),0)</f>
        <v>4.666666666666667</v>
      </c>
      <c r="E384" s="980">
        <f>IFERROR(((SUMIFS(Cards!$N$2:$N1023, Cards!$B$2:$B1023, B384, Cards!$F$2:$F1023, "Priest",Cards!$K$2:$K1023, "Minion", Cards!$Q$2:$Q1023, "Standard", Cards!$P$2:$P1023, "*Deathrattle*")+SUMIFS(Cards!$N$2:$N1023, Cards!$B$2:$B1023, B384, Cards!$F$2:$F1023, "Neutral",Cards!$K$2:$K1023, "Minion", Cards!$Q$2:$Q1023, "Standard", Cards!$P$2:$P1023, "*Deathrattle*"))/C384),0)</f>
        <v>4.666666666666667</v>
      </c>
      <c r="F384" s="981">
        <f>IFERROR(((COUNTIFS(Cards!$P$2:$P1023, "*Charge*", Cards!$B$2:$B1023, B384, Cards!$F$2:$F1023, "Priest",Cards!$K$2:$K1023, "Minion", Cards!$Q$2:$Q1023, "Standard", Cards!$P$2:$P1023, "*Deathrattle*")+COUNTIFS(Cards!$P$2:$P1023, "*Charge*", Cards!$B$2:$B1023, B384, Cards!$F$2:$F1023, "Neutral",Cards!$K$2:$K1023, "Minion", Cards!$Q$2:$Q1023, "Standard", Cards!$P$2:$P1023, "*Deathrattle*"))/C384),0)</f>
        <v>0</v>
      </c>
      <c r="G384" s="982">
        <f>IFERROR(((COUNTIFS(Cards!$P$2:$P1023, "*Taunt*", Cards!$B$2:$B1023, B384, Cards!$F$2:$F1023, "Priest",Cards!$K$2:$K1023, "Minion", Cards!$Q$2:$Q1023, "Standard", Cards!$P$2:$P1023, "*Deathrattle*")+COUNTIFS(Cards!$P$2:$P1023, "*Taunt*", Cards!$B$2:$B1023, B384, Cards!$F$2:$F1023, "Neutral",Cards!$K$2:$K1023, "Minion", Cards!$Q$2:$Q1023, "Standard", Cards!$P$2:$P1023, "*Deathrattle*"))/C384),0)</f>
        <v>0.33333333333333331</v>
      </c>
      <c r="H384" s="983">
        <f>IFERROR(((COUNTIFS(Cards!$P$2:$P1023, "*Spell Damage*", Cards!$B$2:$B1023, B384, Cards!$F$2:$F1023, "Priest",Cards!$K$2:$K1023, "Minion", Cards!$Q$2:$Q1023, "Standard", Cards!$P$2:$P1023, "*Deathrattle*")+COUNTIFS(Cards!$P$2:$P1023, "*Spell Damage*", Cards!$B$2:$B1023, B384, Cards!$F$2:$F1023, "Neutral",Cards!$K$2:$K1023, "Minion", Cards!$Q$2:$Q1023, "Standard", Cards!$P$2:$P1023, "*Deathrattle*"))/C384),0)</f>
        <v>0</v>
      </c>
      <c r="I384" s="332" t="s">
        <v>2217</v>
      </c>
      <c r="J384" s="982">
        <f>IFERROR(((COUNTIFS(Cards!$P$2:$P1023, "*Divine Shield*", Cards!$B$2:$B1023, B384, Cards!$F$2:$F1023, "Priest",Cards!$K$2:$K1023, "Minion", Cards!$Q$2:$Q1023, "Standard", Cards!$P$2:$P1023, "*Deathrattle*")+COUNTIFS(Cards!$P$2:$P1023, "*Divine Shield*", Cards!$B$2:$B1023, B384, Cards!$F$2:$F1023, "Neutral",Cards!$K$2:$K1023, "Minion", Cards!$Q$2:$Q1023, "Standard", Cards!$P$2:$P1023, "*Deathrattle*"))/C384),0)</f>
        <v>0</v>
      </c>
      <c r="K384" s="983">
        <f>IFERROR(((COUNTIFS(Cards!$P$2:$P1023, "*Battlecry*", Cards!$B$2:$B1023, B384, Cards!$F$2:$F1023, "Priest",Cards!$K$2:$K1023, "Minion", Cards!$Q$2:$Q1023, "Standard", Cards!$P$2:$P1023, "*Deathrattle*")+COUNTIFS(Cards!$P$2:$P1023, "*Battlecry*", Cards!$B$2:$B1023, B384, Cards!$F$2:$F1023, "Neutral",Cards!$K$2:$K1023, "Minion", Cards!$Q$2:$Q1023, "Standard", Cards!$P$2:$P1023, "*Deathrattle*"))/C384),0)</f>
        <v>0</v>
      </c>
    </row>
    <row r="385" spans="2:11" ht="12.75">
      <c r="B385" s="978">
        <v>6</v>
      </c>
      <c r="C385" s="999">
        <f>COUNTIFS(Cards!$B$2:$B1023, B385, Cards!$F$2:$F1023, "Priest",Cards!$K$2:$K1023, "Minion", Cards!$Q$2:$Q1023, "Standard", Cards!$P$2:$P1023, "*Deathrattle*")+COUNTIFS(Cards!$B$2:$B1023, B385, Cards!$F$2:$F1023, "Neutral",Cards!$K$2:$K1023, "Minion", Cards!$Q$2:$Q1023, "Standard", Cards!$P$2:$P1023, "*Deathrattle*")</f>
        <v>5</v>
      </c>
      <c r="D385" s="979">
        <f>IFERROR(((SUMIFS(Cards!$M$2:$M1023, Cards!$B$2:$B1023, B385, Cards!$F$2:$F1023, "Priest",Cards!$K$2:$K1023, "Minion", Cards!$Q$2:$Q1023, "Standard", Cards!$P$2:$P1023, "*Deathrattle*")+SUMIFS(Cards!$M$2:$M1023, Cards!$B$2:$B1023, B385, Cards!$F$2:$F1023, "Neutral",Cards!$K$2:$K1023, "Minion", Cards!$Q$2:$Q1023, "Standard", Cards!$P$2:$P1023, "*Deathrattle*"))/C385),0)</f>
        <v>5.4</v>
      </c>
      <c r="E385" s="980">
        <f>IFERROR(((SUMIFS(Cards!$N$2:$N1023, Cards!$B$2:$B1023, B385, Cards!$F$2:$F1023, "Priest",Cards!$K$2:$K1023, "Minion", Cards!$Q$2:$Q1023, "Standard", Cards!$P$2:$P1023, "*Deathrattle*")+SUMIFS(Cards!$N$2:$N1023, Cards!$B$2:$B1023, B385, Cards!$F$2:$F1023, "Neutral",Cards!$K$2:$K1023, "Minion", Cards!$Q$2:$Q1023, "Standard", Cards!$P$2:$P1023, "*Deathrattle*"))/C385),0)</f>
        <v>5.4</v>
      </c>
      <c r="F385" s="981">
        <f>IFERROR(((COUNTIFS(Cards!$P$2:$P1023, "*Charge*", Cards!$B$2:$B1023, B385, Cards!$F$2:$F1023, "Priest",Cards!$K$2:$K1023, "Minion", Cards!$Q$2:$Q1023, "Standard", Cards!$P$2:$P1023, "*Deathrattle*")+COUNTIFS(Cards!$P$2:$P1023, "*Charge*", Cards!$B$2:$B1023, B385, Cards!$F$2:$F1023, "Neutral",Cards!$K$2:$K1023, "Minion", Cards!$Q$2:$Q1023, "Standard", Cards!$P$2:$P1023, "*Deathrattle*"))/C385),0)</f>
        <v>0</v>
      </c>
      <c r="G385" s="982">
        <f>IFERROR(((COUNTIFS(Cards!$P$2:$P1023, "*Taunt*", Cards!$B$2:$B1023, B385, Cards!$F$2:$F1023, "Priest",Cards!$K$2:$K1023, "Minion", Cards!$Q$2:$Q1023, "Standard", Cards!$P$2:$P1023, "*Deathrattle*")+COUNTIFS(Cards!$P$2:$P1023, "*Taunt*", Cards!$B$2:$B1023, B385, Cards!$F$2:$F1023, "Neutral",Cards!$K$2:$K1023, "Minion", Cards!$Q$2:$Q1023, "Standard", Cards!$P$2:$P1023, "*Deathrattle*"))/C385),0)</f>
        <v>0</v>
      </c>
      <c r="H385" s="983">
        <f>IFERROR(((COUNTIFS(Cards!$P$2:$P1023, "*Spell Damage*", Cards!$B$2:$B1023, B385, Cards!$F$2:$F1023, "Priest",Cards!$K$2:$K1023, "Minion", Cards!$Q$2:$Q1023, "Standard", Cards!$P$2:$P1023, "*Deathrattle*")+COUNTIFS(Cards!$P$2:$P1023, "*Spell Damage*", Cards!$B$2:$B1023, B385, Cards!$F$2:$F1023, "Neutral",Cards!$K$2:$K1023, "Minion", Cards!$Q$2:$Q1023, "Standard", Cards!$P$2:$P1023, "*Deathrattle*"))/C385),0)</f>
        <v>0</v>
      </c>
      <c r="I385" s="332" t="s">
        <v>2217</v>
      </c>
      <c r="J385" s="982">
        <f>IFERROR(((COUNTIFS(Cards!$P$2:$P1023, "*Divine Shield*", Cards!$B$2:$B1023, B385, Cards!$F$2:$F1023, "Priest",Cards!$K$2:$K1023, "Minion", Cards!$Q$2:$Q1023, "Standard", Cards!$P$2:$P1023, "*Deathrattle*")+COUNTIFS(Cards!$P$2:$P1023, "*Divine Shield*", Cards!$B$2:$B1023, B385, Cards!$F$2:$F1023, "Neutral",Cards!$K$2:$K1023, "Minion", Cards!$Q$2:$Q1023, "Standard", Cards!$P$2:$P1023, "*Deathrattle*"))/C385),0)</f>
        <v>0</v>
      </c>
      <c r="K385" s="983">
        <f>IFERROR(((COUNTIFS(Cards!$P$2:$P1023, "*Battlecry*", Cards!$B$2:$B1023, B385, Cards!$F$2:$F1023, "Priest",Cards!$K$2:$K1023, "Minion", Cards!$Q$2:$Q1023, "Standard", Cards!$P$2:$P1023, "*Deathrattle*")+COUNTIFS(Cards!$P$2:$P1023, "*Battlecry*", Cards!$B$2:$B1023, B385, Cards!$F$2:$F1023, "Neutral",Cards!$K$2:$K1023, "Minion", Cards!$Q$2:$Q1023, "Standard", Cards!$P$2:$P1023, "*Deathrattle*"))/C385),0)</f>
        <v>0</v>
      </c>
    </row>
    <row r="386" spans="2:11" ht="12.75">
      <c r="B386" s="978">
        <v>7</v>
      </c>
      <c r="C386" s="999">
        <f>COUNTIFS(Cards!$B$2:$B1023, B386, Cards!$F$2:$F1023, "Priest",Cards!$K$2:$K1023, "Minion", Cards!$Q$2:$Q1023, "Standard", Cards!$P$2:$P1023, "*Deathrattle*")+COUNTIFS(Cards!$B$2:$B1023, B386, Cards!$F$2:$F1023, "Neutral",Cards!$K$2:$K1023, "Minion", Cards!$Q$2:$Q1023, "Standard", Cards!$P$2:$P1023, "*Deathrattle*")</f>
        <v>1</v>
      </c>
      <c r="D386" s="979">
        <f>IFERROR(((SUMIFS(Cards!$M$2:$M1023, Cards!$B$2:$B1023, B386, Cards!$F$2:$F1023, "Priest",Cards!$K$2:$K1023, "Minion", Cards!$Q$2:$Q1023, "Standard", Cards!$P$2:$P1023, "*Deathrattle*")+SUMIFS(Cards!$M$2:$M1023, Cards!$B$2:$B1023, B386, Cards!$F$2:$F1023, "Neutral",Cards!$K$2:$K1023, "Minion", Cards!$Q$2:$Q1023, "Standard", Cards!$P$2:$P1023, "*Deathrattle*"))/C386),0)</f>
        <v>6</v>
      </c>
      <c r="E386" s="980">
        <f>IFERROR(((SUMIFS(Cards!$N$2:$N1023, Cards!$B$2:$B1023, B386, Cards!$F$2:$F1023, "Priest",Cards!$K$2:$K1023, "Minion", Cards!$Q$2:$Q1023, "Standard", Cards!$P$2:$P1023, "*Deathrattle*")+SUMIFS(Cards!$N$2:$N1023, Cards!$B$2:$B1023, B386, Cards!$F$2:$F1023, "Neutral",Cards!$K$2:$K1023, "Minion", Cards!$Q$2:$Q1023, "Standard", Cards!$P$2:$P1023, "*Deathrattle*"))/C386),0)</f>
        <v>6</v>
      </c>
      <c r="F386" s="981">
        <f>IFERROR(((COUNTIFS(Cards!$P$2:$P1023, "*Charge*", Cards!$B$2:$B1023, B386, Cards!$F$2:$F1023, "Priest",Cards!$K$2:$K1023, "Minion", Cards!$Q$2:$Q1023, "Standard", Cards!$P$2:$P1023, "*Deathrattle*")+COUNTIFS(Cards!$P$2:$P1023, "*Charge*", Cards!$B$2:$B1023, B386, Cards!$F$2:$F1023, "Neutral",Cards!$K$2:$K1023, "Minion", Cards!$Q$2:$Q1023, "Standard", Cards!$P$2:$P1023, "*Deathrattle*"))/C386),0)</f>
        <v>0</v>
      </c>
      <c r="G386" s="982">
        <f>IFERROR(((COUNTIFS(Cards!$P$2:$P1023, "*Taunt*", Cards!$B$2:$B1023, B386, Cards!$F$2:$F1023, "Priest",Cards!$K$2:$K1023, "Minion", Cards!$Q$2:$Q1023, "Standard", Cards!$P$2:$P1023, "*Deathrattle*")+COUNTIFS(Cards!$P$2:$P1023, "*Taunt*", Cards!$B$2:$B1023, B386, Cards!$F$2:$F1023, "Neutral",Cards!$K$2:$K1023, "Minion", Cards!$Q$2:$Q1023, "Standard", Cards!$P$2:$P1023, "*Deathrattle*"))/C386),0)</f>
        <v>1</v>
      </c>
      <c r="H386" s="983">
        <f>IFERROR(((COUNTIFS(Cards!$P$2:$P1023, "*Spell Damage*", Cards!$B$2:$B1023, B386, Cards!$F$2:$F1023, "Priest",Cards!$K$2:$K1023, "Minion", Cards!$Q$2:$Q1023, "Standard", Cards!$P$2:$P1023, "*Deathrattle*")+COUNTIFS(Cards!$P$2:$P1023, "*Spell Damage*", Cards!$B$2:$B1023, B386, Cards!$F$2:$F1023, "Neutral",Cards!$K$2:$K1023, "Minion", Cards!$Q$2:$Q1023, "Standard", Cards!$P$2:$P1023, "*Deathrattle*"))/C386),0)</f>
        <v>0</v>
      </c>
      <c r="I386" s="332" t="s">
        <v>2217</v>
      </c>
      <c r="J386" s="982">
        <f>IFERROR(((COUNTIFS(Cards!$P$2:$P1023, "*Divine Shield*", Cards!$B$2:$B1023, B386, Cards!$F$2:$F1023, "Priest",Cards!$K$2:$K1023, "Minion", Cards!$Q$2:$Q1023, "Standard", Cards!$P$2:$P1023, "*Deathrattle*")+COUNTIFS(Cards!$P$2:$P1023, "*Divine Shield*", Cards!$B$2:$B1023, B386, Cards!$F$2:$F1023, "Neutral",Cards!$K$2:$K1023, "Minion", Cards!$Q$2:$Q1023, "Standard", Cards!$P$2:$P1023, "*Deathrattle*"))/C386),0)</f>
        <v>0</v>
      </c>
      <c r="K386" s="983">
        <f>IFERROR(((COUNTIFS(Cards!$P$2:$P1023, "*Battlecry*", Cards!$B$2:$B1023, B386, Cards!$F$2:$F1023, "Priest",Cards!$K$2:$K1023, "Minion", Cards!$Q$2:$Q1023, "Standard", Cards!$P$2:$P1023, "*Deathrattle*")+COUNTIFS(Cards!$P$2:$P1023, "*Battlecry*", Cards!$B$2:$B1023, B386, Cards!$F$2:$F1023, "Neutral",Cards!$K$2:$K1023, "Minion", Cards!$Q$2:$Q1023, "Standard", Cards!$P$2:$P1023, "*Deathrattle*"))/C386),0)</f>
        <v>0</v>
      </c>
    </row>
    <row r="387" spans="2:11" ht="12.75">
      <c r="B387" s="978">
        <v>8</v>
      </c>
      <c r="C387" s="999">
        <f>COUNTIFS(Cards!$B$2:$B1023, B387, Cards!$F$2:$F1023, "Priest",Cards!$K$2:$K1023, "Minion", Cards!$Q$2:$Q1023, "Standard", Cards!$P$2:$P1023, "*Deathrattle*")+COUNTIFS(Cards!$B$2:$B1023, B387, Cards!$F$2:$F1023, "Neutral",Cards!$K$2:$K1023, "Minion", Cards!$Q$2:$Q1023, "Standard", Cards!$P$2:$P1023, "*Deathrattle*")</f>
        <v>0</v>
      </c>
      <c r="D387" s="979">
        <f>IFERROR(((SUMIFS(Cards!$M$2:$M1023, Cards!$B$2:$B1023, B387, Cards!$F$2:$F1023, "Priest",Cards!$K$2:$K1023, "Minion", Cards!$Q$2:$Q1023, "Standard", Cards!$P$2:$P1023, "*Deathrattle*")+SUMIFS(Cards!$M$2:$M1023, Cards!$B$2:$B1023, B387, Cards!$F$2:$F1023, "Neutral",Cards!$K$2:$K1023, "Minion", Cards!$Q$2:$Q1023, "Standard", Cards!$P$2:$P1023, "*Deathrattle*"))/C387),0)</f>
        <v>0</v>
      </c>
      <c r="E387" s="980">
        <f>IFERROR(((SUMIFS(Cards!$N$2:$N1023, Cards!$B$2:$B1023, B387, Cards!$F$2:$F1023, "Priest",Cards!$K$2:$K1023, "Minion", Cards!$Q$2:$Q1023, "Standard", Cards!$P$2:$P1023, "*Deathrattle*")+SUMIFS(Cards!$N$2:$N1023, Cards!$B$2:$B1023, B387, Cards!$F$2:$F1023, "Neutral",Cards!$K$2:$K1023, "Minion", Cards!$Q$2:$Q1023, "Standard", Cards!$P$2:$P1023, "*Deathrattle*"))/C387),0)</f>
        <v>0</v>
      </c>
      <c r="F387" s="981">
        <f>IFERROR(((COUNTIFS(Cards!$P$2:$P1023, "*Charge*", Cards!$B$2:$B1023, B387, Cards!$F$2:$F1023, "Priest",Cards!$K$2:$K1023, "Minion", Cards!$Q$2:$Q1023, "Standard", Cards!$P$2:$P1023, "*Deathrattle*")+COUNTIFS(Cards!$P$2:$P1023, "*Charge*", Cards!$B$2:$B1023, B387, Cards!$F$2:$F1023, "Neutral",Cards!$K$2:$K1023, "Minion", Cards!$Q$2:$Q1023, "Standard", Cards!$P$2:$P1023, "*Deathrattle*"))/C387),0)</f>
        <v>0</v>
      </c>
      <c r="G387" s="982">
        <f>IFERROR(((COUNTIFS(Cards!$P$2:$P1023, "*Taunt*", Cards!$B$2:$B1023, B387, Cards!$F$2:$F1023, "Priest",Cards!$K$2:$K1023, "Minion", Cards!$Q$2:$Q1023, "Standard", Cards!$P$2:$P1023, "*Deathrattle*")+COUNTIFS(Cards!$P$2:$P1023, "*Taunt*", Cards!$B$2:$B1023, B387, Cards!$F$2:$F1023, "Neutral",Cards!$K$2:$K1023, "Minion", Cards!$Q$2:$Q1023, "Standard", Cards!$P$2:$P1023, "*Deathrattle*"))/C387),0)</f>
        <v>0</v>
      </c>
      <c r="H387" s="983">
        <f>IFERROR(((COUNTIFS(Cards!$P$2:$P1023, "*Spell Damage*", Cards!$B$2:$B1023, B387, Cards!$F$2:$F1023, "Priest",Cards!$K$2:$K1023, "Minion", Cards!$Q$2:$Q1023, "Standard", Cards!$P$2:$P1023, "*Deathrattle*")+COUNTIFS(Cards!$P$2:$P1023, "*Spell Damage*", Cards!$B$2:$B1023, B387, Cards!$F$2:$F1023, "Neutral",Cards!$K$2:$K1023, "Minion", Cards!$Q$2:$Q1023, "Standard", Cards!$P$2:$P1023, "*Deathrattle*"))/C387),0)</f>
        <v>0</v>
      </c>
      <c r="I387" s="332" t="s">
        <v>2217</v>
      </c>
      <c r="J387" s="982">
        <f>IFERROR(((COUNTIFS(Cards!$P$2:$P1023, "*Divine Shield*", Cards!$B$2:$B1023, B387, Cards!$F$2:$F1023, "Priest",Cards!$K$2:$K1023, "Minion", Cards!$Q$2:$Q1023, "Standard", Cards!$P$2:$P1023, "*Deathrattle*")+COUNTIFS(Cards!$P$2:$P1023, "*Divine Shield*", Cards!$B$2:$B1023, B387, Cards!$F$2:$F1023, "Neutral",Cards!$K$2:$K1023, "Minion", Cards!$Q$2:$Q1023, "Standard", Cards!$P$2:$P1023, "*Deathrattle*"))/C387),0)</f>
        <v>0</v>
      </c>
      <c r="K387" s="983">
        <f>IFERROR(((COUNTIFS(Cards!$P$2:$P1023, "*Battlecry*", Cards!$B$2:$B1023, B387, Cards!$F$2:$F1023, "Priest",Cards!$K$2:$K1023, "Minion", Cards!$Q$2:$Q1023, "Standard", Cards!$P$2:$P1023, "*Deathrattle*")+COUNTIFS(Cards!$P$2:$P1023, "*Battlecry*", Cards!$B$2:$B1023, B387, Cards!$F$2:$F1023, "Neutral",Cards!$K$2:$K1023, "Minion", Cards!$Q$2:$Q1023, "Standard", Cards!$P$2:$P1023, "*Deathrattle*"))/C387),0)</f>
        <v>0</v>
      </c>
    </row>
    <row r="388" spans="2:11" ht="12.75">
      <c r="B388" s="978">
        <v>9</v>
      </c>
      <c r="C388" s="999">
        <f>COUNTIFS(Cards!$B$2:$B1023, B388, Cards!$F$2:$F1023, "Priest",Cards!$K$2:$K1023, "Minion", Cards!$Q$2:$Q1023, "Standard", Cards!$P$2:$P1023, "*Deathrattle*")+COUNTIFS(Cards!$B$2:$B1023, B388, Cards!$F$2:$F1023, "Neutral",Cards!$K$2:$K1023, "Minion", Cards!$Q$2:$Q1023, "Standard", Cards!$P$2:$P1023, "*Deathrattle*")</f>
        <v>1</v>
      </c>
      <c r="D388" s="979">
        <f>IFERROR(((SUMIFS(Cards!$M$2:$M1023, Cards!$B$2:$B1023, B388, Cards!$F$2:$F1023, "Priest",Cards!$K$2:$K1023, "Minion", Cards!$Q$2:$Q1023, "Standard", Cards!$P$2:$P1023, "*Deathrattle*")+SUMIFS(Cards!$M$2:$M1023, Cards!$B$2:$B1023, B388, Cards!$F$2:$F1023, "Neutral",Cards!$K$2:$K1023, "Minion", Cards!$Q$2:$Q1023, "Standard", Cards!$P$2:$P1023, "*Deathrattle*"))/C388),0)</f>
        <v>9</v>
      </c>
      <c r="E388" s="980">
        <f>IFERROR(((SUMIFS(Cards!$N$2:$N1023, Cards!$B$2:$B1023, B388, Cards!$F$2:$F1023, "Priest",Cards!$K$2:$K1023, "Minion", Cards!$Q$2:$Q1023, "Standard", Cards!$P$2:$P1023, "*Deathrattle*")+SUMIFS(Cards!$N$2:$N1023, Cards!$B$2:$B1023, B388, Cards!$F$2:$F1023, "Neutral",Cards!$K$2:$K1023, "Minion", Cards!$Q$2:$Q1023, "Standard", Cards!$P$2:$P1023, "*Deathrattle*"))/C388),0)</f>
        <v>7</v>
      </c>
      <c r="F388" s="981">
        <f>IFERROR(((COUNTIFS(Cards!$P$2:$P1023, "*Charge*", Cards!$B$2:$B1023, B388, Cards!$F$2:$F1023, "Priest",Cards!$K$2:$K1023, "Minion", Cards!$Q$2:$Q1023, "Standard", Cards!$P$2:$P1023, "*Deathrattle*")+COUNTIFS(Cards!$P$2:$P1023, "*Charge*", Cards!$B$2:$B1023, B388, Cards!$F$2:$F1023, "Neutral",Cards!$K$2:$K1023, "Minion", Cards!$Q$2:$Q1023, "Standard", Cards!$P$2:$P1023, "*Deathrattle*"))/C388),0)</f>
        <v>0</v>
      </c>
      <c r="G388" s="982">
        <f>IFERROR(((COUNTIFS(Cards!$P$2:$P1023, "*Taunt*", Cards!$B$2:$B1023, B388, Cards!$F$2:$F1023, "Priest",Cards!$K$2:$K1023, "Minion", Cards!$Q$2:$Q1023, "Standard", Cards!$P$2:$P1023, "*Deathrattle*")+COUNTIFS(Cards!$P$2:$P1023, "*Taunt*", Cards!$B$2:$B1023, B388, Cards!$F$2:$F1023, "Neutral",Cards!$K$2:$K1023, "Minion", Cards!$Q$2:$Q1023, "Standard", Cards!$P$2:$P1023, "*Deathrattle*"))/C388),0)</f>
        <v>0</v>
      </c>
      <c r="H388" s="983">
        <f>IFERROR(((COUNTIFS(Cards!$P$2:$P1023, "*Spell Damage*", Cards!$B$2:$B1023, B388, Cards!$F$2:$F1023, "Priest",Cards!$K$2:$K1023, "Minion", Cards!$Q$2:$Q1023, "Standard", Cards!$P$2:$P1023, "*Deathrattle*")+COUNTIFS(Cards!$P$2:$P1023, "*Spell Damage*", Cards!$B$2:$B1023, B388, Cards!$F$2:$F1023, "Neutral",Cards!$K$2:$K1023, "Minion", Cards!$Q$2:$Q1023, "Standard", Cards!$P$2:$P1023, "*Deathrattle*"))/C388),0)</f>
        <v>0</v>
      </c>
      <c r="I388" s="332" t="s">
        <v>2217</v>
      </c>
      <c r="J388" s="982">
        <f>IFERROR(((COUNTIFS(Cards!$P$2:$P1023, "*Divine Shield*", Cards!$B$2:$B1023, B388, Cards!$F$2:$F1023, "Priest",Cards!$K$2:$K1023, "Minion", Cards!$Q$2:$Q1023, "Standard", Cards!$P$2:$P1023, "*Deathrattle*")+COUNTIFS(Cards!$P$2:$P1023, "*Divine Shield*", Cards!$B$2:$B1023, B388, Cards!$F$2:$F1023, "Neutral",Cards!$K$2:$K1023, "Minion", Cards!$Q$2:$Q1023, "Standard", Cards!$P$2:$P1023, "*Deathrattle*"))/C388),0)</f>
        <v>0</v>
      </c>
      <c r="K388" s="983">
        <f>IFERROR(((COUNTIFS(Cards!$P$2:$P1023, "*Battlecry*", Cards!$B$2:$B1023, B388, Cards!$F$2:$F1023, "Priest",Cards!$K$2:$K1023, "Minion", Cards!$Q$2:$Q1023, "Standard", Cards!$P$2:$P1023, "*Deathrattle*")+COUNTIFS(Cards!$P$2:$P1023, "*Battlecry*", Cards!$B$2:$B1023, B388, Cards!$F$2:$F1023, "Neutral",Cards!$K$2:$K1023, "Minion", Cards!$Q$2:$Q1023, "Standard", Cards!$P$2:$P1023, "*Deathrattle*"))/C388),0)</f>
        <v>0</v>
      </c>
    </row>
    <row r="389" spans="2:11" ht="12.75">
      <c r="B389" s="985">
        <v>10</v>
      </c>
      <c r="C389" s="999">
        <f>COUNTIFS(Cards!$B$2:$B1023, B389, Cards!$F$2:$F1023, "Priest",Cards!$K$2:$K1023, "Minion", Cards!$Q$2:$Q1023, "Standard", Cards!$P$2:$P1023, "*Deathrattle*")+COUNTIFS(Cards!$B$2:$B1023, B389, Cards!$F$2:$F1023, "Neutral",Cards!$K$2:$K1023, "Minion", Cards!$Q$2:$Q1023, "Standard", Cards!$P$2:$P1023, "*Deathrattle*")</f>
        <v>1</v>
      </c>
      <c r="D389" s="979">
        <f>IFERROR(((SUMIFS(Cards!$M$2:$M1023, Cards!$B$2:$B1023, B389, Cards!$F$2:$F1023, "Priest",Cards!$K$2:$K1023, "Minion", Cards!$Q$2:$Q1023, "Standard", Cards!$P$2:$P1023, "*Deathrattle*")+SUMIFS(Cards!$M$2:$M1023, Cards!$B$2:$B1023, B389, Cards!$F$2:$F1023, "Neutral",Cards!$K$2:$K1023, "Minion", Cards!$Q$2:$Q1023, "Standard", Cards!$P$2:$P1023, "*Deathrattle*"))/C389),0)</f>
        <v>12</v>
      </c>
      <c r="E389" s="980">
        <f>IFERROR(((SUMIFS(Cards!$N$2:$N1023, Cards!$B$2:$B1023, B389, Cards!$F$2:$F1023, "Priest",Cards!$K$2:$K1023, "Minion", Cards!$Q$2:$Q1023, "Standard", Cards!$P$2:$P1023, "*Deathrattle*")+SUMIFS(Cards!$N$2:$N1023, Cards!$B$2:$B1023, B389, Cards!$F$2:$F1023, "Neutral",Cards!$K$2:$K1023, "Minion", Cards!$Q$2:$Q1023, "Standard", Cards!$P$2:$P1023, "*Deathrattle*"))/C389),0)</f>
        <v>12</v>
      </c>
      <c r="F389" s="981">
        <f>IFERROR(((COUNTIFS(Cards!$P$2:$P1023, "*Charge*", Cards!$B$2:$B1023, B389, Cards!$F$2:$F1023, "Priest",Cards!$K$2:$K1023, "Minion", Cards!$Q$2:$Q1023, "Standard", Cards!$P$2:$P1023, "*Deathrattle*")+COUNTIFS(Cards!$P$2:$P1023, "*Charge*", Cards!$B$2:$B1023, B389, Cards!$F$2:$F1023, "Neutral",Cards!$K$2:$K1023, "Minion", Cards!$Q$2:$Q1023, "Standard", Cards!$P$2:$P1023, "*Deathrattle*"))/C389),0)</f>
        <v>0</v>
      </c>
      <c r="G389" s="982">
        <f>IFERROR(((COUNTIFS(Cards!$P$2:$P1023, "*Taunt*", Cards!$B$2:$B1023, B389, Cards!$F$2:$F1023, "Priest",Cards!$K$2:$K1023, "Minion", Cards!$Q$2:$Q1023, "Standard", Cards!$P$2:$P1023, "*Deathrattle*")+COUNTIFS(Cards!$P$2:$P1023, "*Taunt*", Cards!$B$2:$B1023, B389, Cards!$F$2:$F1023, "Neutral",Cards!$K$2:$K1023, "Minion", Cards!$Q$2:$Q1023, "Standard", Cards!$P$2:$P1023, "*Deathrattle*"))/C389),0)</f>
        <v>0</v>
      </c>
      <c r="H389" s="983">
        <f>IFERROR(((COUNTIFS(Cards!$P$2:$P1023, "*Spell Damage*", Cards!$B$2:$B1023, B389, Cards!$F$2:$F1023, "Priest",Cards!$K$2:$K1023, "Minion", Cards!$Q$2:$Q1023, "Standard", Cards!$P$2:$P1023, "*Deathrattle*")+COUNTIFS(Cards!$P$2:$P1023, "*Spell Damage*", Cards!$B$2:$B1023, B389, Cards!$F$2:$F1023, "Neutral",Cards!$K$2:$K1023, "Minion", Cards!$Q$2:$Q1023, "Standard", Cards!$P$2:$P1023, "*Deathrattle*"))/C389),0)</f>
        <v>0</v>
      </c>
      <c r="I389" s="1000" t="s">
        <v>2217</v>
      </c>
      <c r="J389" s="982">
        <f>IFERROR(((COUNTIFS(Cards!$P$2:$P1023, "*Divine Shield*", Cards!$B$2:$B1023, B389, Cards!$F$2:$F1023, "Priest",Cards!$K$2:$K1023, "Minion", Cards!$Q$2:$Q1023, "Standard", Cards!$P$2:$P1023, "*Deathrattle*")+COUNTIFS(Cards!$P$2:$P1023, "*Divine Shield*", Cards!$B$2:$B1023, B389, Cards!$F$2:$F1023, "Neutral",Cards!$K$2:$K1023, "Minion", Cards!$Q$2:$Q1023, "Standard", Cards!$P$2:$P1023, "*Deathrattle*"))/C389),0)</f>
        <v>0</v>
      </c>
      <c r="K389" s="983">
        <f>IFERROR(((COUNTIFS(Cards!$P$2:$P1023, "*Battlecry*", Cards!$B$2:$B1023, B389, Cards!$F$2:$F1023, "Priest",Cards!$K$2:$K1023, "Minion", Cards!$Q$2:$Q1023, "Standard", Cards!$P$2:$P1023, "*Deathrattle*")+COUNTIFS(Cards!$P$2:$P1023, "*Battlecry*", Cards!$B$2:$B1023, B389, Cards!$F$2:$F1023, "Neutral",Cards!$K$2:$K1023, "Minion", Cards!$Q$2:$Q1023, "Standard", Cards!$P$2:$P1023, "*Deathrattle*"))/C389),0)</f>
        <v>0</v>
      </c>
    </row>
    <row r="390" spans="2:11" ht="12.75">
      <c r="B390" s="993" t="s">
        <v>2201</v>
      </c>
      <c r="C390" s="994">
        <f>SUM(C379:C389)</f>
        <v>23</v>
      </c>
      <c r="D390" s="995">
        <f>IFERROR(((SUMIFS(Cards!$M$2:$M1023, Cards!$F$2:$F1023, "Priest",Cards!$K$2:$K1023, "Minion", Cards!$Q$2:$Q1023, "Standard", Cards!$P$2:$P1023, "*Deathrattle*")+SUMIFS(Cards!$M$2:$M1023, Cards!$F$2:$F1023, "Neutral",Cards!$K$2:$K1023, "Minion", Cards!$Q$2:$Q1023, "Standard", Cards!$P$2:$P1023, "*Deathrattle*"))/C390),0)</f>
        <v>4</v>
      </c>
      <c r="E390" s="996">
        <f>IFERROR(((SUMIFS(Cards!$N$2:$N1023, Cards!$F$2:$F1023, "Priest",Cards!$K$2:$K1023, "Minion", Cards!$Q$2:$Q1023, "Standard", Cards!$P$2:$P1023, "*Deathrattle*")+SUMIFS(Cards!$N$2:$N1023, Cards!$F$2:$F1023, "Neutral",Cards!$K$2:$K1023, "Minion", Cards!$Q$2:$Q1023, "Standard", Cards!$P$2:$P1023, "*Deathrattle*"))/C390),0)</f>
        <v>3.7826086956521738</v>
      </c>
      <c r="F390" s="1001">
        <f>IFERROR(((COUNTIFS(Cards!$P$2:$P1023, "*Charge*", Cards!$F$2:$F1023, "Priest",Cards!$K$2:$K1023, "Minion", Cards!$Q$2:$Q1023, "Standard", Cards!$P$2:$P1023, "*Deathrattle*")+COUNTIFS(Cards!$P$2:$P1023, "*Charge*", Cards!$F$2:$F1023, "Neutral",Cards!$K$2:$K1023, "Minion", Cards!$Q$2:$Q1023, "Standard", Cards!$P$2:$P1023, "*Deathrattle*"))/C390),0)</f>
        <v>0</v>
      </c>
      <c r="G390" s="997">
        <f>IFERROR(((COUNTIFS(Cards!$P$2:$P1023, "*Taunt*", Cards!$F$2:$F1023, "Priest",Cards!$K$2:$K1023, "Minion", Cards!$Q$2:$Q1023, "Standard", Cards!$P$2:$P1023, "*Deathrattle*")+COUNTIFS(Cards!$P$2:$P1023, "*Taunt*", Cards!$F$2:$F1023, "Neutral",Cards!$K$2:$K1023, "Minion", Cards!$Q$2:$Q1023, "Standard", Cards!$P$2:$P1023, "*Deathrattle*"))/C390),0)</f>
        <v>0.13043478260869565</v>
      </c>
      <c r="H390" s="997">
        <f>IFERROR(((COUNTIFS(Cards!$P$2:$P1023, "*Spell Damage*", Cards!$F$2:$F1023, "Priest",Cards!$K$2:$K1023, "Minion", Cards!$Q$2:$Q1023, "Standard", Cards!$P$2:$P1023, "*Deathrattle*")+COUNTIFS(Cards!$P$2:$P1023, "*Spell Damage*", Cards!$F$2:$F1023, "Neutral",Cards!$K$2:$K1023, "Minion", Cards!$Q$2:$Q1023, "Standard", Cards!$P$2:$P1023, "*Deathrattle*"))/C390),0)</f>
        <v>4.3478260869565216E-2</v>
      </c>
      <c r="I390" s="1001" t="s">
        <v>2217</v>
      </c>
      <c r="J390" s="997">
        <f>IFERROR(((COUNTIFS(Cards!$P$2:$P1023, "*Divine Shield*", Cards!$F$2:$F1023, "Priest",Cards!$K$2:$K1023, "Minion", Cards!$Q$2:$Q1023, "Standard", Cards!$P$2:$P1023, "*Deathrattle*")+COUNTIFS(Cards!$P$2:$P1023, "*Divine Shield*", Cards!$F$2:$F1023, "Neutral",Cards!$K$2:$K1023, "Minion", Cards!$Q$2:$Q1023, "Standard", Cards!$P$2:$P1023, "*Deathrattle*"))/C390),0)</f>
        <v>0</v>
      </c>
      <c r="K390" s="998">
        <f>IFERROR(((COUNTIFS(Cards!$P$2:$P1023, "*Battlecry*", Cards!$F$2:$F1023, "Priest",Cards!$K$2:$K1023, "Minion", Cards!$Q$2:$Q1023, "Standard", Cards!$P$2:$P1023, "*Deathrattle*")+COUNTIFS(Cards!$P$2:$P1023, "*Battlecry*", Cards!$F$2:$F1023, "Neutral",Cards!$K$2:$K1023, "Minion", Cards!$Q$2:$Q1023, "Standard", Cards!$P$2:$P1023, "*Deathrattle*"))/C390),0)</f>
        <v>0</v>
      </c>
    </row>
  </sheetData>
  <mergeCells count="104">
    <mergeCell ref="E147:H147"/>
    <mergeCell ref="E149:H149"/>
    <mergeCell ref="E150:H150"/>
    <mergeCell ref="E148:H148"/>
    <mergeCell ref="B144:H144"/>
    <mergeCell ref="B142:K142"/>
    <mergeCell ref="E146:H146"/>
    <mergeCell ref="C134:F134"/>
    <mergeCell ref="E145:H145"/>
    <mergeCell ref="H135:I135"/>
    <mergeCell ref="H134:J134"/>
    <mergeCell ref="H136:I136"/>
    <mergeCell ref="H137:I137"/>
    <mergeCell ref="L176:M176"/>
    <mergeCell ref="B185:K185"/>
    <mergeCell ref="B199:K199"/>
    <mergeCell ref="B201:K201"/>
    <mergeCell ref="B328:K328"/>
    <mergeCell ref="B330:K330"/>
    <mergeCell ref="B362:K362"/>
    <mergeCell ref="B377:K377"/>
    <mergeCell ref="B360:K360"/>
    <mergeCell ref="B345:K345"/>
    <mergeCell ref="B232:K232"/>
    <mergeCell ref="B216:K216"/>
    <mergeCell ref="E153:H153"/>
    <mergeCell ref="B313:K313"/>
    <mergeCell ref="B264:K264"/>
    <mergeCell ref="B296:K296"/>
    <mergeCell ref="B266:K266"/>
    <mergeCell ref="B281:K281"/>
    <mergeCell ref="B298:K298"/>
    <mergeCell ref="B249:K249"/>
    <mergeCell ref="B234:K234"/>
    <mergeCell ref="E163:H163"/>
    <mergeCell ref="E162:H162"/>
    <mergeCell ref="E164:H164"/>
    <mergeCell ref="C161:C165"/>
    <mergeCell ref="E165:H165"/>
    <mergeCell ref="E166:H166"/>
    <mergeCell ref="E161:H161"/>
    <mergeCell ref="E160:H160"/>
    <mergeCell ref="B168:K168"/>
    <mergeCell ref="B170:K170"/>
    <mergeCell ref="B1:K1"/>
    <mergeCell ref="B3:H3"/>
    <mergeCell ref="B26:E26"/>
    <mergeCell ref="B9:H9"/>
    <mergeCell ref="B8:H8"/>
    <mergeCell ref="B10:H10"/>
    <mergeCell ref="B25:H25"/>
    <mergeCell ref="B18:E18"/>
    <mergeCell ref="B16:K16"/>
    <mergeCell ref="C146:C150"/>
    <mergeCell ref="C151:C155"/>
    <mergeCell ref="C156:C160"/>
    <mergeCell ref="B52:E52"/>
    <mergeCell ref="B62:E62"/>
    <mergeCell ref="B61:E61"/>
    <mergeCell ref="B58:E58"/>
    <mergeCell ref="B43:E43"/>
    <mergeCell ref="B44:E44"/>
    <mergeCell ref="B45:E45"/>
    <mergeCell ref="B60:E60"/>
    <mergeCell ref="B59:E59"/>
    <mergeCell ref="B67:I67"/>
    <mergeCell ref="B97:K97"/>
    <mergeCell ref="B95:K95"/>
    <mergeCell ref="B65:K65"/>
    <mergeCell ref="E152:H152"/>
    <mergeCell ref="E151:H151"/>
    <mergeCell ref="E155:H155"/>
    <mergeCell ref="E156:H156"/>
    <mergeCell ref="E157:H157"/>
    <mergeCell ref="E158:H158"/>
    <mergeCell ref="E159:H159"/>
    <mergeCell ref="E154:H154"/>
    <mergeCell ref="B29:E29"/>
    <mergeCell ref="B28:E28"/>
    <mergeCell ref="B27:E27"/>
    <mergeCell ref="B32:E32"/>
    <mergeCell ref="B50:E50"/>
    <mergeCell ref="B53:E53"/>
    <mergeCell ref="B55:E55"/>
    <mergeCell ref="B54:E54"/>
    <mergeCell ref="B57:E57"/>
    <mergeCell ref="B56:E56"/>
    <mergeCell ref="B42:E42"/>
    <mergeCell ref="B41:E41"/>
    <mergeCell ref="B40:E40"/>
    <mergeCell ref="B37:E37"/>
    <mergeCell ref="B34:E34"/>
    <mergeCell ref="B30:E30"/>
    <mergeCell ref="B31:E31"/>
    <mergeCell ref="B33:E33"/>
    <mergeCell ref="B39:E39"/>
    <mergeCell ref="B36:E36"/>
    <mergeCell ref="B38:E38"/>
    <mergeCell ref="B35:E35"/>
    <mergeCell ref="B48:E48"/>
    <mergeCell ref="B49:E49"/>
    <mergeCell ref="B51:E51"/>
    <mergeCell ref="B46:E46"/>
    <mergeCell ref="B47:E47"/>
  </mergeCells>
  <conditionalFormatting sqref="H2 H4:H6">
    <cfRule type="notContainsBlanks" dxfId="2" priority="1">
      <formula>LEN(TRIM(H2))&gt;0</formula>
    </cfRule>
  </conditionalFormatting>
  <hyperlinks>
    <hyperlink ref="B4" r:id="rId1" display="http://www.reddit.com/r/hearthstone/comments/1ua5c9/hearthstone_for_beginners_guide_and_resource/"/>
    <hyperlink ref="B5" r:id="rId2" display="http://www.reddit.com/r/hearthstone/comments/2kd0zr/hearthstone_intermediate_guide/"/>
    <hyperlink ref="B6" r:id="rId3" location="Health.2C_buffs_and_taking_damage" display="http://hearthstone.gamepedia.com/Advanced_rulebook - Health.2C_buffs_and_taking_damage"/>
    <hyperlink ref="B7" r:id="rId4" display="http://www.reddit.com/r/hearthstone/comments/2fn4r3/can_anyone_do_a_tldr_of_deck_types/ckavcwc"/>
    <hyperlink ref="B8" r:id="rId5" display="https://www.elie.net/blog/hearthstone/how-to-find-automatically-hearthstone-undervalued-cards"/>
    <hyperlink ref="B9" r:id="rId6" location="gid=8" display="https://docs.google.com/spreadsheet/ccc?key=0AgQbrkzdzBU4dG9NbmtXakRpRHJrd19QNFZJM3VmWkE&amp;usp=sharing - gid=8"/>
    <hyperlink ref="B10" r:id="rId7" display="http://hearthstonejson.com/"/>
    <hyperlink ref="B11" r:id="rId8" location="gid=1932012075" display="https://docs.google.com/spreadsheets/d/1cImiE5AFmVvPdtvzbufIDVGwPbu2YMX9vuz-Kfkkq7Y/edit - gid=1932012075"/>
    <hyperlink ref="B12" r:id="rId9" display="https://github.com/Epix37/Hearthstone-Deck-Tracker/releases"/>
    <hyperlink ref="B13" r:id="rId10" display="http://pitytracker.com/packs/stats"/>
    <hyperlink ref="B26" r:id="rId11" display="http://www.hearthhead.com/quests"/>
    <hyperlink ref="L99" r:id="rId12"/>
    <hyperlink ref="L100" r:id="rId13"/>
    <hyperlink ref="L101" r:id="rId14"/>
    <hyperlink ref="L102" r:id="rId15"/>
    <hyperlink ref="L103" r:id="rId16"/>
    <hyperlink ref="L104" r:id="rId17"/>
    <hyperlink ref="L105" r:id="rId18"/>
    <hyperlink ref="L106" r:id="rId19"/>
    <hyperlink ref="L107" r:id="rId20"/>
    <hyperlink ref="L109" r:id="rId21"/>
    <hyperlink ref="L110" r:id="rId22"/>
    <hyperlink ref="L111" r:id="rId23"/>
    <hyperlink ref="L112" r:id="rId24"/>
    <hyperlink ref="L113" r:id="rId25"/>
    <hyperlink ref="L114" r:id="rId26"/>
    <hyperlink ref="L115" r:id="rId27"/>
    <hyperlink ref="L116" r:id="rId28"/>
    <hyperlink ref="L117" r:id="rId29"/>
    <hyperlink ref="L118" r:id="rId30"/>
    <hyperlink ref="L119" r:id="rId31"/>
    <hyperlink ref="L120" r:id="rId32"/>
    <hyperlink ref="L121" r:id="rId33"/>
    <hyperlink ref="L122" r:id="rId34"/>
    <hyperlink ref="L123" r:id="rId35"/>
    <hyperlink ref="L124" r:id="rId36"/>
    <hyperlink ref="L125" r:id="rId37"/>
  </hyperlinks>
  <pageMargins left="0.7" right="0.7" top="0.75" bottom="0.75" header="0.3" footer="0.3"/>
  <drawing r:id="rId38"/>
  <legacyDrawing r:id="rId3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FF00"/>
  </sheetPr>
  <dimension ref="A1:AD50"/>
  <sheetViews>
    <sheetView showGridLines="0" workbookViewId="0"/>
  </sheetViews>
  <sheetFormatPr defaultColWidth="14.42578125" defaultRowHeight="15.75" customHeight="1"/>
  <cols>
    <col min="1" max="1" width="2.140625" customWidth="1"/>
    <col min="2" max="2" width="9.28515625" customWidth="1"/>
    <col min="3" max="3" width="7.28515625" customWidth="1"/>
    <col min="4" max="4" width="7.5703125" hidden="1" customWidth="1"/>
    <col min="5" max="5" width="9.7109375" customWidth="1"/>
    <col min="6" max="6" width="6.85546875" customWidth="1"/>
    <col min="7" max="7" width="2.140625" customWidth="1"/>
    <col min="8" max="8" width="9.28515625" customWidth="1"/>
    <col min="9" max="9" width="7.28515625" customWidth="1"/>
    <col min="10" max="10" width="7.5703125" hidden="1" customWidth="1"/>
    <col min="11" max="11" width="10.7109375" customWidth="1"/>
    <col min="12" max="12" width="12.28515625" customWidth="1"/>
    <col min="13" max="13" width="2.5703125" customWidth="1"/>
    <col min="14" max="14" width="11.85546875" customWidth="1"/>
    <col min="15" max="15" width="7.5703125" customWidth="1"/>
    <col min="16" max="16" width="2.5703125" customWidth="1"/>
    <col min="17" max="17" width="10.28515625" customWidth="1"/>
    <col min="18" max="18" width="6.85546875" customWidth="1"/>
    <col min="19" max="19" width="2.7109375" customWidth="1"/>
    <col min="20" max="20" width="9.140625" customWidth="1"/>
    <col min="21" max="21" width="8.28515625" customWidth="1"/>
    <col min="22" max="22" width="3.28515625" customWidth="1"/>
    <col min="23" max="23" width="7.28515625" customWidth="1"/>
    <col min="24" max="24" width="5.7109375" customWidth="1"/>
    <col min="25" max="25" width="9.28515625" customWidth="1"/>
    <col min="26" max="26" width="7.7109375" customWidth="1"/>
    <col min="27" max="27" width="7.85546875" customWidth="1"/>
    <col min="28" max="28" width="9.85546875" customWidth="1"/>
    <col min="29" max="29" width="7.5703125" customWidth="1"/>
    <col min="30" max="30" width="3" customWidth="1"/>
  </cols>
  <sheetData>
    <row r="1" spans="1:30" ht="6" customHeight="1">
      <c r="A1" s="33"/>
      <c r="B1" s="34"/>
      <c r="C1" s="34"/>
      <c r="D1" s="35"/>
      <c r="E1" s="36"/>
      <c r="F1" s="36"/>
      <c r="G1" s="36"/>
      <c r="H1" s="36"/>
      <c r="I1" s="36"/>
      <c r="J1" s="36"/>
      <c r="K1" s="36"/>
      <c r="L1" s="36"/>
      <c r="N1" s="37"/>
      <c r="O1" s="37"/>
      <c r="P1" s="37"/>
      <c r="Q1" s="37"/>
      <c r="R1" s="37"/>
      <c r="S1" s="36"/>
      <c r="T1" s="36"/>
      <c r="U1" s="36"/>
      <c r="V1" s="36"/>
      <c r="W1" s="36"/>
      <c r="X1" s="36"/>
      <c r="Y1" s="36"/>
      <c r="Z1" s="36"/>
      <c r="AA1" s="36"/>
      <c r="AB1" s="34"/>
      <c r="AC1" s="34"/>
      <c r="AD1" s="34"/>
    </row>
    <row r="2" spans="1:30" ht="12.75" customHeight="1">
      <c r="A2" s="38"/>
      <c r="B2" s="1131" t="str">
        <f>Setup!A1</f>
        <v>Created by /u/cgmcnama</v>
      </c>
      <c r="C2" s="1130"/>
      <c r="D2" s="39"/>
      <c r="E2" s="38"/>
      <c r="F2" s="1129" t="str">
        <f>Setup!D1</f>
        <v>Blank Sheet - 7.20</v>
      </c>
      <c r="G2" s="1009"/>
      <c r="H2" s="1009"/>
      <c r="I2" s="1009"/>
      <c r="J2" s="1009"/>
      <c r="K2" s="1130"/>
      <c r="L2" s="40"/>
      <c r="M2" s="41"/>
      <c r="N2" s="1132" t="str">
        <f>Setup!H1</f>
        <v>To Download A Copy For Yourself, Go To File --&gt; Make a Copy...</v>
      </c>
      <c r="O2" s="1009"/>
      <c r="P2" s="1009"/>
      <c r="Q2" s="1009"/>
      <c r="R2" s="1009"/>
      <c r="S2" s="1130"/>
      <c r="T2" s="40"/>
      <c r="U2" s="41"/>
      <c r="V2" s="1132" t="str">
        <f>Setup!M1</f>
        <v>Instructions on how to use the sheet are on the "Setup" Tab</v>
      </c>
      <c r="W2" s="1009"/>
      <c r="X2" s="1009"/>
      <c r="Y2" s="1009"/>
      <c r="Z2" s="1009"/>
      <c r="AA2" s="1009"/>
      <c r="AB2" s="1130"/>
      <c r="AC2" s="42"/>
      <c r="AD2" s="42"/>
    </row>
    <row r="3" spans="1:30" ht="6.75" customHeight="1">
      <c r="A3" s="34"/>
      <c r="B3" s="36"/>
      <c r="C3" s="36"/>
      <c r="D3" s="36" t="s">
        <v>49</v>
      </c>
      <c r="E3" s="36"/>
      <c r="F3" s="36"/>
      <c r="G3" s="36"/>
      <c r="H3" s="36"/>
      <c r="I3" s="36"/>
      <c r="J3" s="36"/>
      <c r="K3" s="36"/>
      <c r="L3" s="36"/>
      <c r="M3" s="36"/>
      <c r="N3" s="36"/>
      <c r="O3" s="36"/>
      <c r="P3" s="36"/>
      <c r="Q3" s="36"/>
      <c r="R3" s="36"/>
      <c r="S3" s="36"/>
      <c r="T3" s="36"/>
      <c r="U3" s="36"/>
      <c r="V3" s="36"/>
      <c r="W3" s="36"/>
      <c r="X3" s="36"/>
      <c r="Y3" s="36"/>
      <c r="Z3" s="36"/>
    </row>
    <row r="4" spans="1:30" ht="15">
      <c r="A4" s="34"/>
      <c r="B4" s="1086" t="s">
        <v>50</v>
      </c>
      <c r="C4" s="1087"/>
      <c r="D4" s="1087"/>
      <c r="E4" s="1087"/>
      <c r="F4" s="1088"/>
      <c r="G4" s="43"/>
      <c r="H4" s="1083" t="s">
        <v>51</v>
      </c>
      <c r="I4" s="1084"/>
      <c r="J4" s="1084"/>
      <c r="K4" s="1084"/>
      <c r="L4" s="1085"/>
      <c r="M4" s="43"/>
      <c r="N4" s="1116" t="s">
        <v>52</v>
      </c>
      <c r="O4" s="1117"/>
      <c r="P4" s="1117"/>
      <c r="Q4" s="1117"/>
      <c r="R4" s="1117"/>
      <c r="S4" s="44"/>
      <c r="T4" s="1122" t="s">
        <v>2219</v>
      </c>
      <c r="U4" s="1117"/>
      <c r="V4" s="1117"/>
      <c r="W4" s="1117"/>
      <c r="X4" s="1117"/>
      <c r="Y4" s="1117"/>
      <c r="Z4" s="1117"/>
      <c r="AA4" s="1117"/>
      <c r="AB4" s="1117"/>
      <c r="AC4" s="1123"/>
    </row>
    <row r="5" spans="1:30" ht="15">
      <c r="A5" s="34"/>
      <c r="B5" s="45" t="s">
        <v>53</v>
      </c>
      <c r="C5" s="46" t="s">
        <v>54</v>
      </c>
      <c r="D5" s="47" t="s">
        <v>55</v>
      </c>
      <c r="E5" s="47" t="s">
        <v>56</v>
      </c>
      <c r="F5" s="48" t="s">
        <v>57</v>
      </c>
      <c r="G5" s="34"/>
      <c r="H5" s="49" t="s">
        <v>53</v>
      </c>
      <c r="I5" s="50" t="s">
        <v>54</v>
      </c>
      <c r="J5" s="51" t="s">
        <v>55</v>
      </c>
      <c r="K5" s="51" t="s">
        <v>56</v>
      </c>
      <c r="L5" s="52" t="s">
        <v>57</v>
      </c>
      <c r="M5" s="34"/>
      <c r="N5" s="1118"/>
      <c r="O5" s="1007"/>
      <c r="P5" s="1007"/>
      <c r="Q5" s="1007"/>
      <c r="R5" s="1007"/>
      <c r="S5" s="53"/>
      <c r="T5" s="1124"/>
      <c r="U5" s="1125"/>
      <c r="V5" s="1125"/>
      <c r="W5" s="1125"/>
      <c r="X5" s="1125"/>
      <c r="Y5" s="1125"/>
      <c r="Z5" s="1125"/>
      <c r="AA5" s="1125"/>
      <c r="AB5" s="1125"/>
      <c r="AC5" s="1126"/>
    </row>
    <row r="6" spans="1:30" ht="15">
      <c r="A6" s="54"/>
      <c r="B6" s="55" t="s">
        <v>58</v>
      </c>
      <c r="C6" s="56">
        <f>Cards!AK31</f>
        <v>133</v>
      </c>
      <c r="D6" s="57">
        <f>Cards!AL31</f>
        <v>133</v>
      </c>
      <c r="E6" s="58">
        <f t="shared" ref="E6:E11" si="0">D6-C6</f>
        <v>0</v>
      </c>
      <c r="F6" s="59">
        <f t="shared" ref="F6:F11" si="1">C6/D6</f>
        <v>1</v>
      </c>
      <c r="G6" s="54"/>
      <c r="H6" s="60" t="s">
        <v>58</v>
      </c>
      <c r="I6" s="61">
        <f>Cards!AK37</f>
        <v>266</v>
      </c>
      <c r="J6" s="61">
        <f>Cards!AL37</f>
        <v>266</v>
      </c>
      <c r="K6" s="62">
        <f t="shared" ref="K6:K11" si="2">J6-I6</f>
        <v>0</v>
      </c>
      <c r="L6" s="63">
        <f t="shared" ref="L6:L11" si="3">I6/J6</f>
        <v>1</v>
      </c>
      <c r="M6" s="54"/>
      <c r="N6" s="1115" t="s">
        <v>59</v>
      </c>
      <c r="O6" s="1107"/>
      <c r="P6" s="1107"/>
      <c r="Q6" s="1107"/>
      <c r="R6" s="1119">
        <f>((R8*O8)+(R9*O9)+(R10*O10)+(R11*O11))*5</f>
        <v>84.867026864775639</v>
      </c>
      <c r="S6" s="1092"/>
      <c r="T6" s="1120" t="s">
        <v>60</v>
      </c>
      <c r="U6" s="1107"/>
      <c r="V6" s="64"/>
      <c r="W6" s="64">
        <f>SUM(V8:V11)*5</f>
        <v>141.12065152672858</v>
      </c>
      <c r="X6" s="1115" t="s">
        <v>61</v>
      </c>
      <c r="Y6" s="1107"/>
      <c r="Z6" s="65">
        <f>SUM(Z8:Z11)*5</f>
        <v>187.73096533264811</v>
      </c>
      <c r="AA6" s="1121" t="s">
        <v>62</v>
      </c>
      <c r="AB6" s="1107"/>
      <c r="AC6" s="65">
        <f>SUM(AC8:AC11)*5</f>
        <v>144.90915003251789</v>
      </c>
    </row>
    <row r="7" spans="1:30" ht="12.75">
      <c r="A7" s="54"/>
      <c r="B7" s="66" t="s">
        <v>63</v>
      </c>
      <c r="C7" s="67">
        <f>Cards!AK32</f>
        <v>290</v>
      </c>
      <c r="D7" s="67">
        <f>Cards!AL32</f>
        <v>291</v>
      </c>
      <c r="E7" s="68">
        <f t="shared" si="0"/>
        <v>1</v>
      </c>
      <c r="F7" s="69">
        <f t="shared" si="1"/>
        <v>0.99656357388316152</v>
      </c>
      <c r="G7" s="54"/>
      <c r="H7" s="70" t="s">
        <v>63</v>
      </c>
      <c r="I7" s="71">
        <f>Cards!AK38</f>
        <v>578</v>
      </c>
      <c r="J7" s="71">
        <f>Cards!AL38</f>
        <v>582</v>
      </c>
      <c r="K7" s="72">
        <f t="shared" si="2"/>
        <v>4</v>
      </c>
      <c r="L7" s="73">
        <f t="shared" si="3"/>
        <v>0.99312714776632305</v>
      </c>
      <c r="M7" s="54"/>
      <c r="N7" s="74"/>
      <c r="O7" s="1106" t="s">
        <v>64</v>
      </c>
      <c r="P7" s="1107"/>
      <c r="Q7" s="75" t="s">
        <v>65</v>
      </c>
      <c r="R7" s="1106" t="s">
        <v>66</v>
      </c>
      <c r="S7" s="1092"/>
      <c r="T7" s="75" t="s">
        <v>67</v>
      </c>
      <c r="U7" s="1106" t="s">
        <v>34</v>
      </c>
      <c r="V7" s="1107"/>
      <c r="W7" s="1107"/>
      <c r="X7" s="76" t="s">
        <v>67</v>
      </c>
      <c r="Y7" s="1106" t="s">
        <v>34</v>
      </c>
      <c r="Z7" s="1092"/>
      <c r="AA7" s="75" t="s">
        <v>67</v>
      </c>
      <c r="AB7" s="1106" t="s">
        <v>34</v>
      </c>
      <c r="AC7" s="1092"/>
    </row>
    <row r="8" spans="1:30" ht="12.75">
      <c r="A8" s="54"/>
      <c r="B8" s="55" t="s">
        <v>68</v>
      </c>
      <c r="C8" s="57">
        <f>Cards!AK33</f>
        <v>211</v>
      </c>
      <c r="D8" s="57">
        <f>Cards!AL33</f>
        <v>218</v>
      </c>
      <c r="E8" s="58">
        <f t="shared" si="0"/>
        <v>7</v>
      </c>
      <c r="F8" s="59">
        <f t="shared" si="1"/>
        <v>0.9678899082568807</v>
      </c>
      <c r="G8" s="54"/>
      <c r="H8" s="60" t="s">
        <v>68</v>
      </c>
      <c r="I8" s="61">
        <f>Cards!AK39</f>
        <v>402</v>
      </c>
      <c r="J8" s="61">
        <f>Cards!AL39</f>
        <v>436</v>
      </c>
      <c r="K8" s="62">
        <f t="shared" si="2"/>
        <v>34</v>
      </c>
      <c r="L8" s="63">
        <f t="shared" si="3"/>
        <v>0.92201834862385323</v>
      </c>
      <c r="M8" s="54"/>
      <c r="N8" s="77" t="s">
        <v>63</v>
      </c>
      <c r="O8" s="1105">
        <f>'Misc Data'!D136+'Misc Data'!E136</f>
        <v>0.71593576467056885</v>
      </c>
      <c r="P8" s="1092"/>
      <c r="Q8" s="78">
        <v>40</v>
      </c>
      <c r="R8" s="1109">
        <v>5</v>
      </c>
      <c r="S8" s="1092"/>
      <c r="T8" s="78">
        <f>Cards!AN38</f>
        <v>188</v>
      </c>
      <c r="U8" s="79">
        <f>Cards!AN38-Cards!AM38</f>
        <v>2</v>
      </c>
      <c r="V8" s="1091">
        <f t="shared" ref="V8:V11" si="4">$O8*((T8-U8)/T8*$R8+U8/T8*$Q8)</f>
        <v>3.8462506506238006</v>
      </c>
      <c r="W8" s="1092"/>
      <c r="X8" s="78">
        <f>Cards!AT38</f>
        <v>80</v>
      </c>
      <c r="Y8" s="79">
        <f>Cards!AT38-Cards!AS38</f>
        <v>1</v>
      </c>
      <c r="Z8" s="80">
        <f t="shared" ref="Z8:Z11" si="5">$O8*((X8-Y8)/X8*$R8+Y8/X8*$Q8)</f>
        <v>3.8929007203962183</v>
      </c>
      <c r="AA8" s="78">
        <f>Cards!AX38</f>
        <v>98</v>
      </c>
      <c r="AB8" s="79">
        <f>Cards!AX38-Cards!AW38</f>
        <v>0</v>
      </c>
      <c r="AC8" s="80">
        <f t="shared" ref="AC8:AC11" si="6">$O8*((AA8-AB8)/AA8*$R8+AB8/AA8*$Q8)</f>
        <v>3.579678823352844</v>
      </c>
    </row>
    <row r="9" spans="1:30" ht="12.75">
      <c r="A9" s="54"/>
      <c r="B9" s="66" t="s">
        <v>69</v>
      </c>
      <c r="C9" s="67">
        <f>Cards!AK34</f>
        <v>82</v>
      </c>
      <c r="D9" s="67">
        <f>Cards!AL34</f>
        <v>122</v>
      </c>
      <c r="E9" s="68">
        <f t="shared" si="0"/>
        <v>40</v>
      </c>
      <c r="F9" s="69">
        <f t="shared" si="1"/>
        <v>0.67213114754098358</v>
      </c>
      <c r="G9" s="54"/>
      <c r="H9" s="70" t="s">
        <v>69</v>
      </c>
      <c r="I9" s="71">
        <f>Cards!AK40</f>
        <v>131</v>
      </c>
      <c r="J9" s="71">
        <f>Cards!AL40</f>
        <v>244</v>
      </c>
      <c r="K9" s="72">
        <f t="shared" si="2"/>
        <v>113</v>
      </c>
      <c r="L9" s="73">
        <f t="shared" si="3"/>
        <v>0.53688524590163933</v>
      </c>
      <c r="M9" s="54"/>
      <c r="N9" s="81" t="s">
        <v>68</v>
      </c>
      <c r="O9" s="1108">
        <f>'Misc Data'!D137+'Misc Data'!E137</f>
        <v>0.22910400720396218</v>
      </c>
      <c r="P9" s="1092"/>
      <c r="Q9" s="82">
        <v>100</v>
      </c>
      <c r="R9" s="1110">
        <v>20</v>
      </c>
      <c r="S9" s="1092"/>
      <c r="T9" s="82">
        <f>Cards!AN39</f>
        <v>162</v>
      </c>
      <c r="U9" s="83">
        <f>Cards!AN39-Cards!AM39</f>
        <v>10</v>
      </c>
      <c r="V9" s="1093">
        <f t="shared" si="4"/>
        <v>5.7134579574321425</v>
      </c>
      <c r="W9" s="1092"/>
      <c r="X9" s="82">
        <f>Cards!AT39</f>
        <v>74</v>
      </c>
      <c r="Y9" s="83">
        <f>Cards!AT39-Cards!AS39</f>
        <v>13</v>
      </c>
      <c r="Z9" s="84">
        <f t="shared" si="5"/>
        <v>7.8019202453241183</v>
      </c>
      <c r="AA9" s="82">
        <f>Cards!AX39</f>
        <v>72</v>
      </c>
      <c r="AB9" s="83">
        <f>Cards!AX39-Cards!AW39</f>
        <v>1</v>
      </c>
      <c r="AC9" s="84">
        <f t="shared" si="6"/>
        <v>4.8366401520836462</v>
      </c>
    </row>
    <row r="10" spans="1:30" ht="12.75">
      <c r="A10" s="54"/>
      <c r="B10" s="55" t="s">
        <v>70</v>
      </c>
      <c r="C10" s="57">
        <f>Cards!AK35</f>
        <v>60</v>
      </c>
      <c r="D10" s="57">
        <f>Cards!AL35</f>
        <v>113</v>
      </c>
      <c r="E10" s="58">
        <f t="shared" si="0"/>
        <v>53</v>
      </c>
      <c r="F10" s="59">
        <f t="shared" si="1"/>
        <v>0.53097345132743368</v>
      </c>
      <c r="G10" s="54"/>
      <c r="H10" s="60" t="s">
        <v>70</v>
      </c>
      <c r="I10" s="61">
        <f>Cards!AK41</f>
        <v>60</v>
      </c>
      <c r="J10" s="61">
        <f>Cards!AL41</f>
        <v>113</v>
      </c>
      <c r="K10" s="62">
        <f t="shared" si="2"/>
        <v>53</v>
      </c>
      <c r="L10" s="63">
        <f t="shared" si="3"/>
        <v>0.53097345132743368</v>
      </c>
      <c r="M10" s="54"/>
      <c r="N10" s="77" t="s">
        <v>69</v>
      </c>
      <c r="O10" s="1105">
        <f>'Misc Data'!D138+'Misc Data'!E138</f>
        <v>4.390814948221522E-2</v>
      </c>
      <c r="P10" s="1092"/>
      <c r="Q10" s="78">
        <v>400</v>
      </c>
      <c r="R10" s="1109">
        <v>100</v>
      </c>
      <c r="S10" s="1092"/>
      <c r="T10" s="78">
        <f>Cards!AN40</f>
        <v>74</v>
      </c>
      <c r="U10" s="79">
        <f>Cards!AN40-Cards!AM40</f>
        <v>26</v>
      </c>
      <c r="V10" s="1091">
        <f t="shared" si="4"/>
        <v>9.0189712449955586</v>
      </c>
      <c r="W10" s="1092"/>
      <c r="X10" s="78">
        <f>Cards!AT40</f>
        <v>52</v>
      </c>
      <c r="Y10" s="79">
        <f>Cards!AT40-Cards!AS40</f>
        <v>28</v>
      </c>
      <c r="Z10" s="80">
        <f t="shared" si="5"/>
        <v>11.483669864579365</v>
      </c>
      <c r="AA10" s="78">
        <f>Cards!AX40</f>
        <v>54</v>
      </c>
      <c r="AB10" s="79">
        <f>Cards!AX40-Cards!AW40</f>
        <v>21</v>
      </c>
      <c r="AC10" s="80">
        <f t="shared" si="6"/>
        <v>9.5134323878132978</v>
      </c>
    </row>
    <row r="11" spans="1:30" ht="12.75">
      <c r="A11" s="34"/>
      <c r="B11" s="85" t="s">
        <v>22</v>
      </c>
      <c r="C11" s="86">
        <f t="shared" ref="C11:D11" si="7">SUM(C6:C10)</f>
        <v>776</v>
      </c>
      <c r="D11" s="86">
        <f t="shared" si="7"/>
        <v>877</v>
      </c>
      <c r="E11" s="87">
        <f t="shared" si="0"/>
        <v>101</v>
      </c>
      <c r="F11" s="88">
        <f t="shared" si="1"/>
        <v>0.88483466362599772</v>
      </c>
      <c r="G11" s="34"/>
      <c r="H11" s="89" t="s">
        <v>22</v>
      </c>
      <c r="I11" s="90">
        <f t="shared" ref="I11:J11" si="8">SUM(I6:I10)</f>
        <v>1437</v>
      </c>
      <c r="J11" s="90">
        <f t="shared" si="8"/>
        <v>1641</v>
      </c>
      <c r="K11" s="91">
        <f t="shared" si="2"/>
        <v>204</v>
      </c>
      <c r="L11" s="92">
        <f t="shared" si="3"/>
        <v>0.8756855575868373</v>
      </c>
      <c r="M11" s="34"/>
      <c r="N11" s="93" t="s">
        <v>70</v>
      </c>
      <c r="O11" s="1108">
        <f>'Misc Data'!D139+'Misc Data'!E139</f>
        <v>1.105207864325379E-2</v>
      </c>
      <c r="P11" s="1092"/>
      <c r="Q11" s="93">
        <v>1600</v>
      </c>
      <c r="R11" s="1110">
        <v>400</v>
      </c>
      <c r="S11" s="1092"/>
      <c r="T11" s="82">
        <f>Cards!AN41</f>
        <v>33</v>
      </c>
      <c r="U11" s="83">
        <f>Cards!AN41-Cards!AM41</f>
        <v>13</v>
      </c>
      <c r="V11" s="1093">
        <f t="shared" si="4"/>
        <v>9.6454504522942166</v>
      </c>
      <c r="W11" s="1092"/>
      <c r="X11" s="82">
        <f>Cards!AT41</f>
        <v>20</v>
      </c>
      <c r="Y11" s="83">
        <f>Cards!AT41-Cards!AS41</f>
        <v>15</v>
      </c>
      <c r="Z11" s="84">
        <f t="shared" si="5"/>
        <v>14.367702236229928</v>
      </c>
      <c r="AA11" s="82">
        <f>Cards!AX41</f>
        <v>20</v>
      </c>
      <c r="AB11" s="83">
        <f>Cards!AX41-Cards!AW41</f>
        <v>10</v>
      </c>
      <c r="AC11" s="84">
        <f t="shared" si="6"/>
        <v>11.05207864325379</v>
      </c>
    </row>
    <row r="12" spans="1:30" ht="6.75" customHeight="1">
      <c r="A12" s="34"/>
      <c r="B12" s="34"/>
      <c r="C12" s="34"/>
      <c r="D12" s="34"/>
      <c r="E12" s="34"/>
      <c r="F12" s="34"/>
      <c r="G12" s="34"/>
      <c r="H12" s="34"/>
      <c r="I12" s="34"/>
      <c r="J12" s="34"/>
      <c r="K12" s="34"/>
      <c r="L12" s="34"/>
      <c r="M12" s="34"/>
      <c r="N12" s="34"/>
      <c r="O12" s="34"/>
      <c r="P12" s="34"/>
      <c r="Q12" s="34"/>
      <c r="R12" s="94"/>
      <c r="S12" s="94"/>
      <c r="T12" s="94"/>
      <c r="U12" s="94"/>
      <c r="V12" s="94"/>
      <c r="W12" s="94"/>
      <c r="X12" s="94"/>
      <c r="Y12" s="94"/>
      <c r="Z12" s="94"/>
      <c r="AA12" s="95"/>
      <c r="AB12" s="95"/>
      <c r="AC12" s="95"/>
    </row>
    <row r="13" spans="1:30" ht="15">
      <c r="A13" s="34"/>
      <c r="B13" s="1086" t="s">
        <v>71</v>
      </c>
      <c r="C13" s="1087"/>
      <c r="D13" s="1087"/>
      <c r="E13" s="1087"/>
      <c r="F13" s="1088"/>
      <c r="G13" s="34"/>
      <c r="H13" s="1083" t="s">
        <v>72</v>
      </c>
      <c r="I13" s="1084"/>
      <c r="J13" s="1084"/>
      <c r="K13" s="1084"/>
      <c r="L13" s="1085"/>
      <c r="M13" s="34"/>
      <c r="N13" s="1115" t="s">
        <v>59</v>
      </c>
      <c r="O13" s="1107"/>
      <c r="P13" s="1107"/>
      <c r="Q13" s="1107"/>
      <c r="R13" s="1119">
        <f>R6</f>
        <v>84.867026864775639</v>
      </c>
      <c r="S13" s="1092"/>
      <c r="T13" s="1121" t="s">
        <v>73</v>
      </c>
      <c r="U13" s="1107"/>
      <c r="V13" s="64"/>
      <c r="W13" s="96">
        <f>SUM(V15:W18)*5</f>
        <v>189.40372054630046</v>
      </c>
      <c r="X13" s="1127" t="s">
        <v>74</v>
      </c>
      <c r="Y13" s="1107"/>
      <c r="Z13" s="97">
        <v>0</v>
      </c>
      <c r="AA13" s="1128" t="s">
        <v>75</v>
      </c>
      <c r="AB13" s="1107"/>
      <c r="AC13" s="97">
        <v>0</v>
      </c>
    </row>
    <row r="14" spans="1:30" ht="12.75">
      <c r="A14" s="34"/>
      <c r="B14" s="45" t="s">
        <v>76</v>
      </c>
      <c r="C14" s="46" t="s">
        <v>54</v>
      </c>
      <c r="D14" s="47" t="s">
        <v>55</v>
      </c>
      <c r="E14" s="47" t="s">
        <v>56</v>
      </c>
      <c r="F14" s="98" t="s">
        <v>57</v>
      </c>
      <c r="G14" s="34"/>
      <c r="H14" s="49" t="s">
        <v>76</v>
      </c>
      <c r="I14" s="50" t="s">
        <v>54</v>
      </c>
      <c r="J14" s="51" t="s">
        <v>55</v>
      </c>
      <c r="K14" s="51" t="s">
        <v>56</v>
      </c>
      <c r="L14" s="99" t="s">
        <v>57</v>
      </c>
      <c r="M14" s="34"/>
      <c r="N14" s="74"/>
      <c r="O14" s="1106" t="s">
        <v>64</v>
      </c>
      <c r="P14" s="1107"/>
      <c r="Q14" s="75" t="s">
        <v>65</v>
      </c>
      <c r="R14" s="1106" t="s">
        <v>66</v>
      </c>
      <c r="S14" s="1092"/>
      <c r="T14" s="75" t="s">
        <v>67</v>
      </c>
      <c r="U14" s="1106" t="s">
        <v>34</v>
      </c>
      <c r="V14" s="1107"/>
      <c r="W14" s="1107"/>
      <c r="X14" s="76" t="s">
        <v>67</v>
      </c>
      <c r="Y14" s="1106" t="s">
        <v>34</v>
      </c>
      <c r="Z14" s="1092"/>
      <c r="AA14" s="75" t="s">
        <v>67</v>
      </c>
      <c r="AB14" s="1106" t="s">
        <v>34</v>
      </c>
      <c r="AC14" s="1092"/>
    </row>
    <row r="15" spans="1:30" ht="12.75">
      <c r="A15" s="100"/>
      <c r="B15" s="101" t="s">
        <v>77</v>
      </c>
      <c r="C15" s="57">
        <f>SUM(Cards!AM31:AM35)</f>
        <v>352</v>
      </c>
      <c r="D15" s="57">
        <f>SUM(Cards!AN31:AN35)</f>
        <v>378</v>
      </c>
      <c r="E15" s="57">
        <f t="shared" ref="E15:E22" si="9">D15-C15</f>
        <v>26</v>
      </c>
      <c r="F15" s="59">
        <f t="shared" ref="F15:F22" si="10">C15/D15</f>
        <v>0.93121693121693117</v>
      </c>
      <c r="G15" s="100"/>
      <c r="H15" s="102" t="s">
        <v>77</v>
      </c>
      <c r="I15" s="61">
        <f>SUM(Cards!AM37:AM41)</f>
        <v>672</v>
      </c>
      <c r="J15" s="61">
        <f>SUM(Cards!AN37:AN41)</f>
        <v>723</v>
      </c>
      <c r="K15" s="61">
        <f t="shared" ref="K15:K22" si="11">J15-I15</f>
        <v>51</v>
      </c>
      <c r="L15" s="63">
        <f t="shared" ref="L15:L22" si="12">I15/J15</f>
        <v>0.9294605809128631</v>
      </c>
      <c r="M15" s="100"/>
      <c r="N15" s="77" t="s">
        <v>63</v>
      </c>
      <c r="O15" s="1105">
        <f t="shared" ref="O15:O18" si="13">O8</f>
        <v>0.71593576467056885</v>
      </c>
      <c r="P15" s="1092"/>
      <c r="Q15" s="78">
        <v>40</v>
      </c>
      <c r="R15" s="1109">
        <v>5</v>
      </c>
      <c r="S15" s="1092"/>
      <c r="T15" s="103">
        <f>Cards!BB38</f>
        <v>100</v>
      </c>
      <c r="U15" s="104">
        <f>Cards!BB38-Cards!BA38</f>
        <v>1</v>
      </c>
      <c r="V15" s="1091">
        <f t="shared" ref="V15:V18" si="14">$O8*((T15-U15)/T15*$R8+U15/T15*$Q15)</f>
        <v>3.8302563409875439</v>
      </c>
      <c r="W15" s="1092"/>
      <c r="X15" s="103">
        <v>0</v>
      </c>
      <c r="Y15" s="104">
        <v>0</v>
      </c>
      <c r="Z15" s="105">
        <v>0</v>
      </c>
      <c r="AA15" s="103">
        <v>0</v>
      </c>
      <c r="AB15" s="104">
        <v>0</v>
      </c>
      <c r="AC15" s="105">
        <v>0</v>
      </c>
    </row>
    <row r="16" spans="1:30" ht="12.75">
      <c r="A16" s="100"/>
      <c r="B16" s="106" t="s">
        <v>78</v>
      </c>
      <c r="C16" s="67">
        <f>SUM(Cards!AO31:AO35)</f>
        <v>3</v>
      </c>
      <c r="D16" s="67">
        <f>SUM(Cards!AP31:AP35)</f>
        <v>4</v>
      </c>
      <c r="E16" s="67">
        <f t="shared" si="9"/>
        <v>1</v>
      </c>
      <c r="F16" s="69">
        <f t="shared" si="10"/>
        <v>0.75</v>
      </c>
      <c r="G16" s="100"/>
      <c r="H16" s="107" t="s">
        <v>78</v>
      </c>
      <c r="I16" s="71">
        <f>SUM(Cards!AO37:AO41)</f>
        <v>4</v>
      </c>
      <c r="J16" s="71">
        <f>SUM(Cards!AP37:AP41)</f>
        <v>5</v>
      </c>
      <c r="K16" s="71">
        <f t="shared" si="11"/>
        <v>1</v>
      </c>
      <c r="L16" s="73">
        <f t="shared" si="12"/>
        <v>0.8</v>
      </c>
      <c r="M16" s="100"/>
      <c r="N16" s="81" t="s">
        <v>68</v>
      </c>
      <c r="O16" s="1108">
        <f t="shared" si="13"/>
        <v>0.22910400720396218</v>
      </c>
      <c r="P16" s="1092"/>
      <c r="Q16" s="82">
        <v>100</v>
      </c>
      <c r="R16" s="1110">
        <v>20</v>
      </c>
      <c r="S16" s="1092"/>
      <c r="T16" s="108">
        <f>Cards!BB39</f>
        <v>72</v>
      </c>
      <c r="U16" s="109">
        <f>Cards!BB39-Cards!BA39</f>
        <v>10</v>
      </c>
      <c r="V16" s="1093">
        <f t="shared" si="14"/>
        <v>7.1276802241232673</v>
      </c>
      <c r="W16" s="1092"/>
      <c r="X16" s="108">
        <v>0</v>
      </c>
      <c r="Y16" s="109">
        <v>0</v>
      </c>
      <c r="Z16" s="110">
        <v>0</v>
      </c>
      <c r="AA16" s="108">
        <v>0</v>
      </c>
      <c r="AB16" s="109">
        <v>0</v>
      </c>
      <c r="AC16" s="110">
        <v>0</v>
      </c>
    </row>
    <row r="17" spans="1:30" ht="16.5" customHeight="1">
      <c r="A17" s="100"/>
      <c r="B17" s="111" t="s">
        <v>79</v>
      </c>
      <c r="C17" s="57">
        <f>SUM(Cards!AQ31:AQ35)</f>
        <v>30</v>
      </c>
      <c r="D17" s="57">
        <f>SUM(Cards!AR31:AR35)</f>
        <v>30</v>
      </c>
      <c r="E17" s="57">
        <f t="shared" si="9"/>
        <v>0</v>
      </c>
      <c r="F17" s="59">
        <f t="shared" si="10"/>
        <v>1</v>
      </c>
      <c r="G17" s="100"/>
      <c r="H17" s="112" t="s">
        <v>79</v>
      </c>
      <c r="I17" s="61">
        <f>SUM(Cards!AQ37:AQ41)</f>
        <v>54</v>
      </c>
      <c r="J17" s="61">
        <f>SUM(Cards!AR37:AR41)</f>
        <v>54</v>
      </c>
      <c r="K17" s="61">
        <f t="shared" si="11"/>
        <v>0</v>
      </c>
      <c r="L17" s="63">
        <f t="shared" si="12"/>
        <v>1</v>
      </c>
      <c r="M17" s="100"/>
      <c r="N17" s="77" t="s">
        <v>69</v>
      </c>
      <c r="O17" s="1105">
        <f t="shared" si="13"/>
        <v>4.390814948221522E-2</v>
      </c>
      <c r="P17" s="1092"/>
      <c r="Q17" s="78">
        <v>400</v>
      </c>
      <c r="R17" s="1109">
        <v>100</v>
      </c>
      <c r="S17" s="1092"/>
      <c r="T17" s="103">
        <f>Cards!BB40</f>
        <v>54</v>
      </c>
      <c r="U17" s="104">
        <f>Cards!BB40-Cards!BA40</f>
        <v>38</v>
      </c>
      <c r="V17" s="1091">
        <f t="shared" si="14"/>
        <v>13.660313172244734</v>
      </c>
      <c r="W17" s="1092"/>
      <c r="X17" s="103">
        <v>0</v>
      </c>
      <c r="Y17" s="104">
        <v>0</v>
      </c>
      <c r="Z17" s="105">
        <v>0</v>
      </c>
      <c r="AA17" s="103">
        <v>0</v>
      </c>
      <c r="AB17" s="104">
        <v>0</v>
      </c>
      <c r="AC17" s="105">
        <v>0</v>
      </c>
    </row>
    <row r="18" spans="1:30" ht="12.75">
      <c r="A18" s="100"/>
      <c r="B18" s="106" t="s">
        <v>80</v>
      </c>
      <c r="C18" s="67">
        <f>SUM(Cards!AS31:AS35)</f>
        <v>97</v>
      </c>
      <c r="D18" s="67">
        <f>SUM(Cards!AT31:AT35)</f>
        <v>123</v>
      </c>
      <c r="E18" s="67">
        <f t="shared" si="9"/>
        <v>26</v>
      </c>
      <c r="F18" s="69">
        <f t="shared" si="10"/>
        <v>0.78861788617886175</v>
      </c>
      <c r="G18" s="100"/>
      <c r="H18" s="107" t="s">
        <v>80</v>
      </c>
      <c r="I18" s="71">
        <f>SUM(Cards!AS37:AS41)</f>
        <v>169</v>
      </c>
      <c r="J18" s="71">
        <f>SUM(Cards!AT37:AT41)</f>
        <v>226</v>
      </c>
      <c r="K18" s="71">
        <f t="shared" si="11"/>
        <v>57</v>
      </c>
      <c r="L18" s="73">
        <f t="shared" si="12"/>
        <v>0.74778761061946908</v>
      </c>
      <c r="M18" s="100"/>
      <c r="N18" s="93" t="s">
        <v>70</v>
      </c>
      <c r="O18" s="1108">
        <f t="shared" si="13"/>
        <v>1.105207864325379E-2</v>
      </c>
      <c r="P18" s="1092"/>
      <c r="Q18" s="93">
        <v>1600</v>
      </c>
      <c r="R18" s="1110">
        <v>400</v>
      </c>
      <c r="S18" s="1092"/>
      <c r="T18" s="108">
        <f>Cards!BB41</f>
        <v>21</v>
      </c>
      <c r="U18" s="109">
        <f>Cards!BB41-Cards!BA41</f>
        <v>14</v>
      </c>
      <c r="V18" s="1093">
        <f t="shared" si="14"/>
        <v>13.262494371904546</v>
      </c>
      <c r="W18" s="1092"/>
      <c r="X18" s="108">
        <v>0</v>
      </c>
      <c r="Y18" s="109">
        <v>0</v>
      </c>
      <c r="Z18" s="110">
        <v>0</v>
      </c>
      <c r="AA18" s="108">
        <v>0</v>
      </c>
      <c r="AB18" s="109">
        <v>0</v>
      </c>
      <c r="AC18" s="110">
        <v>0</v>
      </c>
    </row>
    <row r="19" spans="1:30" ht="12.75">
      <c r="A19" s="100"/>
      <c r="B19" s="101" t="s">
        <v>81</v>
      </c>
      <c r="C19" s="57">
        <f>SUM(Cards!AU31:AU35)</f>
        <v>31</v>
      </c>
      <c r="D19" s="57">
        <f>SUM(Cards!AV31:AV35)</f>
        <v>31</v>
      </c>
      <c r="E19" s="57">
        <f t="shared" si="9"/>
        <v>0</v>
      </c>
      <c r="F19" s="59">
        <f t="shared" si="10"/>
        <v>1</v>
      </c>
      <c r="G19" s="100"/>
      <c r="H19" s="102" t="s">
        <v>81</v>
      </c>
      <c r="I19" s="61">
        <f>SUM(Cards!AU37:AU41)</f>
        <v>57</v>
      </c>
      <c r="J19" s="61">
        <f>SUM(Cards!AV37:AV41)</f>
        <v>57</v>
      </c>
      <c r="K19" s="61">
        <f t="shared" si="11"/>
        <v>0</v>
      </c>
      <c r="L19" s="63">
        <f t="shared" si="12"/>
        <v>1</v>
      </c>
      <c r="M19" s="100"/>
    </row>
    <row r="20" spans="1:30" ht="12.75">
      <c r="A20" s="100"/>
      <c r="B20" s="113" t="s">
        <v>82</v>
      </c>
      <c r="C20" s="67">
        <f>SUM(Cards!AW31:AW35)</f>
        <v>115</v>
      </c>
      <c r="D20" s="67">
        <f>SUM(Cards!AX31:AX35)</f>
        <v>132</v>
      </c>
      <c r="E20" s="67">
        <f t="shared" si="9"/>
        <v>17</v>
      </c>
      <c r="F20" s="69">
        <f t="shared" si="10"/>
        <v>0.87121212121212122</v>
      </c>
      <c r="G20" s="100"/>
      <c r="H20" s="114" t="s">
        <v>82</v>
      </c>
      <c r="I20" s="71">
        <f>SUM(Cards!AW37:AW41)</f>
        <v>212</v>
      </c>
      <c r="J20" s="71">
        <f>SUM(Cards!AX37:AX41)</f>
        <v>244</v>
      </c>
      <c r="K20" s="71">
        <f t="shared" si="11"/>
        <v>32</v>
      </c>
      <c r="L20" s="73">
        <f t="shared" si="12"/>
        <v>0.86885245901639341</v>
      </c>
      <c r="M20" s="100"/>
      <c r="N20" s="1100" t="s">
        <v>83</v>
      </c>
      <c r="O20" s="1079"/>
      <c r="P20" s="1079"/>
      <c r="Q20" s="1079"/>
      <c r="R20" s="1079"/>
      <c r="S20" s="1079"/>
      <c r="T20" s="1079"/>
      <c r="U20" s="1079"/>
      <c r="V20" s="1079"/>
      <c r="W20" s="1079"/>
      <c r="X20" s="1079"/>
      <c r="Y20" s="1079"/>
      <c r="Z20" s="1079"/>
      <c r="AA20" s="1079"/>
      <c r="AB20" s="1079"/>
      <c r="AC20" s="1081"/>
    </row>
    <row r="21" spans="1:30" ht="15" customHeight="1">
      <c r="A21" s="100"/>
      <c r="B21" s="111" t="s">
        <v>84</v>
      </c>
      <c r="C21" s="57">
        <f>SUM(Cards!AY31:AY35)</f>
        <v>45</v>
      </c>
      <c r="D21" s="57">
        <f>SUM(Cards!AZ31:AZ35)</f>
        <v>45</v>
      </c>
      <c r="E21" s="57">
        <f t="shared" si="9"/>
        <v>0</v>
      </c>
      <c r="F21" s="59">
        <f t="shared" si="10"/>
        <v>1</v>
      </c>
      <c r="H21" s="112" t="s">
        <v>84</v>
      </c>
      <c r="I21" s="61">
        <f>SUM(Cards!AY37:AY41)</f>
        <v>85</v>
      </c>
      <c r="J21" s="61">
        <f>SUM(Cards!AZ37:AZ41)</f>
        <v>85</v>
      </c>
      <c r="K21" s="61">
        <f t="shared" si="11"/>
        <v>0</v>
      </c>
      <c r="L21" s="63">
        <f t="shared" si="12"/>
        <v>1</v>
      </c>
      <c r="M21" s="115"/>
      <c r="N21" s="1099" t="s">
        <v>85</v>
      </c>
      <c r="O21" s="1079"/>
      <c r="P21" s="1079"/>
      <c r="Q21" s="1079"/>
      <c r="R21" s="1079"/>
      <c r="S21" s="1079"/>
      <c r="T21" s="1079"/>
      <c r="U21" s="1079"/>
      <c r="V21" s="1079"/>
      <c r="W21" s="1079"/>
      <c r="X21" s="1079"/>
      <c r="Y21" s="1079"/>
      <c r="Z21" s="1079"/>
      <c r="AA21" s="1079"/>
      <c r="AB21" s="1079"/>
      <c r="AC21" s="1081"/>
    </row>
    <row r="22" spans="1:30" ht="15" customHeight="1">
      <c r="A22" s="100"/>
      <c r="B22" s="113" t="s">
        <v>86</v>
      </c>
      <c r="C22" s="116">
        <f>SUM(Cards!BA31:BA35)</f>
        <v>103</v>
      </c>
      <c r="D22" s="116">
        <f>SUM(Cards!BB31:BB35)</f>
        <v>134</v>
      </c>
      <c r="E22" s="116">
        <f t="shared" si="9"/>
        <v>31</v>
      </c>
      <c r="F22" s="117">
        <f t="shared" si="10"/>
        <v>0.76865671641791045</v>
      </c>
      <c r="H22" s="114" t="s">
        <v>86</v>
      </c>
      <c r="I22" s="118">
        <f>SUM(Cards!BA37:BA41)</f>
        <v>184</v>
      </c>
      <c r="J22" s="71">
        <f>SUM(Cards!BB37:BB41)</f>
        <v>247</v>
      </c>
      <c r="K22" s="118">
        <f t="shared" si="11"/>
        <v>63</v>
      </c>
      <c r="L22" s="119">
        <f t="shared" si="12"/>
        <v>0.74493927125506076</v>
      </c>
      <c r="M22" s="115"/>
      <c r="N22" s="1095" t="s">
        <v>87</v>
      </c>
      <c r="O22" s="1079"/>
      <c r="P22" s="1079"/>
      <c r="Q22" s="1079"/>
      <c r="R22" s="1095" t="s">
        <v>77</v>
      </c>
      <c r="S22" s="1079"/>
      <c r="T22" s="1081"/>
      <c r="U22" s="1095" t="s">
        <v>80</v>
      </c>
      <c r="V22" s="1079"/>
      <c r="W22" s="1081"/>
      <c r="X22" s="1098" t="s">
        <v>82</v>
      </c>
      <c r="Y22" s="1081"/>
      <c r="Z22" s="1098" t="s">
        <v>73</v>
      </c>
      <c r="AA22" s="1081"/>
      <c r="AB22" s="1097" t="s">
        <v>74</v>
      </c>
      <c r="AC22" s="1081"/>
    </row>
    <row r="23" spans="1:30" ht="15" customHeight="1">
      <c r="A23" s="100"/>
      <c r="B23" s="120" t="s">
        <v>88</v>
      </c>
      <c r="C23" s="56" t="s">
        <v>24</v>
      </c>
      <c r="D23" s="56" t="s">
        <v>24</v>
      </c>
      <c r="E23" s="56" t="s">
        <v>24</v>
      </c>
      <c r="F23" s="121">
        <v>0</v>
      </c>
      <c r="H23" s="122" t="s">
        <v>88</v>
      </c>
      <c r="I23" s="123" t="s">
        <v>24</v>
      </c>
      <c r="J23" s="123" t="s">
        <v>24</v>
      </c>
      <c r="K23" s="123" t="s">
        <v>24</v>
      </c>
      <c r="L23" s="124">
        <v>0</v>
      </c>
      <c r="M23" s="115"/>
      <c r="N23" s="125" t="s">
        <v>89</v>
      </c>
      <c r="O23" s="1112">
        <v>100</v>
      </c>
      <c r="P23" s="1079"/>
      <c r="Q23" s="126" t="s">
        <v>90</v>
      </c>
      <c r="R23" s="1096">
        <f>MAX((Summary!Z32*O23),0)</f>
        <v>22260.02206693637</v>
      </c>
      <c r="S23" s="1079"/>
      <c r="T23" s="128" t="s">
        <v>91</v>
      </c>
      <c r="U23" s="129">
        <f>MAX((Summary!AA32*O23),0)</f>
        <v>25197.682971680766</v>
      </c>
      <c r="V23" s="1094" t="s">
        <v>91</v>
      </c>
      <c r="W23" s="1081"/>
      <c r="X23" s="127">
        <f>MAX((Summary!AB32*O23),0)</f>
        <v>16894.998161088635</v>
      </c>
      <c r="Y23" s="128" t="s">
        <v>91</v>
      </c>
      <c r="Z23" s="130">
        <f>MAX((Summary!AC32*O23),0)</f>
        <v>26645.825671202649</v>
      </c>
      <c r="AA23" s="128" t="s">
        <v>91</v>
      </c>
      <c r="AB23" s="130">
        <v>0</v>
      </c>
      <c r="AC23" s="128" t="s">
        <v>91</v>
      </c>
    </row>
    <row r="24" spans="1:30" ht="12.75" customHeight="1">
      <c r="A24" s="100"/>
      <c r="B24" s="113" t="s">
        <v>22</v>
      </c>
      <c r="C24" s="67">
        <f t="shared" ref="C24:D24" si="15">SUM(C15:C23)</f>
        <v>776</v>
      </c>
      <c r="D24" s="67">
        <f t="shared" si="15"/>
        <v>877</v>
      </c>
      <c r="E24" s="67">
        <f>D24-C24</f>
        <v>101</v>
      </c>
      <c r="F24" s="69">
        <f>C24/D24</f>
        <v>0.88483466362599772</v>
      </c>
      <c r="G24" s="100"/>
      <c r="H24" s="114" t="s">
        <v>22</v>
      </c>
      <c r="I24" s="71">
        <f t="shared" ref="I24:J24" si="16">SUM(I15:I23)</f>
        <v>1437</v>
      </c>
      <c r="J24" s="71">
        <f t="shared" si="16"/>
        <v>1641</v>
      </c>
      <c r="K24" s="71">
        <f>SUM(K15:K21)</f>
        <v>141</v>
      </c>
      <c r="L24" s="73">
        <f>I24/J24</f>
        <v>0.8756855575868373</v>
      </c>
      <c r="M24" s="115"/>
      <c r="N24" s="131" t="s">
        <v>92</v>
      </c>
      <c r="O24" s="1111">
        <v>1.167</v>
      </c>
      <c r="P24" s="1079"/>
      <c r="Q24" s="132" t="s">
        <v>90</v>
      </c>
      <c r="R24" s="1114">
        <f>MAX((Summary!Z31*O24),0)</f>
        <v>173.18297168076498</v>
      </c>
      <c r="S24" s="1079"/>
      <c r="T24" s="134" t="s">
        <v>93</v>
      </c>
      <c r="U24" s="133">
        <f>MAX((Summary!AA31*O24),0)</f>
        <v>196.03797351967637</v>
      </c>
      <c r="V24" s="1082" t="s">
        <v>93</v>
      </c>
      <c r="W24" s="1081"/>
      <c r="X24" s="133">
        <f>MAX((Summary!AB31*O24),0)</f>
        <v>131.44308569326958</v>
      </c>
      <c r="Y24" s="134" t="s">
        <v>93</v>
      </c>
      <c r="Z24" s="135">
        <f>MAX((Summary!AC31*O24),0)</f>
        <v>207.3045237219566</v>
      </c>
      <c r="AA24" s="134" t="s">
        <v>93</v>
      </c>
      <c r="AB24" s="135">
        <v>0</v>
      </c>
      <c r="AC24" s="134" t="s">
        <v>93</v>
      </c>
    </row>
    <row r="25" spans="1:30" ht="8.25" customHeight="1">
      <c r="A25" s="34"/>
      <c r="B25" s="34"/>
      <c r="C25" s="34"/>
      <c r="D25" s="34"/>
      <c r="E25" s="34"/>
      <c r="F25" s="34"/>
      <c r="G25" s="34"/>
      <c r="H25" s="34"/>
      <c r="I25" s="34"/>
      <c r="J25" s="34"/>
      <c r="K25" s="34"/>
      <c r="L25" s="34"/>
      <c r="M25" s="34"/>
      <c r="N25" s="136" t="s">
        <v>94</v>
      </c>
      <c r="O25" s="1112">
        <v>500</v>
      </c>
      <c r="P25" s="1079"/>
      <c r="Q25" s="126" t="s">
        <v>95</v>
      </c>
      <c r="R25" s="1113">
        <f>R23/O25</f>
        <v>44.520044133872737</v>
      </c>
      <c r="S25" s="1079"/>
      <c r="T25" s="128" t="s">
        <v>96</v>
      </c>
      <c r="U25" s="137">
        <f>U23/O25</f>
        <v>50.395365943361533</v>
      </c>
      <c r="V25" s="1094" t="s">
        <v>96</v>
      </c>
      <c r="W25" s="1079"/>
      <c r="X25" s="137">
        <f>X23/O25</f>
        <v>33.789996322177274</v>
      </c>
      <c r="Y25" s="128" t="s">
        <v>96</v>
      </c>
      <c r="Z25" s="138">
        <f>Z23/O25</f>
        <v>53.291651342405295</v>
      </c>
      <c r="AA25" s="128" t="s">
        <v>96</v>
      </c>
      <c r="AB25" s="138">
        <v>0</v>
      </c>
      <c r="AC25" s="128" t="s">
        <v>96</v>
      </c>
    </row>
    <row r="26" spans="1:30" ht="15.75" customHeight="1">
      <c r="A26" s="34"/>
      <c r="B26" s="1086" t="s">
        <v>97</v>
      </c>
      <c r="C26" s="1087"/>
      <c r="D26" s="1087"/>
      <c r="E26" s="1087"/>
      <c r="F26" s="1088"/>
      <c r="G26" s="34"/>
      <c r="H26" s="1083" t="s">
        <v>98</v>
      </c>
      <c r="I26" s="1084"/>
      <c r="J26" s="1084"/>
      <c r="K26" s="1084"/>
      <c r="L26" s="1085"/>
      <c r="N26" s="131" t="s">
        <v>99</v>
      </c>
      <c r="O26" s="1090">
        <v>1160</v>
      </c>
      <c r="P26" s="1079"/>
      <c r="Q26" s="132" t="s">
        <v>95</v>
      </c>
      <c r="R26" s="1089">
        <f>R23/O26</f>
        <v>19.189674195634801</v>
      </c>
      <c r="S26" s="1079"/>
      <c r="T26" s="134" t="s">
        <v>96</v>
      </c>
      <c r="U26" s="139">
        <f>U23/O26</f>
        <v>21.722140492828245</v>
      </c>
      <c r="V26" s="1082" t="s">
        <v>96</v>
      </c>
      <c r="W26" s="1079"/>
      <c r="X26" s="139">
        <f>X23/O26</f>
        <v>14.564653587145376</v>
      </c>
      <c r="Y26" s="134" t="s">
        <v>96</v>
      </c>
      <c r="Z26" s="140">
        <f>Z23/O26</f>
        <v>22.970539371726421</v>
      </c>
      <c r="AA26" s="134" t="s">
        <v>96</v>
      </c>
      <c r="AB26" s="140">
        <v>0</v>
      </c>
      <c r="AC26" s="134" t="s">
        <v>96</v>
      </c>
    </row>
    <row r="27" spans="1:30" ht="21.75" customHeight="1">
      <c r="A27" s="34"/>
      <c r="B27" s="45" t="s">
        <v>100</v>
      </c>
      <c r="C27" s="46" t="s">
        <v>54</v>
      </c>
      <c r="D27" s="47" t="s">
        <v>55</v>
      </c>
      <c r="E27" s="47" t="s">
        <v>56</v>
      </c>
      <c r="F27" s="48" t="s">
        <v>57</v>
      </c>
      <c r="G27" s="34"/>
      <c r="H27" s="49" t="s">
        <v>100</v>
      </c>
      <c r="I27" s="50" t="s">
        <v>54</v>
      </c>
      <c r="J27" s="51" t="s">
        <v>55</v>
      </c>
      <c r="K27" s="51" t="s">
        <v>56</v>
      </c>
      <c r="L27" s="52" t="s">
        <v>57</v>
      </c>
      <c r="N27" s="1078" t="s">
        <v>101</v>
      </c>
      <c r="O27" s="1079"/>
      <c r="P27" s="1079"/>
      <c r="Q27" s="1079"/>
      <c r="R27" s="1080">
        <f>(577.29*(((Summary!Q8*(Summary!T8-Summary!U8))+(Summary!Q9*(Summary!T9-Summary!U9))+(Summary!Q10*(Summary!T10-Summary!U10))+(Summary!Q11*(Summary!T11-Summary!U11)))/106120))+(24.99*(Summary!I17/Summary!J17))+(360.01*(((Summary!Q8*(Summary!X8-Summary!Y8))+(Summary!Q9*(Summary!X9-Summary!Y9))+(Summary!Q10*(Summary!X10-Summary!Y10))+(Summary!Q11*(Summary!X11-Summary!Y11)))/63400)+(24.99*(Summary!I19/Summary!J19)+(362.39*(((Summary!Q8*(Summary!AA8-Summary!AB8))+(Summary!Q9*(Summary!AA9-Summary!AB9))+(Summary!Q10*(Summary!AA10-Summary!AB10))+(Summary!Q11*(Summary!AA11-Summary!AB11)))/64720)+(19.99*(Summary!I21/Summary!J21)+(379*(((Summary!Q8*(Summary!T15-Summary!U15))+(Summary!Q9*(Summary!T16-Summary!U16))+(Summary!Q10*(Summary!T17-Summary!U17))+(Summary!Q11*(Summary!T18-Summary!U18)))/67000))+((Setup!J15/102.82)*O24)))))</f>
        <v>1331.6894934993709</v>
      </c>
      <c r="S27" s="1079"/>
      <c r="T27" s="1079"/>
      <c r="U27" s="1081"/>
      <c r="V27" s="1080" t="s">
        <v>102</v>
      </c>
      <c r="W27" s="1079"/>
      <c r="X27" s="1079"/>
      <c r="Y27" s="1079"/>
      <c r="Z27" s="1080">
        <f>MAX(((1521.21+379)-R27),0)</f>
        <v>568.52050650062915</v>
      </c>
      <c r="AA27" s="1079"/>
      <c r="AB27" s="1079"/>
      <c r="AC27" s="1081"/>
    </row>
    <row r="28" spans="1:30" ht="13.5" customHeight="1">
      <c r="A28" s="141"/>
      <c r="B28" s="142" t="s">
        <v>8</v>
      </c>
      <c r="C28" s="57">
        <f>SUM(Cards!AK62)</f>
        <v>52</v>
      </c>
      <c r="D28" s="57">
        <f>SUM(Cards!AL62)</f>
        <v>57</v>
      </c>
      <c r="E28" s="58">
        <f t="shared" ref="E28:E38" si="17">D28-C28</f>
        <v>5</v>
      </c>
      <c r="F28" s="59">
        <f t="shared" ref="F28:F38" si="18">C28/D28</f>
        <v>0.91228070175438591</v>
      </c>
      <c r="G28" s="141"/>
      <c r="H28" s="143" t="s">
        <v>8</v>
      </c>
      <c r="I28" s="61">
        <f>SUM(Cards!AK63)</f>
        <v>99</v>
      </c>
      <c r="J28" s="61">
        <f>SUM(Cards!AL63)</f>
        <v>110</v>
      </c>
      <c r="K28" s="62">
        <f t="shared" ref="K28:K38" si="19">J28-I28</f>
        <v>11</v>
      </c>
      <c r="L28" s="63">
        <f t="shared" ref="L28:L38" si="20">I28/J28</f>
        <v>0.9</v>
      </c>
      <c r="M28" s="144"/>
    </row>
    <row r="29" spans="1:30" ht="13.5" customHeight="1">
      <c r="A29" s="141"/>
      <c r="B29" s="145" t="s">
        <v>11</v>
      </c>
      <c r="C29" s="67">
        <f>SUM(Cards!AK81)</f>
        <v>52</v>
      </c>
      <c r="D29" s="67">
        <f>SUM(Cards!AL81)</f>
        <v>58</v>
      </c>
      <c r="E29" s="68">
        <f t="shared" si="17"/>
        <v>6</v>
      </c>
      <c r="F29" s="69">
        <f t="shared" si="18"/>
        <v>0.89655172413793105</v>
      </c>
      <c r="G29" s="141"/>
      <c r="H29" s="146" t="s">
        <v>11</v>
      </c>
      <c r="I29" s="71">
        <f>SUM(Cards!AK82)</f>
        <v>98</v>
      </c>
      <c r="J29" s="71">
        <f>SUM(Cards!AL82)</f>
        <v>111</v>
      </c>
      <c r="K29" s="72">
        <f t="shared" si="19"/>
        <v>13</v>
      </c>
      <c r="L29" s="73">
        <f t="shared" si="20"/>
        <v>0.88288288288288286</v>
      </c>
      <c r="M29" s="144"/>
      <c r="N29" s="1104" t="s">
        <v>103</v>
      </c>
      <c r="O29" s="1014"/>
      <c r="P29" s="1014"/>
      <c r="Q29" s="1016"/>
      <c r="S29" s="1103" t="s">
        <v>104</v>
      </c>
      <c r="T29" s="1014"/>
      <c r="U29" s="1014"/>
      <c r="V29" s="1016"/>
      <c r="X29" s="1101" t="s">
        <v>105</v>
      </c>
      <c r="Y29" s="1102"/>
      <c r="Z29" s="1102"/>
      <c r="AA29" s="1102"/>
      <c r="AB29" s="1102"/>
      <c r="AC29" s="1030"/>
      <c r="AD29" s="148"/>
    </row>
    <row r="30" spans="1:30" ht="13.5" customHeight="1">
      <c r="A30" s="141"/>
      <c r="B30" s="142" t="s">
        <v>13</v>
      </c>
      <c r="C30" s="57">
        <f>SUM(Cards!AK100)</f>
        <v>52</v>
      </c>
      <c r="D30" s="57">
        <f>SUM(Cards!AL100)</f>
        <v>57</v>
      </c>
      <c r="E30" s="58">
        <f t="shared" si="17"/>
        <v>5</v>
      </c>
      <c r="F30" s="59">
        <f t="shared" si="18"/>
        <v>0.91228070175438591</v>
      </c>
      <c r="G30" s="141"/>
      <c r="H30" s="143" t="s">
        <v>13</v>
      </c>
      <c r="I30" s="61">
        <f>SUM(Cards!AK101)</f>
        <v>98</v>
      </c>
      <c r="J30" s="61">
        <f>SUM(Cards!AL101)</f>
        <v>110</v>
      </c>
      <c r="K30" s="62">
        <f t="shared" si="19"/>
        <v>12</v>
      </c>
      <c r="L30" s="63">
        <f t="shared" si="20"/>
        <v>0.89090909090909087</v>
      </c>
      <c r="M30" s="144"/>
      <c r="N30" s="1017"/>
      <c r="O30" s="1034"/>
      <c r="P30" s="1034"/>
      <c r="Q30" s="1018"/>
      <c r="S30" s="1037"/>
      <c r="T30" s="1007"/>
      <c r="U30" s="1007"/>
      <c r="V30" s="1038"/>
      <c r="X30" s="1062" t="s">
        <v>106</v>
      </c>
      <c r="Y30" s="1030"/>
      <c r="Z30" s="149" t="s">
        <v>77</v>
      </c>
      <c r="AA30" s="149" t="s">
        <v>80</v>
      </c>
      <c r="AB30" s="149" t="s">
        <v>82</v>
      </c>
      <c r="AC30" s="149" t="s">
        <v>73</v>
      </c>
    </row>
    <row r="31" spans="1:30" ht="13.5" customHeight="1">
      <c r="A31" s="141"/>
      <c r="B31" s="145" t="s">
        <v>16</v>
      </c>
      <c r="C31" s="67">
        <f>SUM(Cards!AK119)</f>
        <v>50</v>
      </c>
      <c r="D31" s="67">
        <f>SUM(Cards!AL119)</f>
        <v>57</v>
      </c>
      <c r="E31" s="68">
        <f t="shared" si="17"/>
        <v>7</v>
      </c>
      <c r="F31" s="69">
        <f t="shared" si="18"/>
        <v>0.8771929824561403</v>
      </c>
      <c r="G31" s="141"/>
      <c r="H31" s="146" t="s">
        <v>16</v>
      </c>
      <c r="I31" s="71">
        <f>SUM(Cards!AK120)</f>
        <v>94</v>
      </c>
      <c r="J31" s="71">
        <f>SUM(Cards!AL120)</f>
        <v>110</v>
      </c>
      <c r="K31" s="72">
        <f t="shared" si="19"/>
        <v>16</v>
      </c>
      <c r="L31" s="73">
        <f t="shared" si="20"/>
        <v>0.8545454545454545</v>
      </c>
      <c r="M31" s="144"/>
      <c r="N31" s="1075" t="str">
        <f>Setup!I9</f>
        <v>Current Dust</v>
      </c>
      <c r="O31" s="1030"/>
      <c r="P31" s="1070">
        <f>Setup!J9</f>
        <v>11405</v>
      </c>
      <c r="Q31" s="1018"/>
      <c r="S31" s="1068" t="s">
        <v>58</v>
      </c>
      <c r="T31" s="1030"/>
      <c r="U31" s="1069">
        <f>Summary!K6*0</f>
        <v>0</v>
      </c>
      <c r="V31" s="1030"/>
      <c r="X31" s="1063" t="s">
        <v>107</v>
      </c>
      <c r="Y31" s="1030"/>
      <c r="Z31" s="150">
        <f>MAX((((((Summary!U8*Summary!Q8)+(Summary!U9*Summary!Q9)+(Summary!U10*Summary!Q10)+(Summary!U11*Summary!Q11))))/217.52),0)</f>
        <v>148.40014711290914</v>
      </c>
      <c r="AA31" s="150">
        <f>MAX((((((Summary!Y8*Summary!Q8)+(Summary!Y9*Summary!Q9)+(Summary!Y10*Summary!Q10)+(Summary!Y11*Summary!Q11))))/217.52),0)</f>
        <v>167.98455314453844</v>
      </c>
      <c r="AB31" s="150">
        <f>MAX((((((Summary!AB8*Summary!Q8)+(Summary!AB9*Summary!Q9)+(Summary!AB10*Summary!Q10)+(Summary!AB11*Summary!Q11))))/217.52),0)</f>
        <v>112.63332107392424</v>
      </c>
      <c r="AC31" s="151">
        <f>MAX((((((Summary!U15*Summary!Q8)+(Summary!U16*Summary!Q9)+(Summary!U17*Summary!Q10)+(Summary!U18*Summary!Q11))))/217.52),0)</f>
        <v>177.63883780801766</v>
      </c>
    </row>
    <row r="32" spans="1:30" ht="13.5" customHeight="1">
      <c r="A32" s="141"/>
      <c r="B32" s="142" t="s">
        <v>18</v>
      </c>
      <c r="C32" s="57">
        <f>SUM(Cards!AK138)</f>
        <v>53</v>
      </c>
      <c r="D32" s="57">
        <f>SUM(Cards!AL138)</f>
        <v>57</v>
      </c>
      <c r="E32" s="58">
        <f t="shared" si="17"/>
        <v>4</v>
      </c>
      <c r="F32" s="59">
        <f t="shared" si="18"/>
        <v>0.92982456140350878</v>
      </c>
      <c r="G32" s="141"/>
      <c r="H32" s="143" t="s">
        <v>18</v>
      </c>
      <c r="I32" s="61">
        <f>SUM(Cards!AK139)</f>
        <v>101</v>
      </c>
      <c r="J32" s="61">
        <f>SUM(Cards!AL139)</f>
        <v>110</v>
      </c>
      <c r="K32" s="62">
        <f t="shared" si="19"/>
        <v>9</v>
      </c>
      <c r="L32" s="63">
        <f t="shared" si="20"/>
        <v>0.91818181818181821</v>
      </c>
      <c r="M32" s="144"/>
      <c r="N32" s="1076" t="str">
        <f>Setup!I10</f>
        <v>Disenchant</v>
      </c>
      <c r="O32" s="1030"/>
      <c r="P32" s="1065">
        <f>Setup!J10</f>
        <v>17120</v>
      </c>
      <c r="Q32" s="1018"/>
      <c r="S32" s="1071" t="s">
        <v>63</v>
      </c>
      <c r="T32" s="1030"/>
      <c r="U32" s="1074">
        <f>K7*40</f>
        <v>160</v>
      </c>
      <c r="V32" s="1030"/>
      <c r="X32" s="1064" t="s">
        <v>108</v>
      </c>
      <c r="Y32" s="1030"/>
      <c r="Z32" s="152">
        <f t="shared" ref="Z32:AA32" si="21">MAX(((Z31+Z33)/2),0)</f>
        <v>222.60022066936369</v>
      </c>
      <c r="AA32" s="152">
        <f t="shared" si="21"/>
        <v>251.97682971680766</v>
      </c>
      <c r="AB32" s="152">
        <f>MAX((SUM(AB31+AB33)/2),0)</f>
        <v>168.94998161088637</v>
      </c>
      <c r="AC32" s="153">
        <f>MAX(((AC31+AC33)/2),0)</f>
        <v>266.45825671202647</v>
      </c>
    </row>
    <row r="33" spans="1:30" ht="13.5" customHeight="1">
      <c r="A33" s="141"/>
      <c r="B33" s="145" t="s">
        <v>20</v>
      </c>
      <c r="C33" s="67">
        <f>SUM(Cards!AK157)</f>
        <v>52</v>
      </c>
      <c r="D33" s="67">
        <f>SUM(Cards!AL157)</f>
        <v>57</v>
      </c>
      <c r="E33" s="68">
        <f t="shared" si="17"/>
        <v>5</v>
      </c>
      <c r="F33" s="69">
        <f t="shared" si="18"/>
        <v>0.91228070175438591</v>
      </c>
      <c r="G33" s="141"/>
      <c r="H33" s="146" t="s">
        <v>20</v>
      </c>
      <c r="I33" s="71">
        <f>SUM(Cards!AK158)</f>
        <v>96</v>
      </c>
      <c r="J33" s="71">
        <f>SUM(Cards!AL158)</f>
        <v>110</v>
      </c>
      <c r="K33" s="72">
        <f t="shared" si="19"/>
        <v>14</v>
      </c>
      <c r="L33" s="73">
        <f t="shared" si="20"/>
        <v>0.87272727272727268</v>
      </c>
      <c r="M33" s="144"/>
      <c r="N33" s="1075" t="str">
        <f>Setup!I11</f>
        <v>Gold</v>
      </c>
      <c r="O33" s="1030"/>
      <c r="P33" s="1070">
        <f>Setup!J11</f>
        <v>130</v>
      </c>
      <c r="Q33" s="1018"/>
      <c r="S33" s="1068" t="s">
        <v>68</v>
      </c>
      <c r="T33" s="1030"/>
      <c r="U33" s="1069">
        <f>K8* 100</f>
        <v>3400</v>
      </c>
      <c r="V33" s="1030"/>
      <c r="X33" s="1063" t="s">
        <v>109</v>
      </c>
      <c r="Y33" s="1030"/>
      <c r="Z33" s="150">
        <f>MAX((((((Summary!U8*Summary!Q8)+(Summary!U9*Summary!Q9)+(Summary!U10*Summary!Q10)+(Summary!U11*Summary!Q11))))/108.76),0)</f>
        <v>296.80029422581828</v>
      </c>
      <c r="AA33" s="150">
        <f>MAX((((((Summary!Y8*Summary!Q8)+(Summary!Y9*Summary!Q9)+(Summary!Y10*Summary!Q10)+(Summary!Y11*Summary!Q11))))/108.76),0)</f>
        <v>335.96910628907688</v>
      </c>
      <c r="AB33" s="154">
        <f>MAX((((((Summary!AB8*Summary!Q8)+(Summary!AB9*Summary!Q9)+(Summary!AB10*Summary!Q10)+(Summary!AB11*Summary!Q11))))/108.76),0)</f>
        <v>225.26664214784847</v>
      </c>
      <c r="AC33" s="151">
        <f>MAX((((((Summary!U15*Summary!Q8)+(Summary!U16*Summary!Q9)+(Summary!U17*Summary!Q10)+(Summary!U18*Summary!Q11))))/108.76),0)</f>
        <v>355.27767561603531</v>
      </c>
    </row>
    <row r="34" spans="1:30" ht="10.5" customHeight="1">
      <c r="A34" s="141"/>
      <c r="B34" s="142" t="s">
        <v>21</v>
      </c>
      <c r="C34" s="57">
        <f>SUM(Cards!AK176)</f>
        <v>49</v>
      </c>
      <c r="D34" s="57">
        <f>SUM(Cards!AL176)</f>
        <v>57</v>
      </c>
      <c r="E34" s="58">
        <f t="shared" si="17"/>
        <v>8</v>
      </c>
      <c r="F34" s="59">
        <f t="shared" si="18"/>
        <v>0.85964912280701755</v>
      </c>
      <c r="G34" s="141"/>
      <c r="H34" s="143" t="s">
        <v>21</v>
      </c>
      <c r="I34" s="61">
        <f>SUM(Cards!AK177)</f>
        <v>93</v>
      </c>
      <c r="J34" s="61">
        <f>SUM(Cards!AL177)</f>
        <v>110</v>
      </c>
      <c r="K34" s="62">
        <f t="shared" si="19"/>
        <v>17</v>
      </c>
      <c r="L34" s="63">
        <f t="shared" si="20"/>
        <v>0.84545454545454546</v>
      </c>
      <c r="M34" s="144"/>
      <c r="N34" s="1077" t="str">
        <f>Setup!I12</f>
        <v>Extra Gold Cards Dust (Automatic)</v>
      </c>
      <c r="O34" s="1030"/>
      <c r="P34" s="1065">
        <f>Setup!J12</f>
        <v>0</v>
      </c>
      <c r="Q34" s="1018"/>
      <c r="S34" s="1071" t="s">
        <v>69</v>
      </c>
      <c r="T34" s="1030"/>
      <c r="U34" s="1074">
        <f>K9*400</f>
        <v>45200</v>
      </c>
      <c r="V34" s="1030"/>
      <c r="X34" s="1062" t="s">
        <v>106</v>
      </c>
      <c r="Y34" s="1030"/>
      <c r="Z34" s="155" t="s">
        <v>110</v>
      </c>
      <c r="AA34" s="155" t="s">
        <v>111</v>
      </c>
      <c r="AB34" s="155" t="s">
        <v>112</v>
      </c>
      <c r="AC34" s="155" t="s">
        <v>113</v>
      </c>
    </row>
    <row r="35" spans="1:30" ht="15.75" customHeight="1">
      <c r="A35" s="141"/>
      <c r="B35" s="145" t="s">
        <v>25</v>
      </c>
      <c r="C35" s="67">
        <f>SUM(Cards!AK195)</f>
        <v>54</v>
      </c>
      <c r="D35" s="67">
        <f>SUM(Cards!AL195)</f>
        <v>57</v>
      </c>
      <c r="E35" s="68">
        <f t="shared" si="17"/>
        <v>3</v>
      </c>
      <c r="F35" s="69">
        <f t="shared" si="18"/>
        <v>0.94736842105263153</v>
      </c>
      <c r="G35" s="141"/>
      <c r="H35" s="146" t="s">
        <v>25</v>
      </c>
      <c r="I35" s="71">
        <f>SUM(Cards!AK196)</f>
        <v>98</v>
      </c>
      <c r="J35" s="71">
        <f>SUM(Cards!AL196)</f>
        <v>110</v>
      </c>
      <c r="K35" s="72">
        <f t="shared" si="19"/>
        <v>12</v>
      </c>
      <c r="L35" s="73">
        <f t="shared" si="20"/>
        <v>0.89090909090909087</v>
      </c>
      <c r="M35" s="144"/>
      <c r="N35" s="1066" t="str">
        <f>Setup!I15</f>
        <v>Total</v>
      </c>
      <c r="O35" s="1030"/>
      <c r="P35" s="1067">
        <f>Setup!J15</f>
        <v>28658.666000000001</v>
      </c>
      <c r="Q35" s="1018"/>
      <c r="S35" s="1068" t="s">
        <v>70</v>
      </c>
      <c r="T35" s="1030"/>
      <c r="U35" s="1069">
        <f>K10*1600</f>
        <v>84800</v>
      </c>
      <c r="V35" s="1030"/>
      <c r="X35" s="1063" t="s">
        <v>107</v>
      </c>
      <c r="Y35" s="1030"/>
      <c r="Z35" s="151">
        <v>0</v>
      </c>
      <c r="AA35" s="151">
        <v>0</v>
      </c>
      <c r="AB35" s="151">
        <v>0</v>
      </c>
      <c r="AC35" s="151">
        <v>0</v>
      </c>
    </row>
    <row r="36" spans="1:30" ht="13.5" customHeight="1">
      <c r="A36" s="141"/>
      <c r="B36" s="142" t="s">
        <v>26</v>
      </c>
      <c r="C36" s="57">
        <f>SUM(Cards!AK214)</f>
        <v>52</v>
      </c>
      <c r="D36" s="57">
        <f>SUM(Cards!AL214)</f>
        <v>57</v>
      </c>
      <c r="E36" s="58">
        <f t="shared" si="17"/>
        <v>5</v>
      </c>
      <c r="F36" s="59">
        <f t="shared" si="18"/>
        <v>0.91228070175438591</v>
      </c>
      <c r="G36" s="141"/>
      <c r="H36" s="143" t="s">
        <v>26</v>
      </c>
      <c r="I36" s="61">
        <f>SUM(Cards!AK215)</f>
        <v>99</v>
      </c>
      <c r="J36" s="61">
        <f>SUM(Cards!AL215)</f>
        <v>110</v>
      </c>
      <c r="K36" s="62">
        <f t="shared" si="19"/>
        <v>11</v>
      </c>
      <c r="L36" s="63">
        <f t="shared" si="20"/>
        <v>0.9</v>
      </c>
      <c r="M36" s="144"/>
      <c r="N36" s="156"/>
      <c r="O36" s="156"/>
      <c r="P36" s="156"/>
      <c r="Q36" s="156"/>
      <c r="S36" s="1072" t="s">
        <v>114</v>
      </c>
      <c r="T36" s="1030"/>
      <c r="U36" s="1073">
        <f>SUM(U31:V35)</f>
        <v>133560</v>
      </c>
      <c r="V36" s="1030"/>
      <c r="X36" s="1064" t="s">
        <v>108</v>
      </c>
      <c r="Y36" s="1030"/>
      <c r="Z36" s="153">
        <v>0</v>
      </c>
      <c r="AA36" s="153">
        <v>0</v>
      </c>
      <c r="AB36" s="153">
        <v>0</v>
      </c>
      <c r="AC36" s="153">
        <v>0</v>
      </c>
    </row>
    <row r="37" spans="1:30" ht="13.5" customHeight="1">
      <c r="A37" s="34"/>
      <c r="B37" s="157" t="s">
        <v>115</v>
      </c>
      <c r="C37" s="67">
        <f>SUM(Cards!AK233)</f>
        <v>310</v>
      </c>
      <c r="D37" s="67">
        <f>SUM(Cards!AL233)</f>
        <v>363</v>
      </c>
      <c r="E37" s="68">
        <f t="shared" si="17"/>
        <v>53</v>
      </c>
      <c r="F37" s="69">
        <f t="shared" si="18"/>
        <v>0.85399449035812669</v>
      </c>
      <c r="G37" s="34"/>
      <c r="H37" s="158" t="s">
        <v>115</v>
      </c>
      <c r="I37" s="71">
        <f>SUM(Cards!AK234)</f>
        <v>561</v>
      </c>
      <c r="J37" s="71">
        <f>SUM(Cards!AL234)</f>
        <v>650</v>
      </c>
      <c r="K37" s="72">
        <f t="shared" si="19"/>
        <v>89</v>
      </c>
      <c r="L37" s="73">
        <f t="shared" si="20"/>
        <v>0.86307692307692307</v>
      </c>
      <c r="X37" s="1063" t="s">
        <v>109</v>
      </c>
      <c r="Y37" s="1030"/>
      <c r="Z37" s="151">
        <v>0</v>
      </c>
      <c r="AA37" s="151">
        <v>0</v>
      </c>
      <c r="AB37" s="159">
        <v>0</v>
      </c>
      <c r="AC37" s="151">
        <v>0</v>
      </c>
    </row>
    <row r="38" spans="1:30" ht="13.5" customHeight="1">
      <c r="A38" s="34"/>
      <c r="B38" s="160" t="s">
        <v>22</v>
      </c>
      <c r="C38" s="161">
        <f t="shared" ref="C38:D38" si="22">SUM(C28:C37)</f>
        <v>776</v>
      </c>
      <c r="D38" s="161">
        <f t="shared" si="22"/>
        <v>877</v>
      </c>
      <c r="E38" s="162">
        <f t="shared" si="17"/>
        <v>101</v>
      </c>
      <c r="F38" s="163">
        <f t="shared" si="18"/>
        <v>0.88483466362599772</v>
      </c>
      <c r="G38" s="34"/>
      <c r="H38" s="164" t="s">
        <v>22</v>
      </c>
      <c r="I38" s="165">
        <f t="shared" ref="I38:J38" si="23">SUM(I28:I37)</f>
        <v>1437</v>
      </c>
      <c r="J38" s="165">
        <f t="shared" si="23"/>
        <v>1641</v>
      </c>
      <c r="K38" s="166">
        <f t="shared" si="19"/>
        <v>204</v>
      </c>
      <c r="L38" s="167">
        <f t="shared" si="20"/>
        <v>0.8756855575868373</v>
      </c>
      <c r="AD38" s="34"/>
    </row>
    <row r="39" spans="1:30" ht="14.25" customHeight="1">
      <c r="A39" s="34"/>
      <c r="B39" s="34"/>
      <c r="C39" s="34"/>
      <c r="D39" s="34"/>
      <c r="E39" s="34"/>
      <c r="F39" s="34"/>
      <c r="G39" s="34"/>
      <c r="H39" s="34"/>
      <c r="I39" s="34"/>
      <c r="J39" s="34"/>
      <c r="K39" s="34"/>
      <c r="L39" s="34"/>
      <c r="M39" s="34"/>
      <c r="AD39" s="34"/>
    </row>
    <row r="40" spans="1:30" ht="14.25" customHeight="1">
      <c r="A40" s="34"/>
      <c r="B40" s="168"/>
      <c r="C40" s="168"/>
      <c r="D40" s="168"/>
      <c r="E40" s="168"/>
      <c r="F40" s="168"/>
      <c r="G40" s="168"/>
      <c r="H40" s="168"/>
      <c r="I40" s="168"/>
      <c r="J40" s="168"/>
      <c r="K40" s="168"/>
      <c r="L40" s="168"/>
      <c r="M40" s="169"/>
      <c r="Z40" s="168"/>
      <c r="AD40" s="34"/>
    </row>
    <row r="41" spans="1:30" ht="14.25" customHeight="1">
      <c r="A41" s="34"/>
      <c r="B41" s="170"/>
      <c r="C41" s="170"/>
      <c r="D41" s="170"/>
      <c r="E41" s="170"/>
      <c r="F41" s="170"/>
      <c r="G41" s="170"/>
      <c r="H41" s="170"/>
      <c r="I41" s="170"/>
      <c r="J41" s="170"/>
      <c r="K41" s="170"/>
      <c r="L41" s="170"/>
      <c r="M41" s="34"/>
      <c r="Z41" s="171"/>
      <c r="AD41" s="34"/>
    </row>
    <row r="42" spans="1:30" ht="14.25" customHeight="1">
      <c r="A42" s="34"/>
      <c r="B42" s="170"/>
      <c r="C42" s="170"/>
      <c r="D42" s="170"/>
      <c r="E42" s="170"/>
      <c r="F42" s="170"/>
      <c r="G42" s="170"/>
      <c r="H42" s="170"/>
      <c r="I42" s="170"/>
      <c r="J42" s="170"/>
      <c r="K42" s="170"/>
      <c r="L42" s="170"/>
      <c r="M42" s="34"/>
      <c r="Z42" s="171"/>
      <c r="AD42" s="168"/>
    </row>
    <row r="43" spans="1:30" ht="14.25" customHeight="1">
      <c r="A43" s="34"/>
      <c r="B43" s="170"/>
      <c r="C43" s="170"/>
      <c r="D43" s="170"/>
      <c r="E43" s="170"/>
      <c r="F43" s="170"/>
      <c r="G43" s="170"/>
      <c r="H43" s="170"/>
      <c r="I43" s="170"/>
      <c r="J43" s="170"/>
      <c r="K43" s="170"/>
      <c r="L43" s="170"/>
      <c r="M43" s="34"/>
      <c r="Z43" s="171"/>
      <c r="AD43" s="172"/>
    </row>
    <row r="44" spans="1:30" ht="18.75" customHeight="1">
      <c r="A44" s="34"/>
      <c r="B44" s="170"/>
      <c r="C44" s="170"/>
      <c r="D44" s="170"/>
      <c r="E44" s="170"/>
      <c r="F44" s="170"/>
      <c r="G44" s="170"/>
      <c r="H44" s="170"/>
      <c r="I44" s="170"/>
      <c r="J44" s="170"/>
      <c r="K44" s="170"/>
      <c r="L44" s="170"/>
      <c r="M44" s="34"/>
      <c r="N44" s="168"/>
      <c r="O44" s="168"/>
      <c r="P44" s="168"/>
      <c r="Q44" s="168"/>
      <c r="R44" s="168"/>
      <c r="S44" s="168"/>
      <c r="T44" s="168"/>
      <c r="U44" s="168"/>
      <c r="V44" s="168"/>
      <c r="W44" s="168"/>
      <c r="X44" s="168"/>
      <c r="Y44" s="168"/>
      <c r="Z44" s="171"/>
      <c r="AD44" s="172"/>
    </row>
    <row r="45" spans="1:30" ht="18.75" customHeight="1">
      <c r="A45" s="34"/>
      <c r="M45" s="34"/>
      <c r="N45" s="171"/>
      <c r="O45" s="171"/>
      <c r="P45" s="171"/>
      <c r="Q45" s="171"/>
      <c r="R45" s="171"/>
      <c r="S45" s="171"/>
      <c r="T45" s="171"/>
      <c r="U45" s="171"/>
      <c r="V45" s="171"/>
      <c r="W45" s="171"/>
      <c r="X45" s="171"/>
      <c r="Y45" s="171"/>
      <c r="Z45" s="171"/>
      <c r="AD45" s="172"/>
    </row>
    <row r="46" spans="1:30" ht="18.75" customHeight="1">
      <c r="A46" s="34"/>
      <c r="B46" s="34"/>
      <c r="C46" s="34"/>
      <c r="D46" s="34"/>
      <c r="E46" s="34"/>
      <c r="F46" s="34"/>
      <c r="G46" s="34"/>
      <c r="H46" s="34"/>
      <c r="I46" s="34"/>
      <c r="J46" s="34"/>
      <c r="K46" s="34"/>
      <c r="L46" s="34"/>
      <c r="M46" s="34"/>
      <c r="N46" s="171"/>
      <c r="O46" s="171"/>
    </row>
    <row r="47" spans="1:30" ht="18.75" customHeight="1">
      <c r="A47" s="34"/>
      <c r="B47" s="34"/>
      <c r="C47" s="173"/>
      <c r="D47" s="173"/>
      <c r="E47" s="173"/>
      <c r="F47" s="173"/>
      <c r="G47" s="173"/>
      <c r="H47" s="173"/>
      <c r="I47" s="173"/>
      <c r="J47" s="173"/>
      <c r="K47" s="173"/>
      <c r="L47" s="173"/>
      <c r="M47" s="173"/>
      <c r="N47" s="171"/>
      <c r="O47" s="171"/>
    </row>
    <row r="48" spans="1:30" ht="18.75" customHeight="1">
      <c r="A48" s="34"/>
      <c r="N48" s="171"/>
      <c r="O48" s="171"/>
    </row>
    <row r="49" spans="1:15" ht="14.25">
      <c r="A49" s="34"/>
      <c r="N49" s="171"/>
      <c r="O49" s="171"/>
    </row>
    <row r="50" spans="1:15" ht="14.25">
      <c r="A50" s="34"/>
      <c r="N50" s="171"/>
      <c r="O50" s="171"/>
    </row>
  </sheetData>
  <autoFilter ref="A1"/>
  <mergeCells count="113">
    <mergeCell ref="X13:Y13"/>
    <mergeCell ref="AA13:AB13"/>
    <mergeCell ref="AB14:AC14"/>
    <mergeCell ref="Y14:Z14"/>
    <mergeCell ref="T13:U13"/>
    <mergeCell ref="F2:K2"/>
    <mergeCell ref="B2:C2"/>
    <mergeCell ref="V2:AB2"/>
    <mergeCell ref="N2:S2"/>
    <mergeCell ref="H4:L4"/>
    <mergeCell ref="B4:F4"/>
    <mergeCell ref="V15:W15"/>
    <mergeCell ref="U14:W14"/>
    <mergeCell ref="R9:S9"/>
    <mergeCell ref="R10:S10"/>
    <mergeCell ref="R11:S11"/>
    <mergeCell ref="N13:Q13"/>
    <mergeCell ref="R13:S13"/>
    <mergeCell ref="H13:L13"/>
    <mergeCell ref="B13:F13"/>
    <mergeCell ref="V10:W10"/>
    <mergeCell ref="V11:W11"/>
    <mergeCell ref="V8:W8"/>
    <mergeCell ref="V9:W9"/>
    <mergeCell ref="U7:W7"/>
    <mergeCell ref="Y7:Z7"/>
    <mergeCell ref="AB7:AC7"/>
    <mergeCell ref="O9:P9"/>
    <mergeCell ref="O11:P11"/>
    <mergeCell ref="O10:P10"/>
    <mergeCell ref="N6:Q6"/>
    <mergeCell ref="N4:R5"/>
    <mergeCell ref="R6:S6"/>
    <mergeCell ref="T6:U6"/>
    <mergeCell ref="R8:S8"/>
    <mergeCell ref="O8:P8"/>
    <mergeCell ref="O7:P7"/>
    <mergeCell ref="R7:S7"/>
    <mergeCell ref="AA6:AB6"/>
    <mergeCell ref="T4:AC5"/>
    <mergeCell ref="X6:Y6"/>
    <mergeCell ref="O17:P17"/>
    <mergeCell ref="O14:P14"/>
    <mergeCell ref="O16:P16"/>
    <mergeCell ref="R17:S17"/>
    <mergeCell ref="R16:S16"/>
    <mergeCell ref="O24:P24"/>
    <mergeCell ref="O23:P23"/>
    <mergeCell ref="O18:P18"/>
    <mergeCell ref="R18:S18"/>
    <mergeCell ref="R24:S24"/>
    <mergeCell ref="R14:S14"/>
    <mergeCell ref="R15:S15"/>
    <mergeCell ref="O15:P15"/>
    <mergeCell ref="AB22:AC22"/>
    <mergeCell ref="Z22:AA22"/>
    <mergeCell ref="N21:AC21"/>
    <mergeCell ref="N20:AC20"/>
    <mergeCell ref="N22:Q22"/>
    <mergeCell ref="X22:Y22"/>
    <mergeCell ref="X31:Y31"/>
    <mergeCell ref="X32:Y32"/>
    <mergeCell ref="X30:Y30"/>
    <mergeCell ref="X29:AC29"/>
    <mergeCell ref="S29:V30"/>
    <mergeCell ref="N29:Q30"/>
    <mergeCell ref="R25:S25"/>
    <mergeCell ref="O25:P25"/>
    <mergeCell ref="V17:W17"/>
    <mergeCell ref="V18:W18"/>
    <mergeCell ref="V25:W25"/>
    <mergeCell ref="V24:W24"/>
    <mergeCell ref="V16:W16"/>
    <mergeCell ref="U22:W22"/>
    <mergeCell ref="V23:W23"/>
    <mergeCell ref="R22:T22"/>
    <mergeCell ref="R23:S23"/>
    <mergeCell ref="N27:Q27"/>
    <mergeCell ref="R27:U27"/>
    <mergeCell ref="V26:W26"/>
    <mergeCell ref="V27:Y27"/>
    <mergeCell ref="H26:L26"/>
    <mergeCell ref="B26:F26"/>
    <mergeCell ref="Z27:AC27"/>
    <mergeCell ref="R26:S26"/>
    <mergeCell ref="O26:P26"/>
    <mergeCell ref="N32:O32"/>
    <mergeCell ref="N34:O34"/>
    <mergeCell ref="U32:V32"/>
    <mergeCell ref="S32:T32"/>
    <mergeCell ref="P31:Q31"/>
    <mergeCell ref="S31:T31"/>
    <mergeCell ref="U31:V31"/>
    <mergeCell ref="P32:Q32"/>
    <mergeCell ref="N31:O31"/>
    <mergeCell ref="X34:Y34"/>
    <mergeCell ref="X33:Y33"/>
    <mergeCell ref="X37:Y37"/>
    <mergeCell ref="X36:Y36"/>
    <mergeCell ref="P34:Q34"/>
    <mergeCell ref="N35:O35"/>
    <mergeCell ref="P35:Q35"/>
    <mergeCell ref="S33:T33"/>
    <mergeCell ref="U33:V33"/>
    <mergeCell ref="P33:Q33"/>
    <mergeCell ref="S34:T34"/>
    <mergeCell ref="S36:T36"/>
    <mergeCell ref="U35:V35"/>
    <mergeCell ref="X35:Y35"/>
    <mergeCell ref="U36:V36"/>
    <mergeCell ref="S35:T35"/>
    <mergeCell ref="U34:V34"/>
    <mergeCell ref="N33:O33"/>
  </mergeCells>
  <hyperlinks>
    <hyperlink ref="B2" r:id="rId1" location="gid=1086662798" display="https://docs.google.com/spreadsheets/d/1tYuukT1O3qdvbSfpUAbJMJLYkusXclc-Rivd-uMy6g0/edit - gid=1086662798"/>
    <hyperlink ref="F2" r:id="rId2" location="gid=1086662798" display="https://docs.google.com/spreadsheets/d/1YlTLlpn0WUa5YBjwuNEOkag8AZ3KO2A7Su068aGky3A/edit - gid=1086662798"/>
    <hyperlink ref="V2" r:id="rId3" location="gid=1086662798" display="https://docs.google.com/spreadsheets/d/1tYuukT1O3qdvbSfpUAbJMJLYkusXclc-Rivd-uMy6g0/edit - gid=1086662798"/>
  </hyperlinks>
  <pageMargins left="0.7" right="0.7" top="0.75" bottom="0.75" header="0.3" footer="0.3"/>
  <drawing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F"/>
  </sheetPr>
  <dimension ref="A1:BR879"/>
  <sheetViews>
    <sheetView tabSelected="1" workbookViewId="0">
      <pane ySplit="1" topLeftCell="A812" activePane="bottomLeft" state="frozen"/>
      <selection pane="bottomLeft" activeCell="H840" sqref="H840"/>
    </sheetView>
  </sheetViews>
  <sheetFormatPr defaultColWidth="14.42578125" defaultRowHeight="15.75" customHeight="1"/>
  <cols>
    <col min="1" max="1" width="4.5703125" customWidth="1"/>
    <col min="2" max="2" width="6.7109375" customWidth="1"/>
    <col min="3" max="3" width="21.5703125" customWidth="1"/>
    <col min="4" max="4" width="9.5703125" customWidth="1"/>
    <col min="5" max="5" width="10" customWidth="1"/>
    <col min="6" max="6" width="7.85546875" customWidth="1"/>
    <col min="7" max="8" width="7.42578125" customWidth="1"/>
    <col min="9" max="10" width="8.7109375" customWidth="1"/>
    <col min="11" max="11" width="7.7109375" hidden="1" customWidth="1"/>
    <col min="12" max="12" width="9.42578125" hidden="1" customWidth="1"/>
    <col min="13" max="13" width="4.7109375" hidden="1" customWidth="1"/>
    <col min="14" max="14" width="3.5703125" hidden="1" customWidth="1"/>
    <col min="15" max="15" width="64.85546875" hidden="1" customWidth="1"/>
    <col min="16" max="16" width="36" hidden="1" customWidth="1"/>
    <col min="17" max="17" width="38.85546875" hidden="1" customWidth="1"/>
    <col min="18" max="18" width="5.140625" customWidth="1"/>
    <col min="19" max="19" width="7.140625" hidden="1" customWidth="1"/>
    <col min="20" max="20" width="11" hidden="1" customWidth="1"/>
    <col min="21" max="21" width="6.85546875" hidden="1" customWidth="1"/>
    <col min="22" max="22" width="6.28515625" hidden="1" customWidth="1"/>
    <col min="23" max="24" width="10.28515625" hidden="1" customWidth="1"/>
    <col min="25" max="25" width="8.28515625" hidden="1" customWidth="1"/>
    <col min="26" max="26" width="8" hidden="1" customWidth="1"/>
    <col min="27" max="28" width="8.7109375" hidden="1" customWidth="1"/>
    <col min="29" max="30" width="5.7109375" hidden="1" customWidth="1"/>
    <col min="31" max="31" width="7.7109375" hidden="1" customWidth="1"/>
    <col min="32" max="33" width="10.42578125" hidden="1" customWidth="1"/>
    <col min="34" max="34" width="8.42578125" hidden="1" customWidth="1"/>
    <col min="35" max="35" width="5.140625" customWidth="1"/>
    <col min="36" max="36" width="9.85546875" customWidth="1"/>
    <col min="37" max="38" width="5.5703125" customWidth="1"/>
    <col min="39" max="39" width="3.42578125" customWidth="1"/>
    <col min="40" max="40" width="4.42578125" customWidth="1"/>
    <col min="41" max="45" width="3.42578125" customWidth="1"/>
    <col min="46" max="46" width="3.85546875" customWidth="1"/>
    <col min="47" max="48" width="3.42578125" customWidth="1"/>
    <col min="49" max="50" width="3.140625" customWidth="1"/>
    <col min="51" max="52" width="3" customWidth="1"/>
    <col min="53" max="57" width="3.5703125" customWidth="1"/>
    <col min="58" max="70" width="5.140625" customWidth="1"/>
  </cols>
  <sheetData>
    <row r="1" spans="1:70" ht="15.75" customHeight="1">
      <c r="A1" s="174"/>
      <c r="B1" s="175" t="s">
        <v>116</v>
      </c>
      <c r="C1" s="176" t="s">
        <v>117</v>
      </c>
      <c r="D1" s="175" t="s">
        <v>53</v>
      </c>
      <c r="E1" s="175" t="s">
        <v>118</v>
      </c>
      <c r="F1" s="175" t="s">
        <v>100</v>
      </c>
      <c r="G1" s="176" t="s">
        <v>119</v>
      </c>
      <c r="H1" s="175" t="s">
        <v>40</v>
      </c>
      <c r="I1" s="177" t="s">
        <v>120</v>
      </c>
      <c r="J1" s="177" t="s">
        <v>121</v>
      </c>
      <c r="K1" s="175" t="s">
        <v>122</v>
      </c>
      <c r="L1" s="175" t="s">
        <v>123</v>
      </c>
      <c r="M1" s="175" t="s">
        <v>124</v>
      </c>
      <c r="N1" s="175" t="s">
        <v>125</v>
      </c>
      <c r="O1" s="178" t="s">
        <v>126</v>
      </c>
      <c r="P1" s="179" t="s">
        <v>127</v>
      </c>
      <c r="Q1" s="175" t="s">
        <v>128</v>
      </c>
      <c r="R1" s="180"/>
      <c r="S1" s="181" t="s">
        <v>129</v>
      </c>
      <c r="T1" s="181" t="s">
        <v>130</v>
      </c>
      <c r="U1" s="181" t="s">
        <v>131</v>
      </c>
      <c r="V1" s="182" t="s">
        <v>132</v>
      </c>
      <c r="W1" s="183" t="s">
        <v>133</v>
      </c>
      <c r="X1" s="183" t="s">
        <v>134</v>
      </c>
      <c r="Y1" s="183" t="s">
        <v>135</v>
      </c>
      <c r="Z1" s="183" t="s">
        <v>136</v>
      </c>
      <c r="AA1" s="184" t="s">
        <v>137</v>
      </c>
      <c r="AB1" s="184" t="s">
        <v>138</v>
      </c>
      <c r="AC1" s="184" t="s">
        <v>139</v>
      </c>
      <c r="AD1" s="184" t="s">
        <v>140</v>
      </c>
      <c r="AE1" s="184" t="s">
        <v>141</v>
      </c>
      <c r="AF1" s="185" t="s">
        <v>142</v>
      </c>
      <c r="AG1" s="185" t="s">
        <v>143</v>
      </c>
      <c r="AH1" s="185" t="s">
        <v>144</v>
      </c>
      <c r="AI1" s="186"/>
      <c r="AJ1" s="34"/>
      <c r="AK1" s="34"/>
      <c r="AL1" s="34"/>
      <c r="AM1" s="34"/>
      <c r="AN1" s="34"/>
      <c r="AO1" s="34"/>
      <c r="AP1" s="34"/>
      <c r="AQ1" s="34"/>
      <c r="AR1" s="34"/>
      <c r="AS1" s="34"/>
      <c r="AT1" s="34"/>
      <c r="AU1" s="34"/>
      <c r="AV1" s="34"/>
    </row>
    <row r="2" spans="1:70" ht="15.75" customHeight="1">
      <c r="A2" s="187"/>
      <c r="B2" s="188">
        <v>0</v>
      </c>
      <c r="C2" s="189" t="s">
        <v>145</v>
      </c>
      <c r="D2" s="190" t="s">
        <v>58</v>
      </c>
      <c r="E2" s="190" t="s">
        <v>58</v>
      </c>
      <c r="F2" s="190" t="s">
        <v>21</v>
      </c>
      <c r="G2" s="191">
        <f>COUNTIFS(Reference!F:F,C2,Reference!G:G,"&lt;="&amp;VLOOKUP($F2,Setup!$C$9:$D$17,2,0))</f>
        <v>2</v>
      </c>
      <c r="H2" s="191">
        <f>COUNTIFS(Reference!B:B,C2,Reference!C:C,"&lt;="&amp;VLOOKUP("Shaman",Setup!$C$9:$D$17,2,0))</f>
        <v>2</v>
      </c>
      <c r="I2" s="192">
        <v>1</v>
      </c>
      <c r="J2" s="192">
        <v>1</v>
      </c>
      <c r="K2" s="191" t="s">
        <v>146</v>
      </c>
      <c r="L2" s="191"/>
      <c r="M2" s="191"/>
      <c r="N2" s="191"/>
      <c r="O2" s="193" t="s">
        <v>147</v>
      </c>
      <c r="P2" s="194"/>
      <c r="Q2" s="190" t="s">
        <v>148</v>
      </c>
      <c r="R2" s="173"/>
      <c r="S2" s="195">
        <f>MATCH($D2,Reference!$J$5:$J$9,0)</f>
        <v>1</v>
      </c>
      <c r="T2" s="195">
        <f>MATCH($E2,Reference!$J$26:$J$32,0)</f>
        <v>1</v>
      </c>
      <c r="U2" s="195">
        <f>MATCH($F2,Reference!$J$45:$J$54,0)</f>
        <v>7</v>
      </c>
      <c r="V2" s="196">
        <f>MATCH($K2,Reference!$J$37:$J$39,0)</f>
        <v>2</v>
      </c>
      <c r="W2" s="197">
        <f t="shared" ref="W2:W149" si="0">MIN((G2+H2),2)</f>
        <v>2</v>
      </c>
      <c r="X2" s="197">
        <f t="shared" ref="X2:X878" si="1">--(W2&gt;0)</f>
        <v>1</v>
      </c>
      <c r="Y2" s="198">
        <v>0</v>
      </c>
      <c r="Z2" s="197">
        <f t="shared" ref="Z2:Z149" si="2">MIN((G2+H2),2)</f>
        <v>2</v>
      </c>
      <c r="AA2" s="199" t="b">
        <f t="shared" ref="AA2:AA878" si="3">W2=0</f>
        <v>0</v>
      </c>
      <c r="AB2" s="199" t="b">
        <f t="shared" ref="AB2:AB878" si="4">AND($S2&lt;&gt;5,W2&lt;=1)</f>
        <v>0</v>
      </c>
      <c r="AC2" s="200">
        <f t="shared" ref="AC2:AD2" si="5">1-I2</f>
        <v>0</v>
      </c>
      <c r="AD2" s="200">
        <f t="shared" si="5"/>
        <v>0</v>
      </c>
      <c r="AE2" s="199">
        <f t="shared" ref="AE2:AE878" si="6">W2+SUMIF(AA2:AB2,TRUE,AC2:AD2)</f>
        <v>2</v>
      </c>
      <c r="AF2" s="201">
        <f t="shared" ref="AF2:AF149" si="7">MIN((H2),2)</f>
        <v>2</v>
      </c>
      <c r="AG2" s="201">
        <f t="shared" ref="AG2:AG878" si="8">MIN((W2),1)</f>
        <v>1</v>
      </c>
      <c r="AH2" s="202">
        <f t="shared" ref="AH2:AH134" si="9">(MIN(H2,2)+G2-W2)*0</f>
        <v>0</v>
      </c>
      <c r="AI2" s="203"/>
      <c r="AJ2" s="204"/>
    </row>
    <row r="3" spans="1:70" ht="15.75" customHeight="1">
      <c r="A3" s="187"/>
      <c r="B3" s="188">
        <v>0</v>
      </c>
      <c r="C3" s="189" t="s">
        <v>149</v>
      </c>
      <c r="D3" s="190" t="s">
        <v>58</v>
      </c>
      <c r="E3" s="190" t="s">
        <v>58</v>
      </c>
      <c r="F3" s="190" t="s">
        <v>20</v>
      </c>
      <c r="G3" s="191">
        <f>COUNTIFS(Reference!F:F,C3,Reference!G:G,"&lt;="&amp;VLOOKUP($F3,Setup!$C$9:$D$17,2,0))</f>
        <v>2</v>
      </c>
      <c r="H3" s="191">
        <f>COUNTIFS(Reference!B:B,C3,Reference!C:C,"&lt;="&amp;VLOOKUP("Rogue",Setup!$C$9:$D$17,2,0))</f>
        <v>0</v>
      </c>
      <c r="I3" s="192">
        <v>1</v>
      </c>
      <c r="J3" s="192">
        <v>1</v>
      </c>
      <c r="K3" s="191" t="s">
        <v>146</v>
      </c>
      <c r="L3" s="191"/>
      <c r="M3" s="191"/>
      <c r="N3" s="191"/>
      <c r="O3" s="193" t="s">
        <v>150</v>
      </c>
      <c r="P3" s="194"/>
      <c r="Q3" s="190" t="s">
        <v>148</v>
      </c>
      <c r="R3" s="173"/>
      <c r="S3" s="195">
        <f>MATCH($D3,Reference!$J$5:$J$9,0)</f>
        <v>1</v>
      </c>
      <c r="T3" s="195">
        <f>MATCH($E3,Reference!$J$26:$J$32,0)</f>
        <v>1</v>
      </c>
      <c r="U3" s="195">
        <f>MATCH($F3,Reference!$J$45:$J$54,0)</f>
        <v>6</v>
      </c>
      <c r="V3" s="196">
        <f>MATCH($K3,Reference!$J$37:$J$39,0)</f>
        <v>2</v>
      </c>
      <c r="W3" s="197">
        <f t="shared" si="0"/>
        <v>2</v>
      </c>
      <c r="X3" s="197">
        <f t="shared" si="1"/>
        <v>1</v>
      </c>
      <c r="Y3" s="198">
        <v>0</v>
      </c>
      <c r="Z3" s="197">
        <f t="shared" si="2"/>
        <v>2</v>
      </c>
      <c r="AA3" s="199" t="b">
        <f t="shared" si="3"/>
        <v>0</v>
      </c>
      <c r="AB3" s="199" t="b">
        <f t="shared" si="4"/>
        <v>0</v>
      </c>
      <c r="AC3" s="200">
        <f t="shared" ref="AC3:AD3" si="10">1-I3</f>
        <v>0</v>
      </c>
      <c r="AD3" s="200">
        <f t="shared" si="10"/>
        <v>0</v>
      </c>
      <c r="AE3" s="199">
        <f t="shared" si="6"/>
        <v>2</v>
      </c>
      <c r="AF3" s="201">
        <f t="shared" si="7"/>
        <v>0</v>
      </c>
      <c r="AG3" s="201">
        <f t="shared" si="8"/>
        <v>1</v>
      </c>
      <c r="AH3" s="202">
        <f t="shared" si="9"/>
        <v>0</v>
      </c>
      <c r="AI3" s="205"/>
      <c r="AJ3" s="1138" t="s">
        <v>151</v>
      </c>
      <c r="AK3" s="1014"/>
      <c r="AL3" s="1014"/>
      <c r="AM3" s="1014"/>
      <c r="AN3" s="1014"/>
      <c r="AO3" s="1014"/>
      <c r="AP3" s="1014"/>
      <c r="AQ3" s="1014"/>
      <c r="AR3" s="1014"/>
      <c r="AS3" s="1014"/>
      <c r="AT3" s="1014"/>
      <c r="AU3" s="1014"/>
      <c r="AV3" s="1014"/>
      <c r="AW3" s="1014"/>
      <c r="AX3" s="1014"/>
      <c r="AY3" s="1014"/>
      <c r="AZ3" s="1016"/>
    </row>
    <row r="4" spans="1:70" ht="15.75" customHeight="1">
      <c r="A4" s="206"/>
      <c r="B4" s="188">
        <v>0</v>
      </c>
      <c r="C4" s="189" t="s">
        <v>152</v>
      </c>
      <c r="D4" s="190" t="s">
        <v>58</v>
      </c>
      <c r="E4" s="190" t="s">
        <v>58</v>
      </c>
      <c r="F4" s="190" t="s">
        <v>8</v>
      </c>
      <c r="G4" s="191">
        <f>COUNTIFS(Reference!F:F,C4,Reference!G:G,"&lt;="&amp;VLOOKUP($F4,Setup!$C$9:$D$17,2,0))</f>
        <v>2</v>
      </c>
      <c r="H4" s="191">
        <f>COUNTIFS(Reference!B:B,C4,Reference!C:C,"&lt;="&amp;VLOOKUP("Druid",Setup!$C$9:$D$17,2,0))</f>
        <v>0</v>
      </c>
      <c r="I4" s="192">
        <v>1</v>
      </c>
      <c r="J4" s="192">
        <v>1</v>
      </c>
      <c r="K4" s="191" t="s">
        <v>146</v>
      </c>
      <c r="L4" s="191"/>
      <c r="M4" s="191"/>
      <c r="N4" s="191"/>
      <c r="O4" s="193" t="s">
        <v>153</v>
      </c>
      <c r="P4" s="194"/>
      <c r="Q4" s="190" t="s">
        <v>148</v>
      </c>
      <c r="R4" s="207"/>
      <c r="S4" s="195">
        <f>MATCH($D4,Reference!$J$5:$J$9,0)</f>
        <v>1</v>
      </c>
      <c r="T4" s="195">
        <f>MATCH($E4,Reference!$J$26:$J$32,0)</f>
        <v>1</v>
      </c>
      <c r="U4" s="195">
        <f>MATCH($F4,Reference!$J$45:$J$54,0)</f>
        <v>1</v>
      </c>
      <c r="V4" s="196">
        <f>MATCH($K4,Reference!$J$37:$J$39,0)</f>
        <v>2</v>
      </c>
      <c r="W4" s="197">
        <f t="shared" si="0"/>
        <v>2</v>
      </c>
      <c r="X4" s="197">
        <f t="shared" si="1"/>
        <v>1</v>
      </c>
      <c r="Y4" s="198">
        <v>0</v>
      </c>
      <c r="Z4" s="197">
        <f t="shared" si="2"/>
        <v>2</v>
      </c>
      <c r="AA4" s="199" t="b">
        <f t="shared" si="3"/>
        <v>0</v>
      </c>
      <c r="AB4" s="199" t="b">
        <f t="shared" si="4"/>
        <v>0</v>
      </c>
      <c r="AC4" s="200">
        <f t="shared" ref="AC4:AD4" si="11">1-I4</f>
        <v>0</v>
      </c>
      <c r="AD4" s="200">
        <f t="shared" si="11"/>
        <v>0</v>
      </c>
      <c r="AE4" s="199">
        <f t="shared" si="6"/>
        <v>2</v>
      </c>
      <c r="AF4" s="201">
        <f t="shared" si="7"/>
        <v>0</v>
      </c>
      <c r="AG4" s="201">
        <f t="shared" si="8"/>
        <v>1</v>
      </c>
      <c r="AH4" s="202">
        <f t="shared" si="9"/>
        <v>0</v>
      </c>
      <c r="AI4" s="205"/>
      <c r="AJ4" s="1137" t="s">
        <v>154</v>
      </c>
      <c r="AK4" s="1007"/>
      <c r="AL4" s="1007"/>
      <c r="AM4" s="1007"/>
      <c r="AN4" s="1007"/>
      <c r="AO4" s="1007"/>
      <c r="AP4" s="1007"/>
      <c r="AQ4" s="1007"/>
      <c r="AR4" s="1007"/>
      <c r="AS4" s="1007"/>
      <c r="AT4" s="1007"/>
      <c r="AU4" s="1007"/>
      <c r="AV4" s="1007"/>
      <c r="AW4" s="1007"/>
      <c r="AX4" s="1007"/>
      <c r="AY4" s="1007"/>
      <c r="AZ4" s="1038"/>
      <c r="BQ4" s="208"/>
      <c r="BR4" s="208"/>
    </row>
    <row r="5" spans="1:70" ht="15.75" customHeight="1">
      <c r="A5" s="209"/>
      <c r="B5" s="188">
        <v>0</v>
      </c>
      <c r="C5" s="189" t="s">
        <v>155</v>
      </c>
      <c r="D5" s="190" t="s">
        <v>58</v>
      </c>
      <c r="E5" s="190" t="s">
        <v>58</v>
      </c>
      <c r="F5" s="190" t="s">
        <v>8</v>
      </c>
      <c r="G5" s="191">
        <f>COUNTIFS(Reference!F:F,C5,Reference!G:G,"&lt;="&amp;VLOOKUP($F5,Setup!$C$9:$D$17,2,0))</f>
        <v>2</v>
      </c>
      <c r="H5" s="191">
        <f>COUNTIFS(Reference!B:B,C5,Reference!C:C,"&lt;="&amp;VLOOKUP("Druid",Setup!$C$9:$D$17,2,0))</f>
        <v>0</v>
      </c>
      <c r="I5" s="192">
        <v>1</v>
      </c>
      <c r="J5" s="192">
        <v>1</v>
      </c>
      <c r="K5" s="190" t="s">
        <v>146</v>
      </c>
      <c r="L5" s="190"/>
      <c r="M5" s="190"/>
      <c r="N5" s="210"/>
      <c r="O5" s="193" t="s">
        <v>156</v>
      </c>
      <c r="P5" s="194"/>
      <c r="Q5" s="190" t="s">
        <v>148</v>
      </c>
      <c r="R5" s="173"/>
      <c r="S5" s="195">
        <f>MATCH($D5,Reference!$J$5:$J$9,0)</f>
        <v>1</v>
      </c>
      <c r="T5" s="195">
        <f>MATCH($E5,Reference!$J$26:$J$32,0)</f>
        <v>1</v>
      </c>
      <c r="U5" s="195">
        <f>MATCH($F5,Reference!$J$45:$J$54,0)</f>
        <v>1</v>
      </c>
      <c r="V5" s="196">
        <f>MATCH($K5,Reference!$J$37:$J$39,0)</f>
        <v>2</v>
      </c>
      <c r="W5" s="197">
        <f t="shared" si="0"/>
        <v>2</v>
      </c>
      <c r="X5" s="197">
        <f t="shared" si="1"/>
        <v>1</v>
      </c>
      <c r="Y5" s="198">
        <v>0</v>
      </c>
      <c r="Z5" s="197">
        <f t="shared" si="2"/>
        <v>2</v>
      </c>
      <c r="AA5" s="199" t="b">
        <f t="shared" si="3"/>
        <v>0</v>
      </c>
      <c r="AB5" s="199" t="b">
        <f t="shared" si="4"/>
        <v>0</v>
      </c>
      <c r="AC5" s="200">
        <f t="shared" ref="AC5:AD5" si="12">1-I5</f>
        <v>0</v>
      </c>
      <c r="AD5" s="200">
        <f t="shared" si="12"/>
        <v>0</v>
      </c>
      <c r="AE5" s="199">
        <f t="shared" si="6"/>
        <v>2</v>
      </c>
      <c r="AF5" s="201">
        <f t="shared" si="7"/>
        <v>0</v>
      </c>
      <c r="AG5" s="201">
        <f t="shared" si="8"/>
        <v>1</v>
      </c>
      <c r="AH5" s="202">
        <f t="shared" si="9"/>
        <v>0</v>
      </c>
      <c r="AI5" s="205"/>
      <c r="AJ5" s="1137" t="s">
        <v>157</v>
      </c>
      <c r="AK5" s="1007"/>
      <c r="AL5" s="1007"/>
      <c r="AM5" s="1007"/>
      <c r="AN5" s="1007"/>
      <c r="AO5" s="1007"/>
      <c r="AP5" s="1007"/>
      <c r="AQ5" s="1007"/>
      <c r="AR5" s="1007"/>
      <c r="AS5" s="1007"/>
      <c r="AT5" s="1007"/>
      <c r="AU5" s="1007"/>
      <c r="AV5" s="1007"/>
      <c r="AW5" s="1007"/>
      <c r="AX5" s="1007"/>
      <c r="AY5" s="1007"/>
      <c r="AZ5" s="1038"/>
      <c r="BA5" s="208"/>
      <c r="BB5" s="208"/>
      <c r="BC5" s="208"/>
      <c r="BD5" s="208"/>
      <c r="BE5" s="208"/>
      <c r="BF5" s="208"/>
      <c r="BG5" s="208"/>
      <c r="BH5" s="208"/>
      <c r="BI5" s="208"/>
      <c r="BJ5" s="208"/>
      <c r="BK5" s="208"/>
      <c r="BL5" s="208"/>
      <c r="BM5" s="208"/>
      <c r="BN5" s="208"/>
      <c r="BO5" s="208"/>
      <c r="BP5" s="208"/>
      <c r="BQ5" s="34"/>
      <c r="BR5" s="34"/>
    </row>
    <row r="6" spans="1:70" ht="15.75" customHeight="1">
      <c r="A6" s="209"/>
      <c r="B6" s="188">
        <v>0</v>
      </c>
      <c r="C6" s="189" t="s">
        <v>158</v>
      </c>
      <c r="D6" s="190" t="s">
        <v>58</v>
      </c>
      <c r="E6" s="190" t="s">
        <v>58</v>
      </c>
      <c r="F6" s="190" t="s">
        <v>25</v>
      </c>
      <c r="G6" s="191">
        <f>COUNTIFS(Reference!F:F,C6,Reference!G:G,"&lt;="&amp;VLOOKUP($F6,Setup!$C$9:$D$17,2,0))</f>
        <v>2</v>
      </c>
      <c r="H6" s="191">
        <f>COUNTIFS(Reference!B:B,C6,Reference!C:C,"&lt;="&amp;VLOOKUP("Warlock",Setup!$C$9:$D$17,2,0))</f>
        <v>2</v>
      </c>
      <c r="I6" s="192">
        <v>1</v>
      </c>
      <c r="J6" s="192">
        <v>1</v>
      </c>
      <c r="K6" s="191" t="s">
        <v>146</v>
      </c>
      <c r="L6" s="191"/>
      <c r="M6" s="191"/>
      <c r="N6" s="191"/>
      <c r="O6" s="193" t="s">
        <v>159</v>
      </c>
      <c r="P6" s="194"/>
      <c r="Q6" s="190" t="s">
        <v>148</v>
      </c>
      <c r="R6" s="173"/>
      <c r="S6" s="195">
        <f>MATCH($D6,Reference!$J$5:$J$9,0)</f>
        <v>1</v>
      </c>
      <c r="T6" s="195">
        <f>MATCH($E6,Reference!$J$26:$J$32,0)</f>
        <v>1</v>
      </c>
      <c r="U6" s="195">
        <f>MATCH($F6,Reference!$J$45:$J$54,0)</f>
        <v>8</v>
      </c>
      <c r="V6" s="196">
        <f>MATCH($K6,Reference!$J$37:$J$39,0)</f>
        <v>2</v>
      </c>
      <c r="W6" s="197">
        <f t="shared" si="0"/>
        <v>2</v>
      </c>
      <c r="X6" s="197">
        <f t="shared" si="1"/>
        <v>1</v>
      </c>
      <c r="Y6" s="198">
        <v>0</v>
      </c>
      <c r="Z6" s="197">
        <f t="shared" si="2"/>
        <v>2</v>
      </c>
      <c r="AA6" s="199" t="b">
        <f t="shared" si="3"/>
        <v>0</v>
      </c>
      <c r="AB6" s="199" t="b">
        <f t="shared" si="4"/>
        <v>0</v>
      </c>
      <c r="AC6" s="200">
        <f t="shared" ref="AC6:AD6" si="13">1-I6</f>
        <v>0</v>
      </c>
      <c r="AD6" s="200">
        <f t="shared" si="13"/>
        <v>0</v>
      </c>
      <c r="AE6" s="199">
        <f t="shared" si="6"/>
        <v>2</v>
      </c>
      <c r="AF6" s="201">
        <f t="shared" si="7"/>
        <v>2</v>
      </c>
      <c r="AG6" s="201">
        <f t="shared" si="8"/>
        <v>1</v>
      </c>
      <c r="AH6" s="202">
        <f t="shared" si="9"/>
        <v>0</v>
      </c>
      <c r="AI6" s="205"/>
      <c r="AJ6" s="1137" t="s">
        <v>160</v>
      </c>
      <c r="AK6" s="1007"/>
      <c r="AL6" s="1007"/>
      <c r="AM6" s="1007"/>
      <c r="AN6" s="1007"/>
      <c r="AO6" s="1007"/>
      <c r="AP6" s="1007"/>
      <c r="AQ6" s="1007"/>
      <c r="AR6" s="1007"/>
      <c r="AS6" s="1007"/>
      <c r="AT6" s="1007"/>
      <c r="AU6" s="1007"/>
      <c r="AV6" s="1007"/>
      <c r="AW6" s="1007"/>
      <c r="AX6" s="1007"/>
      <c r="AY6" s="1007"/>
      <c r="AZ6" s="1038"/>
      <c r="BA6" s="34"/>
      <c r="BB6" s="34"/>
      <c r="BC6" s="34"/>
      <c r="BD6" s="34"/>
      <c r="BE6" s="34"/>
      <c r="BF6" s="34"/>
      <c r="BG6" s="34"/>
      <c r="BH6" s="34"/>
      <c r="BI6" s="34"/>
      <c r="BJ6" s="34"/>
      <c r="BK6" s="34"/>
      <c r="BL6" s="34"/>
      <c r="BM6" s="34"/>
      <c r="BN6" s="34"/>
      <c r="BO6" s="34"/>
      <c r="BP6" s="34"/>
      <c r="BQ6" s="34"/>
      <c r="BR6" s="34"/>
    </row>
    <row r="7" spans="1:70" ht="15.75" customHeight="1">
      <c r="A7" s="211"/>
      <c r="B7" s="188">
        <v>0</v>
      </c>
      <c r="C7" s="189" t="s">
        <v>161</v>
      </c>
      <c r="D7" s="190" t="s">
        <v>58</v>
      </c>
      <c r="E7" s="190" t="s">
        <v>58</v>
      </c>
      <c r="F7" s="190" t="s">
        <v>21</v>
      </c>
      <c r="G7" s="191">
        <f>COUNTIFS(Reference!F:F,C7,Reference!G:G,"&lt;="&amp;VLOOKUP($F7,Setup!$C$9:$D$17,2,0))</f>
        <v>2</v>
      </c>
      <c r="H7" s="191">
        <f>COUNTIFS(Reference!B:B,C7,Reference!C:C,"&lt;="&amp;VLOOKUP("Shaman",Setup!$C$9:$D$17,2,0))</f>
        <v>0</v>
      </c>
      <c r="I7" s="192">
        <v>1</v>
      </c>
      <c r="J7" s="192">
        <v>1</v>
      </c>
      <c r="K7" s="191" t="s">
        <v>146</v>
      </c>
      <c r="L7" s="191"/>
      <c r="M7" s="191"/>
      <c r="N7" s="191"/>
      <c r="O7" s="193" t="s">
        <v>162</v>
      </c>
      <c r="P7" s="194"/>
      <c r="Q7" s="190" t="s">
        <v>148</v>
      </c>
      <c r="R7" s="173"/>
      <c r="S7" s="195">
        <f>MATCH($D7,Reference!$J$5:$J$9,0)</f>
        <v>1</v>
      </c>
      <c r="T7" s="195">
        <f>MATCH($E7,Reference!$J$26:$J$32,0)</f>
        <v>1</v>
      </c>
      <c r="U7" s="195">
        <f>MATCH($F7,Reference!$J$45:$J$54,0)</f>
        <v>7</v>
      </c>
      <c r="V7" s="196">
        <f>MATCH($K7,Reference!$J$37:$J$39,0)</f>
        <v>2</v>
      </c>
      <c r="W7" s="197">
        <f t="shared" si="0"/>
        <v>2</v>
      </c>
      <c r="X7" s="197">
        <f t="shared" si="1"/>
        <v>1</v>
      </c>
      <c r="Y7" s="198">
        <v>0</v>
      </c>
      <c r="Z7" s="197">
        <f t="shared" si="2"/>
        <v>2</v>
      </c>
      <c r="AA7" s="199" t="b">
        <f t="shared" si="3"/>
        <v>0</v>
      </c>
      <c r="AB7" s="199" t="b">
        <f t="shared" si="4"/>
        <v>0</v>
      </c>
      <c r="AC7" s="200">
        <f t="shared" ref="AC7:AD7" si="14">1-I7</f>
        <v>0</v>
      </c>
      <c r="AD7" s="200">
        <f t="shared" si="14"/>
        <v>0</v>
      </c>
      <c r="AE7" s="199">
        <f t="shared" si="6"/>
        <v>2</v>
      </c>
      <c r="AF7" s="201">
        <f t="shared" si="7"/>
        <v>0</v>
      </c>
      <c r="AG7" s="201">
        <f t="shared" si="8"/>
        <v>1</v>
      </c>
      <c r="AH7" s="202">
        <f t="shared" si="9"/>
        <v>0</v>
      </c>
      <c r="AI7" s="205"/>
      <c r="AJ7" s="1148" t="s">
        <v>163</v>
      </c>
      <c r="AK7" s="1007"/>
      <c r="AL7" s="1007"/>
      <c r="AM7" s="1007"/>
      <c r="AN7" s="1007"/>
      <c r="AO7" s="1007"/>
      <c r="AP7" s="1007"/>
      <c r="AQ7" s="1007"/>
      <c r="AR7" s="1007"/>
      <c r="AS7" s="1007"/>
      <c r="AT7" s="1007"/>
      <c r="AU7" s="1007"/>
      <c r="AV7" s="1007"/>
      <c r="AW7" s="1007"/>
      <c r="AX7" s="1007"/>
      <c r="AY7" s="1007"/>
      <c r="AZ7" s="1038"/>
      <c r="BA7" s="34"/>
      <c r="BB7" s="34"/>
      <c r="BC7" s="34"/>
      <c r="BD7" s="34"/>
      <c r="BE7" s="34"/>
      <c r="BF7" s="34"/>
      <c r="BG7" s="34"/>
      <c r="BH7" s="34"/>
      <c r="BI7" s="34"/>
      <c r="BJ7" s="34"/>
      <c r="BK7" s="34"/>
      <c r="BL7" s="34"/>
      <c r="BM7" s="34"/>
      <c r="BN7" s="34"/>
      <c r="BO7" s="34"/>
      <c r="BP7" s="34"/>
      <c r="BQ7" s="212"/>
      <c r="BR7" s="212"/>
    </row>
    <row r="8" spans="1:70" ht="15.75" customHeight="1">
      <c r="A8" s="209"/>
      <c r="B8" s="188">
        <v>1</v>
      </c>
      <c r="C8" s="189" t="s">
        <v>164</v>
      </c>
      <c r="D8" s="190" t="s">
        <v>58</v>
      </c>
      <c r="E8" s="190" t="s">
        <v>58</v>
      </c>
      <c r="F8" s="190" t="s">
        <v>13</v>
      </c>
      <c r="G8" s="191">
        <f>COUNTIFS(Reference!F:F,C8,Reference!G:G,"&lt;="&amp;VLOOKUP($F8,Setup!$C$9:$D$17,2,0))</f>
        <v>2</v>
      </c>
      <c r="H8" s="191">
        <f>COUNTIFS(Reference!B:B,C8,Reference!C:C,"&lt;="&amp;VLOOKUP("Mage",Setup!$C$9:$D$17,2,0))</f>
        <v>2</v>
      </c>
      <c r="I8" s="192">
        <v>1</v>
      </c>
      <c r="J8" s="192">
        <v>1</v>
      </c>
      <c r="K8" s="191" t="s">
        <v>146</v>
      </c>
      <c r="L8" s="191"/>
      <c r="M8" s="191"/>
      <c r="N8" s="191"/>
      <c r="O8" s="193" t="s">
        <v>165</v>
      </c>
      <c r="P8" s="194"/>
      <c r="Q8" s="190" t="s">
        <v>148</v>
      </c>
      <c r="R8" s="173"/>
      <c r="S8" s="195">
        <f>MATCH($D8,Reference!$J$5:$J$9,0)</f>
        <v>1</v>
      </c>
      <c r="T8" s="195">
        <f>MATCH($E8,Reference!$J$26:$J$32,0)</f>
        <v>1</v>
      </c>
      <c r="U8" s="195">
        <f>MATCH($F8,Reference!$J$45:$J$54,0)</f>
        <v>3</v>
      </c>
      <c r="V8" s="196">
        <f>MATCH($K8,Reference!$J$37:$J$39,0)</f>
        <v>2</v>
      </c>
      <c r="W8" s="197">
        <f t="shared" si="0"/>
        <v>2</v>
      </c>
      <c r="X8" s="197">
        <f t="shared" si="1"/>
        <v>1</v>
      </c>
      <c r="Y8" s="198">
        <v>0</v>
      </c>
      <c r="Z8" s="197">
        <f t="shared" si="2"/>
        <v>2</v>
      </c>
      <c r="AA8" s="199" t="b">
        <f t="shared" si="3"/>
        <v>0</v>
      </c>
      <c r="AB8" s="199" t="b">
        <f t="shared" si="4"/>
        <v>0</v>
      </c>
      <c r="AC8" s="200">
        <f t="shared" ref="AC8:AD8" si="15">1-I8</f>
        <v>0</v>
      </c>
      <c r="AD8" s="200">
        <f t="shared" si="15"/>
        <v>0</v>
      </c>
      <c r="AE8" s="199">
        <f t="shared" si="6"/>
        <v>2</v>
      </c>
      <c r="AF8" s="201">
        <f t="shared" si="7"/>
        <v>2</v>
      </c>
      <c r="AG8" s="201">
        <f t="shared" si="8"/>
        <v>1</v>
      </c>
      <c r="AH8" s="202">
        <f t="shared" si="9"/>
        <v>0</v>
      </c>
      <c r="AI8" s="205"/>
      <c r="AJ8" s="1137" t="s">
        <v>166</v>
      </c>
      <c r="AK8" s="1007"/>
      <c r="AL8" s="1007"/>
      <c r="AM8" s="1007"/>
      <c r="AN8" s="1007"/>
      <c r="AO8" s="1007"/>
      <c r="AP8" s="1007"/>
      <c r="AQ8" s="1007"/>
      <c r="AR8" s="1007"/>
      <c r="AS8" s="1007"/>
      <c r="AT8" s="1007"/>
      <c r="AU8" s="1007"/>
      <c r="AV8" s="1007"/>
      <c r="AW8" s="1007"/>
      <c r="AX8" s="1007"/>
      <c r="AY8" s="1007"/>
      <c r="AZ8" s="1038"/>
      <c r="BA8" s="212"/>
      <c r="BB8" s="212"/>
      <c r="BC8" s="212"/>
      <c r="BD8" s="212"/>
      <c r="BE8" s="212"/>
      <c r="BF8" s="212"/>
      <c r="BG8" s="212"/>
      <c r="BH8" s="212"/>
      <c r="BI8" s="212"/>
      <c r="BJ8" s="212"/>
      <c r="BK8" s="212"/>
      <c r="BL8" s="212"/>
      <c r="BM8" s="212"/>
      <c r="BN8" s="212"/>
      <c r="BO8" s="212"/>
      <c r="BP8" s="212"/>
      <c r="BQ8" s="212"/>
      <c r="BR8" s="212"/>
    </row>
    <row r="9" spans="1:70" ht="15.75" customHeight="1">
      <c r="A9" s="213"/>
      <c r="B9" s="188">
        <v>1</v>
      </c>
      <c r="C9" s="189" t="s">
        <v>167</v>
      </c>
      <c r="D9" s="190" t="s">
        <v>58</v>
      </c>
      <c r="E9" s="190" t="s">
        <v>58</v>
      </c>
      <c r="F9" s="190" t="s">
        <v>11</v>
      </c>
      <c r="G9" s="191">
        <f>COUNTIFS(Reference!F:F,C9,Reference!G:G,"&lt;="&amp;VLOOKUP($F9,Setup!$C$9:$D$17,2,0))</f>
        <v>2</v>
      </c>
      <c r="H9" s="191">
        <f>COUNTIFS(Reference!B:B,C9,Reference!C:C,"&lt;="&amp;VLOOKUP("Hunter",Setup!$C$9:$D$17,2,0))</f>
        <v>0</v>
      </c>
      <c r="I9" s="192">
        <v>1</v>
      </c>
      <c r="J9" s="192">
        <v>1</v>
      </c>
      <c r="K9" s="191" t="s">
        <v>146</v>
      </c>
      <c r="L9" s="191"/>
      <c r="M9" s="191"/>
      <c r="N9" s="191"/>
      <c r="O9" s="193" t="s">
        <v>168</v>
      </c>
      <c r="P9" s="194"/>
      <c r="Q9" s="190" t="s">
        <v>148</v>
      </c>
      <c r="R9" s="173"/>
      <c r="S9" s="195">
        <f>MATCH($D9,Reference!$J$5:$J$9,0)</f>
        <v>1</v>
      </c>
      <c r="T9" s="195">
        <f>MATCH($E9,Reference!$J$26:$J$32,0)</f>
        <v>1</v>
      </c>
      <c r="U9" s="195">
        <f>MATCH($F9,Reference!$J$45:$J$54,0)</f>
        <v>2</v>
      </c>
      <c r="V9" s="196">
        <f>MATCH($K9,Reference!$J$37:$J$39,0)</f>
        <v>2</v>
      </c>
      <c r="W9" s="197">
        <f t="shared" si="0"/>
        <v>2</v>
      </c>
      <c r="X9" s="197">
        <f t="shared" si="1"/>
        <v>1</v>
      </c>
      <c r="Y9" s="198">
        <v>0</v>
      </c>
      <c r="Z9" s="197">
        <f t="shared" si="2"/>
        <v>2</v>
      </c>
      <c r="AA9" s="199" t="b">
        <f t="shared" si="3"/>
        <v>0</v>
      </c>
      <c r="AB9" s="199" t="b">
        <f t="shared" si="4"/>
        <v>0</v>
      </c>
      <c r="AC9" s="200">
        <f t="shared" ref="AC9:AD9" si="16">1-I9</f>
        <v>0</v>
      </c>
      <c r="AD9" s="200">
        <f t="shared" si="16"/>
        <v>0</v>
      </c>
      <c r="AE9" s="199">
        <f t="shared" si="6"/>
        <v>2</v>
      </c>
      <c r="AF9" s="201">
        <f t="shared" si="7"/>
        <v>0</v>
      </c>
      <c r="AG9" s="201">
        <f t="shared" si="8"/>
        <v>1</v>
      </c>
      <c r="AH9" s="202">
        <f t="shared" si="9"/>
        <v>0</v>
      </c>
      <c r="AI9" s="205"/>
      <c r="AJ9" s="1146" t="s">
        <v>169</v>
      </c>
      <c r="AK9" s="1034"/>
      <c r="AL9" s="1034"/>
      <c r="AM9" s="1034"/>
      <c r="AN9" s="1034"/>
      <c r="AO9" s="1034"/>
      <c r="AP9" s="1034"/>
      <c r="AQ9" s="1034"/>
      <c r="AR9" s="1034"/>
      <c r="AS9" s="1034"/>
      <c r="AT9" s="1034"/>
      <c r="AU9" s="1034"/>
      <c r="AV9" s="1034"/>
      <c r="AW9" s="1034"/>
      <c r="AX9" s="1034"/>
      <c r="AY9" s="1034"/>
      <c r="AZ9" s="1018"/>
      <c r="BA9" s="212"/>
      <c r="BB9" s="212"/>
      <c r="BC9" s="212"/>
      <c r="BD9" s="212"/>
      <c r="BE9" s="212"/>
      <c r="BF9" s="212"/>
      <c r="BG9" s="212"/>
      <c r="BH9" s="212"/>
      <c r="BI9" s="212"/>
      <c r="BJ9" s="212"/>
      <c r="BK9" s="212"/>
      <c r="BL9" s="212"/>
      <c r="BM9" s="212"/>
      <c r="BN9" s="212"/>
      <c r="BO9" s="212"/>
      <c r="BP9" s="212"/>
      <c r="BQ9" s="212"/>
      <c r="BR9" s="212"/>
    </row>
    <row r="10" spans="1:70" ht="15.75" customHeight="1">
      <c r="A10" s="187"/>
      <c r="B10" s="188">
        <v>1</v>
      </c>
      <c r="C10" s="189" t="s">
        <v>170</v>
      </c>
      <c r="D10" s="190" t="s">
        <v>58</v>
      </c>
      <c r="E10" s="190" t="s">
        <v>58</v>
      </c>
      <c r="F10" s="190" t="s">
        <v>16</v>
      </c>
      <c r="G10" s="191">
        <f>COUNTIFS(Reference!F:F,C10,Reference!G:G,"&lt;="&amp;VLOOKUP($F10,Setup!$C$9:$D$17,2,0))</f>
        <v>2</v>
      </c>
      <c r="H10" s="191">
        <f>COUNTIFS(Reference!B:B,C10,Reference!C:C,"&lt;="&amp;VLOOKUP("Paladin",Setup!$C$9:$D$17,2,0))</f>
        <v>0</v>
      </c>
      <c r="I10" s="192">
        <v>1</v>
      </c>
      <c r="J10" s="192">
        <v>1</v>
      </c>
      <c r="K10" s="191" t="s">
        <v>146</v>
      </c>
      <c r="L10" s="191"/>
      <c r="M10" s="191"/>
      <c r="N10" s="191"/>
      <c r="O10" s="193" t="s">
        <v>171</v>
      </c>
      <c r="P10" s="194"/>
      <c r="Q10" s="190" t="s">
        <v>148</v>
      </c>
      <c r="R10" s="173"/>
      <c r="S10" s="195">
        <f>MATCH($D10,Reference!$J$5:$J$9,0)</f>
        <v>1</v>
      </c>
      <c r="T10" s="195">
        <f>MATCH($E10,Reference!$J$26:$J$32,0)</f>
        <v>1</v>
      </c>
      <c r="U10" s="195">
        <f>MATCH($F10,Reference!$J$45:$J$54,0)</f>
        <v>4</v>
      </c>
      <c r="V10" s="196">
        <f>MATCH($K10,Reference!$J$37:$J$39,0)</f>
        <v>2</v>
      </c>
      <c r="W10" s="197">
        <f t="shared" si="0"/>
        <v>2</v>
      </c>
      <c r="X10" s="197">
        <f t="shared" si="1"/>
        <v>1</v>
      </c>
      <c r="Y10" s="198">
        <v>0</v>
      </c>
      <c r="Z10" s="197">
        <f t="shared" si="2"/>
        <v>2</v>
      </c>
      <c r="AA10" s="199" t="b">
        <f t="shared" si="3"/>
        <v>0</v>
      </c>
      <c r="AB10" s="199" t="b">
        <f t="shared" si="4"/>
        <v>0</v>
      </c>
      <c r="AC10" s="200">
        <f t="shared" ref="AC10:AD10" si="17">1-I10</f>
        <v>0</v>
      </c>
      <c r="AD10" s="200">
        <f t="shared" si="17"/>
        <v>0</v>
      </c>
      <c r="AE10" s="199">
        <f t="shared" si="6"/>
        <v>2</v>
      </c>
      <c r="AF10" s="201">
        <f t="shared" si="7"/>
        <v>0</v>
      </c>
      <c r="AG10" s="201">
        <f t="shared" si="8"/>
        <v>1</v>
      </c>
      <c r="AH10" s="202">
        <f t="shared" si="9"/>
        <v>0</v>
      </c>
      <c r="AI10" s="205"/>
      <c r="AJ10" s="1007"/>
      <c r="AK10" s="1007"/>
      <c r="AL10" s="1007"/>
      <c r="AM10" s="1007"/>
      <c r="AN10" s="1007"/>
      <c r="AO10" s="1007"/>
      <c r="AP10" s="1007"/>
      <c r="AQ10" s="1007"/>
      <c r="AR10" s="1007"/>
      <c r="AS10" s="1007"/>
      <c r="AT10" s="1007"/>
      <c r="AU10" s="1007"/>
      <c r="AV10" s="1007"/>
      <c r="AW10" s="1007"/>
      <c r="AX10" s="1007"/>
      <c r="AY10" s="1007"/>
      <c r="AZ10" s="1007"/>
      <c r="BQ10" s="212"/>
      <c r="BR10" s="212"/>
    </row>
    <row r="11" spans="1:70" ht="15.75" customHeight="1">
      <c r="A11" s="209"/>
      <c r="B11" s="188">
        <v>1</v>
      </c>
      <c r="C11" s="189" t="s">
        <v>172</v>
      </c>
      <c r="D11" s="190" t="s">
        <v>58</v>
      </c>
      <c r="E11" s="190" t="s">
        <v>58</v>
      </c>
      <c r="F11" s="190" t="s">
        <v>8</v>
      </c>
      <c r="G11" s="191">
        <f>COUNTIFS(Reference!F:F,C11,Reference!G:G,"&lt;="&amp;VLOOKUP($F11,Setup!$C$9:$D$17,2,0))</f>
        <v>2</v>
      </c>
      <c r="H11" s="191">
        <f>COUNTIFS(Reference!B:B,C11,Reference!C:C,"&lt;="&amp;VLOOKUP("Druid",Setup!$C$9:$D$17,2,0))</f>
        <v>0</v>
      </c>
      <c r="I11" s="192">
        <v>1</v>
      </c>
      <c r="J11" s="192">
        <v>1</v>
      </c>
      <c r="K11" s="191" t="s">
        <v>146</v>
      </c>
      <c r="L11" s="191"/>
      <c r="M11" s="191"/>
      <c r="N11" s="191"/>
      <c r="O11" s="193" t="s">
        <v>173</v>
      </c>
      <c r="P11" s="194"/>
      <c r="Q11" s="190" t="s">
        <v>148</v>
      </c>
      <c r="R11" s="173"/>
      <c r="S11" s="195">
        <f>MATCH($D11,Reference!$J$5:$J$9,0)</f>
        <v>1</v>
      </c>
      <c r="T11" s="195">
        <f>MATCH($E11,Reference!$J$26:$J$32,0)</f>
        <v>1</v>
      </c>
      <c r="U11" s="195">
        <f>MATCH($F11,Reference!$J$45:$J$54,0)</f>
        <v>1</v>
      </c>
      <c r="V11" s="196">
        <f>MATCH($K11,Reference!$J$37:$J$39,0)</f>
        <v>2</v>
      </c>
      <c r="W11" s="197">
        <f t="shared" si="0"/>
        <v>2</v>
      </c>
      <c r="X11" s="197">
        <f t="shared" si="1"/>
        <v>1</v>
      </c>
      <c r="Y11" s="198">
        <v>0</v>
      </c>
      <c r="Z11" s="197">
        <f t="shared" si="2"/>
        <v>2</v>
      </c>
      <c r="AA11" s="199" t="b">
        <f t="shared" si="3"/>
        <v>0</v>
      </c>
      <c r="AB11" s="199" t="b">
        <f t="shared" si="4"/>
        <v>0</v>
      </c>
      <c r="AC11" s="200">
        <f t="shared" ref="AC11:AD11" si="18">1-I11</f>
        <v>0</v>
      </c>
      <c r="AD11" s="200">
        <f t="shared" si="18"/>
        <v>0</v>
      </c>
      <c r="AE11" s="199">
        <f t="shared" si="6"/>
        <v>2</v>
      </c>
      <c r="AF11" s="201">
        <f t="shared" si="7"/>
        <v>0</v>
      </c>
      <c r="AG11" s="201">
        <f t="shared" si="8"/>
        <v>1</v>
      </c>
      <c r="AH11" s="202">
        <f t="shared" si="9"/>
        <v>0</v>
      </c>
      <c r="AI11" s="205"/>
      <c r="AJ11" s="1145" t="s">
        <v>174</v>
      </c>
      <c r="AK11" s="1102"/>
      <c r="AL11" s="1102"/>
      <c r="AM11" s="1102"/>
      <c r="AN11" s="1102"/>
      <c r="AO11" s="1102"/>
      <c r="AP11" s="1102"/>
      <c r="AQ11" s="1102"/>
      <c r="AR11" s="1102"/>
      <c r="AS11" s="1102"/>
      <c r="AT11" s="1102"/>
      <c r="AU11" s="1102"/>
      <c r="AV11" s="1102"/>
      <c r="AW11" s="1102"/>
      <c r="AX11" s="1102"/>
      <c r="AY11" s="1102"/>
      <c r="AZ11" s="1030"/>
      <c r="BA11" s="212"/>
      <c r="BB11" s="212"/>
      <c r="BC11" s="212"/>
      <c r="BD11" s="212"/>
      <c r="BE11" s="212"/>
      <c r="BF11" s="212"/>
      <c r="BG11" s="212"/>
      <c r="BH11" s="212"/>
      <c r="BI11" s="212"/>
      <c r="BJ11" s="212"/>
      <c r="BK11" s="212"/>
      <c r="BL11" s="212"/>
      <c r="BM11" s="212"/>
      <c r="BN11" s="212"/>
      <c r="BO11" s="212"/>
      <c r="BP11" s="212"/>
      <c r="BQ11" s="34"/>
      <c r="BR11" s="34"/>
    </row>
    <row r="12" spans="1:70" ht="15.75" customHeight="1">
      <c r="A12" s="187"/>
      <c r="B12" s="188">
        <v>1</v>
      </c>
      <c r="C12" s="189" t="s">
        <v>175</v>
      </c>
      <c r="D12" s="190" t="s">
        <v>58</v>
      </c>
      <c r="E12" s="190" t="s">
        <v>58</v>
      </c>
      <c r="F12" s="190" t="s">
        <v>25</v>
      </c>
      <c r="G12" s="191">
        <f>COUNTIFS(Reference!F:F,C12,Reference!G:G,"&lt;="&amp;VLOOKUP($F12,Setup!$C$9:$D$17,2,0))</f>
        <v>2</v>
      </c>
      <c r="H12" s="191">
        <f>COUNTIFS(Reference!B:B,C12,Reference!C:C,"&lt;="&amp;VLOOKUP("Warlock",Setup!$C$9:$D$17,2,0))</f>
        <v>0</v>
      </c>
      <c r="I12" s="192">
        <v>1</v>
      </c>
      <c r="J12" s="192">
        <v>1</v>
      </c>
      <c r="K12" s="191" t="s">
        <v>146</v>
      </c>
      <c r="L12" s="191"/>
      <c r="M12" s="191"/>
      <c r="N12" s="191"/>
      <c r="O12" s="193" t="s">
        <v>176</v>
      </c>
      <c r="P12" s="194"/>
      <c r="Q12" s="190" t="s">
        <v>148</v>
      </c>
      <c r="R12" s="173"/>
      <c r="S12" s="195">
        <f>MATCH($D12,Reference!$J$5:$J$9,0)</f>
        <v>1</v>
      </c>
      <c r="T12" s="195">
        <f>MATCH($E12,Reference!$J$26:$J$32,0)</f>
        <v>1</v>
      </c>
      <c r="U12" s="195">
        <f>MATCH($F12,Reference!$J$45:$J$54,0)</f>
        <v>8</v>
      </c>
      <c r="V12" s="196">
        <f>MATCH($K12,Reference!$J$37:$J$39,0)</f>
        <v>2</v>
      </c>
      <c r="W12" s="197">
        <f t="shared" si="0"/>
        <v>2</v>
      </c>
      <c r="X12" s="197">
        <f t="shared" si="1"/>
        <v>1</v>
      </c>
      <c r="Y12" s="198">
        <v>0</v>
      </c>
      <c r="Z12" s="197">
        <f t="shared" si="2"/>
        <v>2</v>
      </c>
      <c r="AA12" s="199" t="b">
        <f t="shared" si="3"/>
        <v>0</v>
      </c>
      <c r="AB12" s="199" t="b">
        <f t="shared" si="4"/>
        <v>0</v>
      </c>
      <c r="AC12" s="200">
        <f t="shared" ref="AC12:AD12" si="19">1-I12</f>
        <v>0</v>
      </c>
      <c r="AD12" s="200">
        <f t="shared" si="19"/>
        <v>0</v>
      </c>
      <c r="AE12" s="199">
        <f t="shared" si="6"/>
        <v>2</v>
      </c>
      <c r="AF12" s="201">
        <f t="shared" si="7"/>
        <v>0</v>
      </c>
      <c r="AG12" s="201">
        <f t="shared" si="8"/>
        <v>1</v>
      </c>
      <c r="AH12" s="202">
        <f t="shared" si="9"/>
        <v>0</v>
      </c>
      <c r="AI12" s="205"/>
      <c r="AJ12" s="1147" t="s">
        <v>177</v>
      </c>
      <c r="AK12" s="1102"/>
      <c r="AL12" s="1102"/>
      <c r="AM12" s="1102"/>
      <c r="AN12" s="1102"/>
      <c r="AO12" s="1102"/>
      <c r="AP12" s="1102"/>
      <c r="AQ12" s="1102"/>
      <c r="AR12" s="1102"/>
      <c r="AS12" s="1102"/>
      <c r="AT12" s="1102"/>
      <c r="AU12" s="1102"/>
      <c r="AV12" s="1102"/>
      <c r="AW12" s="1102"/>
      <c r="AX12" s="1102"/>
      <c r="AY12" s="1102"/>
      <c r="AZ12" s="1030"/>
      <c r="BA12" s="34"/>
      <c r="BB12" s="34"/>
      <c r="BC12" s="34"/>
      <c r="BD12" s="34"/>
      <c r="BE12" s="34"/>
      <c r="BF12" s="34"/>
      <c r="BG12" s="34"/>
      <c r="BH12" s="34"/>
      <c r="BI12" s="34"/>
      <c r="BJ12" s="34"/>
      <c r="BK12" s="34"/>
      <c r="BL12" s="34"/>
      <c r="BM12" s="34"/>
      <c r="BN12" s="34"/>
      <c r="BO12" s="34"/>
      <c r="BP12" s="34"/>
      <c r="BQ12" s="34"/>
      <c r="BR12" s="34"/>
    </row>
    <row r="13" spans="1:70" ht="15.75" customHeight="1">
      <c r="A13" s="206"/>
      <c r="B13" s="188">
        <v>1</v>
      </c>
      <c r="C13" s="189" t="s">
        <v>178</v>
      </c>
      <c r="D13" s="190" t="s">
        <v>58</v>
      </c>
      <c r="E13" s="190" t="s">
        <v>58</v>
      </c>
      <c r="F13" s="190" t="s">
        <v>20</v>
      </c>
      <c r="G13" s="191">
        <f>COUNTIFS(Reference!F:F,C13,Reference!G:G,"&lt;="&amp;VLOOKUP($F13,Setup!$C$9:$D$17,2,0))</f>
        <v>2</v>
      </c>
      <c r="H13" s="191">
        <f>COUNTIFS(Reference!B:B,C13,Reference!C:C,"&lt;="&amp;VLOOKUP("Rogue",Setup!$C$9:$D$17,2,0))</f>
        <v>0</v>
      </c>
      <c r="I13" s="192">
        <v>1</v>
      </c>
      <c r="J13" s="192">
        <v>1</v>
      </c>
      <c r="K13" s="191" t="s">
        <v>146</v>
      </c>
      <c r="L13" s="191"/>
      <c r="M13" s="191"/>
      <c r="N13" s="191"/>
      <c r="O13" s="193" t="s">
        <v>179</v>
      </c>
      <c r="P13" s="194"/>
      <c r="Q13" s="190" t="s">
        <v>148</v>
      </c>
      <c r="R13" s="173"/>
      <c r="S13" s="195">
        <f>MATCH($D13,Reference!$J$5:$J$9,0)</f>
        <v>1</v>
      </c>
      <c r="T13" s="195">
        <f>MATCH($E13,Reference!$J$26:$J$32,0)</f>
        <v>1</v>
      </c>
      <c r="U13" s="195">
        <f>MATCH($F13,Reference!$J$45:$J$54,0)</f>
        <v>6</v>
      </c>
      <c r="V13" s="196">
        <f>MATCH($K13,Reference!$J$37:$J$39,0)</f>
        <v>2</v>
      </c>
      <c r="W13" s="197">
        <f t="shared" si="0"/>
        <v>2</v>
      </c>
      <c r="X13" s="197">
        <f t="shared" si="1"/>
        <v>1</v>
      </c>
      <c r="Y13" s="198">
        <v>0</v>
      </c>
      <c r="Z13" s="197">
        <f t="shared" si="2"/>
        <v>2</v>
      </c>
      <c r="AA13" s="199" t="b">
        <f t="shared" si="3"/>
        <v>0</v>
      </c>
      <c r="AB13" s="199" t="b">
        <f t="shared" si="4"/>
        <v>0</v>
      </c>
      <c r="AC13" s="200">
        <f t="shared" ref="AC13:AD13" si="20">1-I13</f>
        <v>0</v>
      </c>
      <c r="AD13" s="200">
        <f t="shared" si="20"/>
        <v>0</v>
      </c>
      <c r="AE13" s="199">
        <f t="shared" si="6"/>
        <v>2</v>
      </c>
      <c r="AF13" s="201">
        <f t="shared" si="7"/>
        <v>0</v>
      </c>
      <c r="AG13" s="201">
        <f t="shared" si="8"/>
        <v>1</v>
      </c>
      <c r="AH13" s="202">
        <f t="shared" si="9"/>
        <v>0</v>
      </c>
      <c r="AI13" s="205"/>
      <c r="AJ13" s="1145" t="s">
        <v>180</v>
      </c>
      <c r="AK13" s="1102"/>
      <c r="AL13" s="1102"/>
      <c r="AM13" s="1102"/>
      <c r="AN13" s="1102"/>
      <c r="AO13" s="1102"/>
      <c r="AP13" s="1102"/>
      <c r="AQ13" s="1102"/>
      <c r="AR13" s="1102"/>
      <c r="AS13" s="1102"/>
      <c r="AT13" s="1102"/>
      <c r="AU13" s="1102"/>
      <c r="AV13" s="1102"/>
      <c r="AW13" s="1102"/>
      <c r="AX13" s="1102"/>
      <c r="AY13" s="1102"/>
      <c r="AZ13" s="1030"/>
      <c r="BQ13" s="214"/>
      <c r="BR13" s="214"/>
    </row>
    <row r="14" spans="1:70" ht="15.75" customHeight="1">
      <c r="A14" s="206"/>
      <c r="B14" s="188">
        <v>1</v>
      </c>
      <c r="C14" s="189" t="s">
        <v>181</v>
      </c>
      <c r="D14" s="190" t="s">
        <v>58</v>
      </c>
      <c r="E14" s="190" t="s">
        <v>58</v>
      </c>
      <c r="F14" s="190" t="s">
        <v>115</v>
      </c>
      <c r="G14" s="215">
        <v>2</v>
      </c>
      <c r="H14" s="191">
        <f>COUNTIFS(Reference!D:D,VLOOKUP(C14,Reference!B:D,3,0),Reference!C:C,"&lt;="&amp;VLOOKUP(VLOOKUP(C14,Reference!B:D,3,0),Setup!$C$9:$D$17,2,0),Reference!B:B,C14)</f>
        <v>0</v>
      </c>
      <c r="I14" s="192">
        <v>1</v>
      </c>
      <c r="J14" s="192">
        <v>1</v>
      </c>
      <c r="K14" s="215" t="s">
        <v>182</v>
      </c>
      <c r="L14" s="191"/>
      <c r="M14" s="215">
        <v>1</v>
      </c>
      <c r="N14" s="215">
        <v>1</v>
      </c>
      <c r="O14" s="193" t="s">
        <v>183</v>
      </c>
      <c r="P14" s="194" t="s">
        <v>184</v>
      </c>
      <c r="Q14" s="190" t="s">
        <v>148</v>
      </c>
      <c r="R14" s="173"/>
      <c r="S14" s="195">
        <f>MATCH($D14,Reference!$J$5:$J$9,0)</f>
        <v>1</v>
      </c>
      <c r="T14" s="195">
        <f>MATCH($E14,Reference!$J$26:$J$32,0)</f>
        <v>1</v>
      </c>
      <c r="U14" s="195">
        <f>MATCH($F14,Reference!$J$45:$J$54,0)</f>
        <v>10</v>
      </c>
      <c r="V14" s="196">
        <f>MATCH($K14,Reference!$J$37:$J$39,0)</f>
        <v>3</v>
      </c>
      <c r="W14" s="197">
        <f t="shared" si="0"/>
        <v>2</v>
      </c>
      <c r="X14" s="197">
        <f t="shared" si="1"/>
        <v>1</v>
      </c>
      <c r="Y14" s="198">
        <v>0</v>
      </c>
      <c r="Z14" s="197">
        <f t="shared" si="2"/>
        <v>2</v>
      </c>
      <c r="AA14" s="199" t="b">
        <f t="shared" si="3"/>
        <v>0</v>
      </c>
      <c r="AB14" s="199" t="b">
        <f t="shared" si="4"/>
        <v>0</v>
      </c>
      <c r="AC14" s="200">
        <f t="shared" ref="AC14:AD14" si="21">1-I14</f>
        <v>0</v>
      </c>
      <c r="AD14" s="200">
        <f t="shared" si="21"/>
        <v>0</v>
      </c>
      <c r="AE14" s="199">
        <f t="shared" si="6"/>
        <v>2</v>
      </c>
      <c r="AF14" s="201">
        <f t="shared" si="7"/>
        <v>0</v>
      </c>
      <c r="AG14" s="201">
        <f t="shared" si="8"/>
        <v>1</v>
      </c>
      <c r="AH14" s="202">
        <f t="shared" si="9"/>
        <v>0</v>
      </c>
      <c r="AI14" s="205"/>
      <c r="AJ14" s="1145" t="s">
        <v>185</v>
      </c>
      <c r="AK14" s="1102"/>
      <c r="AL14" s="1102"/>
      <c r="AM14" s="1102"/>
      <c r="AN14" s="1102"/>
      <c r="AO14" s="1102"/>
      <c r="AP14" s="1102"/>
      <c r="AQ14" s="1102"/>
      <c r="AR14" s="1102"/>
      <c r="AS14" s="1102"/>
      <c r="AT14" s="1102"/>
      <c r="AU14" s="1102"/>
      <c r="AV14" s="1102"/>
      <c r="AW14" s="1102"/>
      <c r="AX14" s="1102"/>
      <c r="AY14" s="1102"/>
      <c r="AZ14" s="1030"/>
      <c r="BQ14" s="214"/>
      <c r="BR14" s="214"/>
    </row>
    <row r="15" spans="1:70" ht="15.75" customHeight="1">
      <c r="A15" s="209"/>
      <c r="B15" s="188">
        <v>1</v>
      </c>
      <c r="C15" s="189" t="s">
        <v>186</v>
      </c>
      <c r="D15" s="190" t="s">
        <v>58</v>
      </c>
      <c r="E15" s="190" t="s">
        <v>58</v>
      </c>
      <c r="F15" s="190" t="s">
        <v>26</v>
      </c>
      <c r="G15" s="191">
        <f>COUNTIFS(Reference!F:F,C15,Reference!G:G,"&lt;="&amp;VLOOKUP($F15,Setup!$C$9:$D$17,2,0))</f>
        <v>2</v>
      </c>
      <c r="H15" s="191">
        <f>COUNTIFS(Reference!B:B,C15,Reference!C:C,"&lt;="&amp;VLOOKUP("Warrior",Setup!$C$9:$D$17,2,0))</f>
        <v>0</v>
      </c>
      <c r="I15" s="192">
        <v>1</v>
      </c>
      <c r="J15" s="192">
        <v>1</v>
      </c>
      <c r="K15" s="191" t="s">
        <v>146</v>
      </c>
      <c r="L15" s="191"/>
      <c r="M15" s="191"/>
      <c r="N15" s="191"/>
      <c r="O15" s="193" t="s">
        <v>187</v>
      </c>
      <c r="P15" s="194"/>
      <c r="Q15" s="190" t="s">
        <v>148</v>
      </c>
      <c r="R15" s="173"/>
      <c r="S15" s="195">
        <f>MATCH($D15,Reference!$J$5:$J$9,0)</f>
        <v>1</v>
      </c>
      <c r="T15" s="195">
        <f>MATCH($E15,Reference!$J$26:$J$32,0)</f>
        <v>1</v>
      </c>
      <c r="U15" s="195">
        <f>MATCH($F15,Reference!$J$45:$J$54,0)</f>
        <v>9</v>
      </c>
      <c r="V15" s="196">
        <f>MATCH($K15,Reference!$J$37:$J$39,0)</f>
        <v>2</v>
      </c>
      <c r="W15" s="197">
        <f t="shared" si="0"/>
        <v>2</v>
      </c>
      <c r="X15" s="197">
        <f t="shared" si="1"/>
        <v>1</v>
      </c>
      <c r="Y15" s="198">
        <v>0</v>
      </c>
      <c r="Z15" s="197">
        <f t="shared" si="2"/>
        <v>2</v>
      </c>
      <c r="AA15" s="199" t="b">
        <f t="shared" si="3"/>
        <v>0</v>
      </c>
      <c r="AB15" s="199" t="b">
        <f t="shared" si="4"/>
        <v>0</v>
      </c>
      <c r="AC15" s="200">
        <f t="shared" ref="AC15:AD15" si="22">1-I15</f>
        <v>0</v>
      </c>
      <c r="AD15" s="200">
        <f t="shared" si="22"/>
        <v>0</v>
      </c>
      <c r="AE15" s="199">
        <f t="shared" si="6"/>
        <v>2</v>
      </c>
      <c r="AF15" s="201">
        <f t="shared" si="7"/>
        <v>0</v>
      </c>
      <c r="AG15" s="201">
        <f t="shared" si="8"/>
        <v>1</v>
      </c>
      <c r="AH15" s="202">
        <f t="shared" si="9"/>
        <v>0</v>
      </c>
      <c r="AI15" s="205"/>
      <c r="AJ15" s="1144" t="s">
        <v>188</v>
      </c>
      <c r="AK15" s="1014"/>
      <c r="AL15" s="1014"/>
      <c r="AM15" s="1014"/>
      <c r="AN15" s="1014"/>
      <c r="AO15" s="1014"/>
      <c r="AP15" s="1014"/>
      <c r="AQ15" s="1014"/>
      <c r="AR15" s="1014"/>
      <c r="AS15" s="1014"/>
      <c r="AT15" s="1014"/>
      <c r="AU15" s="1014"/>
      <c r="AV15" s="1014"/>
      <c r="AW15" s="1014"/>
      <c r="AX15" s="1014"/>
      <c r="AY15" s="1014"/>
      <c r="AZ15" s="1016"/>
      <c r="BA15" s="216"/>
      <c r="BB15" s="216"/>
      <c r="BC15" s="216"/>
      <c r="BD15" s="216"/>
      <c r="BE15" s="216"/>
      <c r="BF15" s="216"/>
      <c r="BG15" s="216"/>
      <c r="BH15" s="216"/>
      <c r="BI15" s="216"/>
      <c r="BJ15" s="216"/>
      <c r="BK15" s="216"/>
      <c r="BL15" s="216"/>
      <c r="BM15" s="216"/>
      <c r="BN15" s="216"/>
      <c r="BO15" s="216"/>
      <c r="BP15" s="216"/>
      <c r="BQ15" s="214"/>
      <c r="BR15" s="214"/>
    </row>
    <row r="16" spans="1:70" ht="15.75" customHeight="1">
      <c r="A16" s="187"/>
      <c r="B16" s="217">
        <v>1</v>
      </c>
      <c r="C16" s="218" t="s">
        <v>189</v>
      </c>
      <c r="D16" s="190" t="s">
        <v>58</v>
      </c>
      <c r="E16" s="190" t="s">
        <v>58</v>
      </c>
      <c r="F16" s="190" t="s">
        <v>21</v>
      </c>
      <c r="G16" s="191">
        <f>COUNTIFS(Reference!F:F,C16,Reference!G:G,"&lt;="&amp;VLOOKUP($F16,Setup!$C$9:$D$17,2,0))</f>
        <v>2</v>
      </c>
      <c r="H16" s="191">
        <f>COUNTIFS(Reference!B:B,C16,Reference!C:C,"&lt;="&amp;VLOOKUP("Shaman",Setup!$C$9:$D$17,2,0))</f>
        <v>0</v>
      </c>
      <c r="I16" s="192">
        <v>1</v>
      </c>
      <c r="J16" s="192">
        <v>1</v>
      </c>
      <c r="K16" s="191" t="s">
        <v>146</v>
      </c>
      <c r="L16" s="191"/>
      <c r="M16" s="191"/>
      <c r="N16" s="191"/>
      <c r="O16" s="193" t="s">
        <v>190</v>
      </c>
      <c r="P16" s="194"/>
      <c r="Q16" s="190" t="s">
        <v>148</v>
      </c>
      <c r="R16" s="173"/>
      <c r="S16" s="195">
        <f>MATCH($D16,Reference!$J$5:$J$9,0)</f>
        <v>1</v>
      </c>
      <c r="T16" s="195">
        <f>MATCH($E16,Reference!$J$26:$J$32,0)</f>
        <v>1</v>
      </c>
      <c r="U16" s="195">
        <f>MATCH($F16,Reference!$J$45:$J$54,0)</f>
        <v>7</v>
      </c>
      <c r="V16" s="196">
        <f>MATCH($K16,Reference!$J$37:$J$39,0)</f>
        <v>2</v>
      </c>
      <c r="W16" s="197">
        <f t="shared" si="0"/>
        <v>2</v>
      </c>
      <c r="X16" s="197">
        <f t="shared" si="1"/>
        <v>1</v>
      </c>
      <c r="Y16" s="198">
        <v>0</v>
      </c>
      <c r="Z16" s="197">
        <f t="shared" si="2"/>
        <v>2</v>
      </c>
      <c r="AA16" s="199" t="b">
        <f t="shared" si="3"/>
        <v>0</v>
      </c>
      <c r="AB16" s="199" t="b">
        <f t="shared" si="4"/>
        <v>0</v>
      </c>
      <c r="AC16" s="200">
        <f t="shared" ref="AC16:AD16" si="23">1-I16</f>
        <v>0</v>
      </c>
      <c r="AD16" s="200">
        <f t="shared" si="23"/>
        <v>0</v>
      </c>
      <c r="AE16" s="199">
        <f t="shared" si="6"/>
        <v>2</v>
      </c>
      <c r="AF16" s="201">
        <f t="shared" si="7"/>
        <v>0</v>
      </c>
      <c r="AG16" s="201">
        <f t="shared" si="8"/>
        <v>1</v>
      </c>
      <c r="AH16" s="202">
        <f t="shared" si="9"/>
        <v>0</v>
      </c>
      <c r="AI16" s="205"/>
      <c r="AJ16" s="1037"/>
      <c r="AK16" s="1007"/>
      <c r="AL16" s="1007"/>
      <c r="AM16" s="1007"/>
      <c r="AN16" s="1007"/>
      <c r="AO16" s="1007"/>
      <c r="AP16" s="1007"/>
      <c r="AQ16" s="1007"/>
      <c r="AR16" s="1007"/>
      <c r="AS16" s="1007"/>
      <c r="AT16" s="1007"/>
      <c r="AU16" s="1007"/>
      <c r="AV16" s="1007"/>
      <c r="AW16" s="1007"/>
      <c r="AX16" s="1007"/>
      <c r="AY16" s="1007"/>
      <c r="AZ16" s="1038"/>
      <c r="BA16" s="216"/>
      <c r="BB16" s="216"/>
      <c r="BC16" s="216"/>
      <c r="BD16" s="216"/>
      <c r="BE16" s="216"/>
      <c r="BF16" s="216"/>
      <c r="BG16" s="216"/>
      <c r="BH16" s="216"/>
      <c r="BI16" s="216"/>
      <c r="BJ16" s="216"/>
      <c r="BK16" s="216"/>
      <c r="BL16" s="216"/>
      <c r="BM16" s="216"/>
      <c r="BN16" s="216"/>
      <c r="BO16" s="216"/>
      <c r="BP16" s="216"/>
      <c r="BQ16" s="219"/>
      <c r="BR16" s="219"/>
    </row>
    <row r="17" spans="1:70" ht="15.75" customHeight="1">
      <c r="A17" s="209"/>
      <c r="B17" s="188">
        <v>1</v>
      </c>
      <c r="C17" s="189" t="s">
        <v>191</v>
      </c>
      <c r="D17" s="190" t="s">
        <v>58</v>
      </c>
      <c r="E17" s="190" t="s">
        <v>58</v>
      </c>
      <c r="F17" s="190" t="s">
        <v>115</v>
      </c>
      <c r="G17" s="215">
        <v>2</v>
      </c>
      <c r="H17" s="191">
        <f>COUNTIFS(Reference!D:D,VLOOKUP(C17,Reference!B:D,3,0),Reference!C:C,"&lt;="&amp;VLOOKUP(VLOOKUP(C17,Reference!B:D,3,0),Setup!$C$9:$D$17,2,0),Reference!B:B,C17)</f>
        <v>0</v>
      </c>
      <c r="I17" s="192">
        <v>1</v>
      </c>
      <c r="J17" s="192">
        <v>1</v>
      </c>
      <c r="K17" s="215" t="s">
        <v>182</v>
      </c>
      <c r="L17" s="191"/>
      <c r="M17" s="215">
        <v>1</v>
      </c>
      <c r="N17" s="215">
        <v>2</v>
      </c>
      <c r="O17" s="193" t="s">
        <v>192</v>
      </c>
      <c r="P17" s="194" t="s">
        <v>193</v>
      </c>
      <c r="Q17" s="190" t="s">
        <v>148</v>
      </c>
      <c r="R17" s="173"/>
      <c r="S17" s="195">
        <f>MATCH($D17,Reference!$J$5:$J$9,0)</f>
        <v>1</v>
      </c>
      <c r="T17" s="195">
        <f>MATCH($E17,Reference!$J$26:$J$32,0)</f>
        <v>1</v>
      </c>
      <c r="U17" s="195">
        <f>MATCH($F17,Reference!$J$45:$J$54,0)</f>
        <v>10</v>
      </c>
      <c r="V17" s="196">
        <f>MATCH($K17,Reference!$J$37:$J$39,0)</f>
        <v>3</v>
      </c>
      <c r="W17" s="197">
        <f t="shared" si="0"/>
        <v>2</v>
      </c>
      <c r="X17" s="197">
        <f t="shared" si="1"/>
        <v>1</v>
      </c>
      <c r="Y17" s="198">
        <v>0</v>
      </c>
      <c r="Z17" s="197">
        <f t="shared" si="2"/>
        <v>2</v>
      </c>
      <c r="AA17" s="199" t="b">
        <f t="shared" si="3"/>
        <v>0</v>
      </c>
      <c r="AB17" s="199" t="b">
        <f t="shared" si="4"/>
        <v>0</v>
      </c>
      <c r="AC17" s="200">
        <f t="shared" ref="AC17:AD17" si="24">1-I17</f>
        <v>0</v>
      </c>
      <c r="AD17" s="200">
        <f t="shared" si="24"/>
        <v>0</v>
      </c>
      <c r="AE17" s="199">
        <f t="shared" si="6"/>
        <v>2</v>
      </c>
      <c r="AF17" s="201">
        <f t="shared" si="7"/>
        <v>0</v>
      </c>
      <c r="AG17" s="201">
        <f t="shared" si="8"/>
        <v>1</v>
      </c>
      <c r="AH17" s="202">
        <f t="shared" si="9"/>
        <v>0</v>
      </c>
      <c r="AI17" s="205"/>
      <c r="AJ17" s="1017"/>
      <c r="AK17" s="1034"/>
      <c r="AL17" s="1034"/>
      <c r="AM17" s="1034"/>
      <c r="AN17" s="1034"/>
      <c r="AO17" s="1034"/>
      <c r="AP17" s="1034"/>
      <c r="AQ17" s="1034"/>
      <c r="AR17" s="1034"/>
      <c r="AS17" s="1034"/>
      <c r="AT17" s="1034"/>
      <c r="AU17" s="1034"/>
      <c r="AV17" s="1034"/>
      <c r="AW17" s="1034"/>
      <c r="AX17" s="1034"/>
      <c r="AY17" s="1034"/>
      <c r="AZ17" s="1018"/>
      <c r="BA17" s="216"/>
      <c r="BB17" s="216"/>
      <c r="BC17" s="216"/>
      <c r="BD17" s="216"/>
      <c r="BE17" s="216"/>
      <c r="BF17" s="216"/>
      <c r="BG17" s="216"/>
      <c r="BH17" s="216"/>
      <c r="BI17" s="216"/>
      <c r="BJ17" s="216"/>
      <c r="BK17" s="216"/>
      <c r="BL17" s="216"/>
      <c r="BM17" s="216"/>
      <c r="BN17" s="216"/>
      <c r="BO17" s="216"/>
      <c r="BP17" s="216"/>
      <c r="BQ17" s="34"/>
      <c r="BR17" s="34"/>
    </row>
    <row r="18" spans="1:70" ht="15.75" customHeight="1">
      <c r="A18" s="187"/>
      <c r="B18" s="217">
        <v>1</v>
      </c>
      <c r="C18" s="218" t="s">
        <v>194</v>
      </c>
      <c r="D18" s="190" t="s">
        <v>58</v>
      </c>
      <c r="E18" s="190" t="s">
        <v>58</v>
      </c>
      <c r="F18" s="190" t="s">
        <v>115</v>
      </c>
      <c r="G18" s="215">
        <v>2</v>
      </c>
      <c r="H18" s="191">
        <f>COUNTIFS(Reference!D:D,VLOOKUP(C18,Reference!B:D,3,0),Reference!C:C,"&lt;="&amp;VLOOKUP(VLOOKUP(C18,Reference!B:D,3,0),Setup!$C$9:$D$17,2,0),Reference!B:B,C18)</f>
        <v>0</v>
      </c>
      <c r="I18" s="192">
        <v>1</v>
      </c>
      <c r="J18" s="192">
        <v>1</v>
      </c>
      <c r="K18" s="215" t="s">
        <v>182</v>
      </c>
      <c r="L18" s="191" t="s">
        <v>195</v>
      </c>
      <c r="M18" s="215">
        <v>1</v>
      </c>
      <c r="N18" s="215">
        <v>1</v>
      </c>
      <c r="O18" s="193" t="s">
        <v>196</v>
      </c>
      <c r="P18" s="194" t="s">
        <v>197</v>
      </c>
      <c r="Q18" s="190" t="s">
        <v>148</v>
      </c>
      <c r="R18" s="173"/>
      <c r="S18" s="195">
        <f>MATCH($D18,Reference!$J$5:$J$9,0)</f>
        <v>1</v>
      </c>
      <c r="T18" s="195">
        <f>MATCH($E18,Reference!$J$26:$J$32,0)</f>
        <v>1</v>
      </c>
      <c r="U18" s="195">
        <f>MATCH($F18,Reference!$J$45:$J$54,0)</f>
        <v>10</v>
      </c>
      <c r="V18" s="196">
        <f>MATCH($K18,Reference!$J$37:$J$39,0)</f>
        <v>3</v>
      </c>
      <c r="W18" s="197">
        <f t="shared" si="0"/>
        <v>2</v>
      </c>
      <c r="X18" s="197">
        <f t="shared" si="1"/>
        <v>1</v>
      </c>
      <c r="Y18" s="198">
        <v>0</v>
      </c>
      <c r="Z18" s="197">
        <f t="shared" si="2"/>
        <v>2</v>
      </c>
      <c r="AA18" s="199" t="b">
        <f t="shared" si="3"/>
        <v>0</v>
      </c>
      <c r="AB18" s="199" t="b">
        <f t="shared" si="4"/>
        <v>0</v>
      </c>
      <c r="AC18" s="200">
        <f t="shared" ref="AC18:AD18" si="25">1-I18</f>
        <v>0</v>
      </c>
      <c r="AD18" s="200">
        <f t="shared" si="25"/>
        <v>0</v>
      </c>
      <c r="AE18" s="199">
        <f t="shared" si="6"/>
        <v>2</v>
      </c>
      <c r="AF18" s="201">
        <f t="shared" si="7"/>
        <v>0</v>
      </c>
      <c r="AG18" s="201">
        <f t="shared" si="8"/>
        <v>1</v>
      </c>
      <c r="AH18" s="202">
        <f t="shared" si="9"/>
        <v>0</v>
      </c>
      <c r="AI18" s="205"/>
      <c r="BQ18" s="220"/>
      <c r="BR18" s="220"/>
    </row>
    <row r="19" spans="1:70" ht="15.75" customHeight="1">
      <c r="A19" s="187"/>
      <c r="B19" s="217">
        <v>1</v>
      </c>
      <c r="C19" s="218" t="s">
        <v>198</v>
      </c>
      <c r="D19" s="190" t="s">
        <v>58</v>
      </c>
      <c r="E19" s="190" t="s">
        <v>58</v>
      </c>
      <c r="F19" s="190" t="s">
        <v>16</v>
      </c>
      <c r="G19" s="191">
        <f>COUNTIFS(Reference!F:F,C19,Reference!G:G,"&lt;="&amp;VLOOKUP($F19,Setup!$C$9:$D$17,2,0))</f>
        <v>2</v>
      </c>
      <c r="H19" s="191">
        <f>COUNTIFS(Reference!B:B,C19,Reference!C:C,"&lt;="&amp;VLOOKUP("Paladin",Setup!$C$9:$D$17,2,0))</f>
        <v>0</v>
      </c>
      <c r="I19" s="192">
        <v>1</v>
      </c>
      <c r="J19" s="192">
        <v>1</v>
      </c>
      <c r="K19" s="191" t="s">
        <v>146</v>
      </c>
      <c r="L19" s="191"/>
      <c r="M19" s="191"/>
      <c r="N19" s="191"/>
      <c r="O19" s="193" t="s">
        <v>199</v>
      </c>
      <c r="P19" s="194"/>
      <c r="Q19" s="190" t="s">
        <v>148</v>
      </c>
      <c r="R19" s="173"/>
      <c r="S19" s="195">
        <f>MATCH($D19,Reference!$J$5:$J$9,0)</f>
        <v>1</v>
      </c>
      <c r="T19" s="195">
        <f>MATCH($E19,Reference!$J$26:$J$32,0)</f>
        <v>1</v>
      </c>
      <c r="U19" s="195">
        <f>MATCH($F19,Reference!$J$45:$J$54,0)</f>
        <v>4</v>
      </c>
      <c r="V19" s="196">
        <f>MATCH($K19,Reference!$J$37:$J$39,0)</f>
        <v>2</v>
      </c>
      <c r="W19" s="197">
        <f t="shared" si="0"/>
        <v>2</v>
      </c>
      <c r="X19" s="197">
        <f t="shared" si="1"/>
        <v>1</v>
      </c>
      <c r="Y19" s="198">
        <v>0</v>
      </c>
      <c r="Z19" s="197">
        <f t="shared" si="2"/>
        <v>2</v>
      </c>
      <c r="AA19" s="199" t="b">
        <f t="shared" si="3"/>
        <v>0</v>
      </c>
      <c r="AB19" s="199" t="b">
        <f t="shared" si="4"/>
        <v>0</v>
      </c>
      <c r="AC19" s="200">
        <f t="shared" ref="AC19:AD19" si="26">1-I19</f>
        <v>0</v>
      </c>
      <c r="AD19" s="200">
        <f t="shared" si="26"/>
        <v>0</v>
      </c>
      <c r="AE19" s="199">
        <f t="shared" si="6"/>
        <v>2</v>
      </c>
      <c r="AF19" s="201">
        <f t="shared" si="7"/>
        <v>0</v>
      </c>
      <c r="AG19" s="201">
        <f t="shared" si="8"/>
        <v>1</v>
      </c>
      <c r="AH19" s="202">
        <f t="shared" si="9"/>
        <v>0</v>
      </c>
      <c r="AI19" s="205"/>
      <c r="AJ19" s="1144" t="s">
        <v>200</v>
      </c>
      <c r="AK19" s="1014"/>
      <c r="AL19" s="1014"/>
      <c r="AM19" s="1014"/>
      <c r="AN19" s="1014"/>
      <c r="AO19" s="1014"/>
      <c r="AP19" s="1014"/>
      <c r="AQ19" s="1014"/>
      <c r="AR19" s="1014"/>
      <c r="AS19" s="1014"/>
      <c r="AT19" s="1014"/>
      <c r="AU19" s="1014"/>
      <c r="AV19" s="1014"/>
      <c r="AW19" s="1014"/>
      <c r="AX19" s="1014"/>
      <c r="AY19" s="1014"/>
      <c r="AZ19" s="1014"/>
      <c r="BQ19" s="220"/>
      <c r="BR19" s="220"/>
    </row>
    <row r="20" spans="1:70" ht="15.75" customHeight="1">
      <c r="A20" s="187"/>
      <c r="B20" s="188">
        <v>1</v>
      </c>
      <c r="C20" s="189" t="s">
        <v>201</v>
      </c>
      <c r="D20" s="190" t="s">
        <v>58</v>
      </c>
      <c r="E20" s="190" t="s">
        <v>58</v>
      </c>
      <c r="F20" s="190" t="s">
        <v>18</v>
      </c>
      <c r="G20" s="191">
        <f>COUNTIFS(Reference!F:F,C20,Reference!G:G,"&lt;="&amp;VLOOKUP($F20,Setup!$C$9:$D$17,2,0))</f>
        <v>2</v>
      </c>
      <c r="H20" s="191">
        <f>COUNTIFS(Reference!B:B,C20,Reference!C:C,"&lt;="&amp;VLOOKUP("Priest",Setup!$C$9:$D$17,2,0))</f>
        <v>2</v>
      </c>
      <c r="I20" s="192">
        <v>1</v>
      </c>
      <c r="J20" s="192">
        <v>1</v>
      </c>
      <c r="K20" s="191" t="s">
        <v>146</v>
      </c>
      <c r="L20" s="191"/>
      <c r="M20" s="191"/>
      <c r="N20" s="191"/>
      <c r="O20" s="193" t="s">
        <v>168</v>
      </c>
      <c r="P20" s="194"/>
      <c r="Q20" s="190" t="s">
        <v>148</v>
      </c>
      <c r="R20" s="173"/>
      <c r="S20" s="195">
        <f>MATCH($D20,Reference!$J$5:$J$9,0)</f>
        <v>1</v>
      </c>
      <c r="T20" s="195">
        <f>MATCH($E20,Reference!$J$26:$J$32,0)</f>
        <v>1</v>
      </c>
      <c r="U20" s="195">
        <f>MATCH($F20,Reference!$J$45:$J$54,0)</f>
        <v>5</v>
      </c>
      <c r="V20" s="196">
        <f>MATCH($K20,Reference!$J$37:$J$39,0)</f>
        <v>2</v>
      </c>
      <c r="W20" s="197">
        <f t="shared" si="0"/>
        <v>2</v>
      </c>
      <c r="X20" s="197">
        <f t="shared" si="1"/>
        <v>1</v>
      </c>
      <c r="Y20" s="198">
        <v>0</v>
      </c>
      <c r="Z20" s="197">
        <f t="shared" si="2"/>
        <v>2</v>
      </c>
      <c r="AA20" s="199" t="b">
        <f t="shared" si="3"/>
        <v>0</v>
      </c>
      <c r="AB20" s="199" t="b">
        <f t="shared" si="4"/>
        <v>0</v>
      </c>
      <c r="AC20" s="200">
        <f t="shared" ref="AC20:AD20" si="27">1-I20</f>
        <v>0</v>
      </c>
      <c r="AD20" s="200">
        <f t="shared" si="27"/>
        <v>0</v>
      </c>
      <c r="AE20" s="199">
        <f t="shared" si="6"/>
        <v>2</v>
      </c>
      <c r="AF20" s="201">
        <f t="shared" si="7"/>
        <v>2</v>
      </c>
      <c r="AG20" s="201">
        <f t="shared" si="8"/>
        <v>1</v>
      </c>
      <c r="AH20" s="202">
        <f t="shared" si="9"/>
        <v>0</v>
      </c>
      <c r="AI20" s="205"/>
      <c r="AJ20" s="1037"/>
      <c r="AK20" s="1007"/>
      <c r="AL20" s="1007"/>
      <c r="AM20" s="1007"/>
      <c r="AN20" s="1007"/>
      <c r="AO20" s="1007"/>
      <c r="AP20" s="1007"/>
      <c r="AQ20" s="1007"/>
      <c r="AR20" s="1007"/>
      <c r="AS20" s="1007"/>
      <c r="AT20" s="1007"/>
      <c r="AU20" s="1007"/>
      <c r="AV20" s="1007"/>
      <c r="AW20" s="1007"/>
      <c r="AX20" s="1007"/>
      <c r="AY20" s="1007"/>
      <c r="AZ20" s="1007"/>
    </row>
    <row r="21" spans="1:70" ht="15.75" customHeight="1">
      <c r="A21" s="187"/>
      <c r="B21" s="188">
        <v>1</v>
      </c>
      <c r="C21" s="189" t="s">
        <v>202</v>
      </c>
      <c r="D21" s="190" t="s">
        <v>58</v>
      </c>
      <c r="E21" s="190" t="s">
        <v>58</v>
      </c>
      <c r="F21" s="190" t="s">
        <v>16</v>
      </c>
      <c r="G21" s="191">
        <f>COUNTIFS(Reference!F:F,C21,Reference!G:G,"&lt;="&amp;VLOOKUP($F21,Setup!$C$9:$D$17,2,0))</f>
        <v>2</v>
      </c>
      <c r="H21" s="191">
        <f>COUNTIFS(Reference!B:B,C21,Reference!C:C,"&lt;="&amp;VLOOKUP("Paladin",Setup!$C$9:$D$17,2,0))</f>
        <v>0</v>
      </c>
      <c r="I21" s="192">
        <v>1</v>
      </c>
      <c r="J21" s="192">
        <v>1</v>
      </c>
      <c r="K21" s="191" t="s">
        <v>146</v>
      </c>
      <c r="L21" s="191"/>
      <c r="M21" s="191"/>
      <c r="N21" s="191"/>
      <c r="O21" s="193" t="s">
        <v>203</v>
      </c>
      <c r="P21" s="194"/>
      <c r="Q21" s="190" t="s">
        <v>148</v>
      </c>
      <c r="R21" s="173"/>
      <c r="S21" s="195">
        <f>MATCH($D21,Reference!$J$5:$J$9,0)</f>
        <v>1</v>
      </c>
      <c r="T21" s="195">
        <f>MATCH($E21,Reference!$J$26:$J$32,0)</f>
        <v>1</v>
      </c>
      <c r="U21" s="195">
        <f>MATCH($F21,Reference!$J$45:$J$54,0)</f>
        <v>4</v>
      </c>
      <c r="V21" s="196">
        <f>MATCH($K21,Reference!$J$37:$J$39,0)</f>
        <v>2</v>
      </c>
      <c r="W21" s="197">
        <f t="shared" si="0"/>
        <v>2</v>
      </c>
      <c r="X21" s="197">
        <f t="shared" si="1"/>
        <v>1</v>
      </c>
      <c r="Y21" s="198">
        <v>0</v>
      </c>
      <c r="Z21" s="197">
        <f t="shared" si="2"/>
        <v>2</v>
      </c>
      <c r="AA21" s="199" t="b">
        <f t="shared" si="3"/>
        <v>0</v>
      </c>
      <c r="AB21" s="199" t="b">
        <f t="shared" si="4"/>
        <v>0</v>
      </c>
      <c r="AC21" s="200">
        <f t="shared" ref="AC21:AD21" si="28">1-I21</f>
        <v>0</v>
      </c>
      <c r="AD21" s="200">
        <f t="shared" si="28"/>
        <v>0</v>
      </c>
      <c r="AE21" s="199">
        <f t="shared" si="6"/>
        <v>2</v>
      </c>
      <c r="AF21" s="201">
        <f t="shared" si="7"/>
        <v>0</v>
      </c>
      <c r="AG21" s="201">
        <f t="shared" si="8"/>
        <v>1</v>
      </c>
      <c r="AH21" s="202">
        <f t="shared" si="9"/>
        <v>0</v>
      </c>
      <c r="AI21" s="205"/>
      <c r="AJ21" s="1037"/>
      <c r="AK21" s="1007"/>
      <c r="AL21" s="1007"/>
      <c r="AM21" s="1007"/>
      <c r="AN21" s="1007"/>
      <c r="AO21" s="1007"/>
      <c r="AP21" s="1007"/>
      <c r="AQ21" s="1007"/>
      <c r="AR21" s="1007"/>
      <c r="AS21" s="1007"/>
      <c r="AT21" s="1007"/>
      <c r="AU21" s="1007"/>
      <c r="AV21" s="1007"/>
      <c r="AW21" s="1007"/>
      <c r="AX21" s="1007"/>
      <c r="AY21" s="1007"/>
      <c r="AZ21" s="1007"/>
    </row>
    <row r="22" spans="1:70" ht="15.75" customHeight="1">
      <c r="A22" s="206"/>
      <c r="B22" s="221">
        <v>1</v>
      </c>
      <c r="C22" s="189" t="s">
        <v>204</v>
      </c>
      <c r="D22" s="190" t="s">
        <v>58</v>
      </c>
      <c r="E22" s="190" t="s">
        <v>58</v>
      </c>
      <c r="F22" s="190" t="s">
        <v>11</v>
      </c>
      <c r="G22" s="191">
        <f>COUNTIFS(Reference!F:F,C22,Reference!G:G,"&lt;="&amp;VLOOKUP($F22,Setup!$C$9:$D$17,2,0))</f>
        <v>2</v>
      </c>
      <c r="H22" s="191">
        <f>COUNTIFS(Reference!B:B,C22,Reference!C:C,"&lt;="&amp;VLOOKUP("Hunter",Setup!$C$9:$D$17,2,0))</f>
        <v>0</v>
      </c>
      <c r="I22" s="192">
        <v>1</v>
      </c>
      <c r="J22" s="192">
        <v>1</v>
      </c>
      <c r="K22" s="191" t="s">
        <v>146</v>
      </c>
      <c r="L22" s="191"/>
      <c r="M22" s="191"/>
      <c r="N22" s="191"/>
      <c r="O22" s="193" t="s">
        <v>205</v>
      </c>
      <c r="P22" s="194"/>
      <c r="Q22" s="190" t="s">
        <v>148</v>
      </c>
      <c r="R22" s="173"/>
      <c r="S22" s="195">
        <f>MATCH($D22,Reference!$J$5:$J$9,0)</f>
        <v>1</v>
      </c>
      <c r="T22" s="195">
        <f>MATCH($E22,Reference!$J$26:$J$32,0)</f>
        <v>1</v>
      </c>
      <c r="U22" s="195">
        <f>MATCH($F22,Reference!$J$45:$J$54,0)</f>
        <v>2</v>
      </c>
      <c r="V22" s="196">
        <f>MATCH($K22,Reference!$J$37:$J$39,0)</f>
        <v>2</v>
      </c>
      <c r="W22" s="197">
        <f t="shared" si="0"/>
        <v>2</v>
      </c>
      <c r="X22" s="197">
        <f t="shared" si="1"/>
        <v>1</v>
      </c>
      <c r="Y22" s="198">
        <v>0</v>
      </c>
      <c r="Z22" s="197">
        <f t="shared" si="2"/>
        <v>2</v>
      </c>
      <c r="AA22" s="199" t="b">
        <f t="shared" si="3"/>
        <v>0</v>
      </c>
      <c r="AB22" s="199" t="b">
        <f t="shared" si="4"/>
        <v>0</v>
      </c>
      <c r="AC22" s="200">
        <f t="shared" ref="AC22:AD22" si="29">1-I22</f>
        <v>0</v>
      </c>
      <c r="AD22" s="200">
        <f t="shared" si="29"/>
        <v>0</v>
      </c>
      <c r="AE22" s="199">
        <f t="shared" si="6"/>
        <v>2</v>
      </c>
      <c r="AF22" s="201">
        <f t="shared" si="7"/>
        <v>0</v>
      </c>
      <c r="AG22" s="201">
        <f t="shared" si="8"/>
        <v>1</v>
      </c>
      <c r="AH22" s="202">
        <f t="shared" si="9"/>
        <v>0</v>
      </c>
      <c r="AI22" s="205"/>
      <c r="AJ22" s="1037"/>
      <c r="AK22" s="1007"/>
      <c r="AL22" s="1007"/>
      <c r="AM22" s="1007"/>
      <c r="AN22" s="1007"/>
      <c r="AO22" s="1007"/>
      <c r="AP22" s="1007"/>
      <c r="AQ22" s="1007"/>
      <c r="AR22" s="1007"/>
      <c r="AS22" s="1007"/>
      <c r="AT22" s="1007"/>
      <c r="AU22" s="1007"/>
      <c r="AV22" s="1007"/>
      <c r="AW22" s="1007"/>
      <c r="AX22" s="1007"/>
      <c r="AY22" s="1007"/>
      <c r="AZ22" s="1007"/>
    </row>
    <row r="23" spans="1:70" ht="15.75" customHeight="1">
      <c r="A23" s="206"/>
      <c r="B23" s="188">
        <v>1</v>
      </c>
      <c r="C23" s="189" t="s">
        <v>206</v>
      </c>
      <c r="D23" s="190" t="s">
        <v>58</v>
      </c>
      <c r="E23" s="190" t="s">
        <v>58</v>
      </c>
      <c r="F23" s="190" t="s">
        <v>16</v>
      </c>
      <c r="G23" s="191">
        <f>COUNTIFS(Reference!F:F,C23,Reference!G:G,"&lt;="&amp;VLOOKUP($F23,Setup!$C$9:$D$17,2,0))</f>
        <v>2</v>
      </c>
      <c r="H23" s="191">
        <f>COUNTIFS(Reference!B:B,C23,Reference!C:C,"&lt;="&amp;VLOOKUP("Paladin",Setup!$C$9:$D$17,2,0))</f>
        <v>0</v>
      </c>
      <c r="I23" s="192">
        <v>1</v>
      </c>
      <c r="J23" s="192">
        <v>1</v>
      </c>
      <c r="K23" s="191" t="s">
        <v>207</v>
      </c>
      <c r="L23" s="191"/>
      <c r="M23" s="191">
        <v>1</v>
      </c>
      <c r="N23" s="191">
        <v>4</v>
      </c>
      <c r="O23" s="193"/>
      <c r="P23" s="194"/>
      <c r="Q23" s="190" t="s">
        <v>148</v>
      </c>
      <c r="R23" s="173"/>
      <c r="S23" s="195">
        <f>MATCH($D23,Reference!$J$5:$J$9,0)</f>
        <v>1</v>
      </c>
      <c r="T23" s="195">
        <f>MATCH($E23,Reference!$J$26:$J$32,0)</f>
        <v>1</v>
      </c>
      <c r="U23" s="195">
        <f>MATCH($F23,Reference!$J$45:$J$54,0)</f>
        <v>4</v>
      </c>
      <c r="V23" s="196">
        <f>MATCH($K23,Reference!$J$37:$J$39,0)</f>
        <v>1</v>
      </c>
      <c r="W23" s="197">
        <f t="shared" si="0"/>
        <v>2</v>
      </c>
      <c r="X23" s="197">
        <f t="shared" si="1"/>
        <v>1</v>
      </c>
      <c r="Y23" s="198">
        <v>0</v>
      </c>
      <c r="Z23" s="197">
        <f t="shared" si="2"/>
        <v>2</v>
      </c>
      <c r="AA23" s="199" t="b">
        <f t="shared" si="3"/>
        <v>0</v>
      </c>
      <c r="AB23" s="199" t="b">
        <f t="shared" si="4"/>
        <v>0</v>
      </c>
      <c r="AC23" s="200">
        <f t="shared" ref="AC23:AD23" si="30">1-I23</f>
        <v>0</v>
      </c>
      <c r="AD23" s="200">
        <f t="shared" si="30"/>
        <v>0</v>
      </c>
      <c r="AE23" s="199">
        <f t="shared" si="6"/>
        <v>2</v>
      </c>
      <c r="AF23" s="201">
        <f t="shared" si="7"/>
        <v>0</v>
      </c>
      <c r="AG23" s="201">
        <f t="shared" si="8"/>
        <v>1</v>
      </c>
      <c r="AH23" s="202">
        <f t="shared" si="9"/>
        <v>0</v>
      </c>
      <c r="AI23" s="205"/>
      <c r="AJ23" s="1037"/>
      <c r="AK23" s="1007"/>
      <c r="AL23" s="1007"/>
      <c r="AM23" s="1007"/>
      <c r="AN23" s="1007"/>
      <c r="AO23" s="1007"/>
      <c r="AP23" s="1007"/>
      <c r="AQ23" s="1007"/>
      <c r="AR23" s="1007"/>
      <c r="AS23" s="1007"/>
      <c r="AT23" s="1007"/>
      <c r="AU23" s="1007"/>
      <c r="AV23" s="1007"/>
      <c r="AW23" s="1007"/>
      <c r="AX23" s="1007"/>
      <c r="AY23" s="1007"/>
      <c r="AZ23" s="1007"/>
    </row>
    <row r="24" spans="1:70" ht="15.75" customHeight="1">
      <c r="A24" s="187"/>
      <c r="B24" s="188">
        <v>1</v>
      </c>
      <c r="C24" s="189" t="s">
        <v>208</v>
      </c>
      <c r="D24" s="190" t="s">
        <v>58</v>
      </c>
      <c r="E24" s="190" t="s">
        <v>58</v>
      </c>
      <c r="F24" s="190" t="s">
        <v>18</v>
      </c>
      <c r="G24" s="191">
        <f>COUNTIFS(Reference!F:F,C24,Reference!G:G,"&lt;="&amp;VLOOKUP($F24,Setup!$C$9:$D$17,2,0))</f>
        <v>2</v>
      </c>
      <c r="H24" s="191">
        <f>COUNTIFS(Reference!B:B,C24,Reference!C:C,"&lt;="&amp;VLOOKUP("Priest",Setup!$C$9:$D$17,2,0))</f>
        <v>0</v>
      </c>
      <c r="I24" s="192">
        <v>1</v>
      </c>
      <c r="J24" s="192">
        <v>1</v>
      </c>
      <c r="K24" s="190" t="s">
        <v>146</v>
      </c>
      <c r="L24" s="190"/>
      <c r="M24" s="190"/>
      <c r="N24" s="210"/>
      <c r="O24" s="193" t="s">
        <v>209</v>
      </c>
      <c r="P24" s="194"/>
      <c r="Q24" s="190" t="s">
        <v>148</v>
      </c>
      <c r="R24" s="173"/>
      <c r="S24" s="195">
        <f>MATCH($D24,Reference!$J$5:$J$9,0)</f>
        <v>1</v>
      </c>
      <c r="T24" s="195">
        <f>MATCH($E24,Reference!$J$26:$J$32,0)</f>
        <v>1</v>
      </c>
      <c r="U24" s="195">
        <f>MATCH($F24,Reference!$J$45:$J$54,0)</f>
        <v>5</v>
      </c>
      <c r="V24" s="196">
        <f>MATCH($K24,Reference!$J$37:$J$39,0)</f>
        <v>2</v>
      </c>
      <c r="W24" s="197">
        <f t="shared" si="0"/>
        <v>2</v>
      </c>
      <c r="X24" s="197">
        <f t="shared" si="1"/>
        <v>1</v>
      </c>
      <c r="Y24" s="198">
        <v>0</v>
      </c>
      <c r="Z24" s="197">
        <f t="shared" si="2"/>
        <v>2</v>
      </c>
      <c r="AA24" s="199" t="b">
        <f t="shared" si="3"/>
        <v>0</v>
      </c>
      <c r="AB24" s="199" t="b">
        <f t="shared" si="4"/>
        <v>0</v>
      </c>
      <c r="AC24" s="200">
        <f t="shared" ref="AC24:AD24" si="31">1-I24</f>
        <v>0</v>
      </c>
      <c r="AD24" s="200">
        <f t="shared" si="31"/>
        <v>0</v>
      </c>
      <c r="AE24" s="199">
        <f t="shared" si="6"/>
        <v>2</v>
      </c>
      <c r="AF24" s="201">
        <f t="shared" si="7"/>
        <v>0</v>
      </c>
      <c r="AG24" s="201">
        <f t="shared" si="8"/>
        <v>1</v>
      </c>
      <c r="AH24" s="202">
        <f t="shared" si="9"/>
        <v>0</v>
      </c>
      <c r="AI24" s="205"/>
      <c r="AJ24" s="1037"/>
      <c r="AK24" s="1007"/>
      <c r="AL24" s="1007"/>
      <c r="AM24" s="1007"/>
      <c r="AN24" s="1007"/>
      <c r="AO24" s="1007"/>
      <c r="AP24" s="1007"/>
      <c r="AQ24" s="1007"/>
      <c r="AR24" s="1007"/>
      <c r="AS24" s="1007"/>
      <c r="AT24" s="1007"/>
      <c r="AU24" s="1007"/>
      <c r="AV24" s="1007"/>
      <c r="AW24" s="1007"/>
      <c r="AX24" s="1007"/>
      <c r="AY24" s="1007"/>
      <c r="AZ24" s="1007"/>
    </row>
    <row r="25" spans="1:70" ht="15.75" customHeight="1">
      <c r="A25" s="187"/>
      <c r="B25" s="188">
        <v>1</v>
      </c>
      <c r="C25" s="189" t="s">
        <v>210</v>
      </c>
      <c r="D25" s="190" t="s">
        <v>58</v>
      </c>
      <c r="E25" s="190" t="s">
        <v>58</v>
      </c>
      <c r="F25" s="190" t="s">
        <v>13</v>
      </c>
      <c r="G25" s="191">
        <f>COUNTIFS(Reference!F:F,C25,Reference!G:G,"&lt;="&amp;VLOOKUP($F25,Setup!$C$9:$D$17,2,0))</f>
        <v>2</v>
      </c>
      <c r="H25" s="191">
        <f>COUNTIFS(Reference!B:B,C25,Reference!C:C,"&lt;="&amp;VLOOKUP("Mage",Setup!$C$9:$D$17,2,0))</f>
        <v>0</v>
      </c>
      <c r="I25" s="192">
        <v>1</v>
      </c>
      <c r="J25" s="192">
        <v>1</v>
      </c>
      <c r="K25" s="190" t="s">
        <v>146</v>
      </c>
      <c r="L25" s="190"/>
      <c r="M25" s="190"/>
      <c r="N25" s="210"/>
      <c r="O25" s="193" t="s">
        <v>211</v>
      </c>
      <c r="P25" s="194"/>
      <c r="Q25" s="190" t="s">
        <v>148</v>
      </c>
      <c r="R25" s="173"/>
      <c r="S25" s="195">
        <f>MATCH($D25,Reference!$J$5:$J$9,0)</f>
        <v>1</v>
      </c>
      <c r="T25" s="195">
        <f>MATCH($E25,Reference!$J$26:$J$32,0)</f>
        <v>1</v>
      </c>
      <c r="U25" s="195">
        <f>MATCH($F25,Reference!$J$45:$J$54,0)</f>
        <v>3</v>
      </c>
      <c r="V25" s="196">
        <f>MATCH($K25,Reference!$J$37:$J$39,0)</f>
        <v>2</v>
      </c>
      <c r="W25" s="197">
        <f t="shared" si="0"/>
        <v>2</v>
      </c>
      <c r="X25" s="197">
        <f t="shared" si="1"/>
        <v>1</v>
      </c>
      <c r="Y25" s="198">
        <v>0</v>
      </c>
      <c r="Z25" s="197">
        <f t="shared" si="2"/>
        <v>2</v>
      </c>
      <c r="AA25" s="199" t="b">
        <f t="shared" si="3"/>
        <v>0</v>
      </c>
      <c r="AB25" s="199" t="b">
        <f t="shared" si="4"/>
        <v>0</v>
      </c>
      <c r="AC25" s="200">
        <f t="shared" ref="AC25:AD25" si="32">1-I25</f>
        <v>0</v>
      </c>
      <c r="AD25" s="200">
        <f t="shared" si="32"/>
        <v>0</v>
      </c>
      <c r="AE25" s="199">
        <f t="shared" si="6"/>
        <v>2</v>
      </c>
      <c r="AF25" s="201">
        <f t="shared" si="7"/>
        <v>0</v>
      </c>
      <c r="AG25" s="201">
        <f t="shared" si="8"/>
        <v>1</v>
      </c>
      <c r="AH25" s="202">
        <f t="shared" si="9"/>
        <v>0</v>
      </c>
      <c r="AI25" s="205"/>
    </row>
    <row r="26" spans="1:70" ht="15.75" customHeight="1">
      <c r="A26" s="187"/>
      <c r="B26" s="217">
        <v>1</v>
      </c>
      <c r="C26" s="218" t="s">
        <v>212</v>
      </c>
      <c r="D26" s="190" t="s">
        <v>58</v>
      </c>
      <c r="E26" s="190" t="s">
        <v>58</v>
      </c>
      <c r="F26" s="190" t="s">
        <v>25</v>
      </c>
      <c r="G26" s="191">
        <f>COUNTIFS(Reference!F:F,C26,Reference!G:G,"&lt;="&amp;VLOOKUP($F26,Setup!$C$9:$D$17,2,0))</f>
        <v>2</v>
      </c>
      <c r="H26" s="191">
        <f>COUNTIFS(Reference!B:B,C26,Reference!C:C,"&lt;="&amp;VLOOKUP("Warlock",Setup!$C$9:$D$17,2,0))</f>
        <v>0</v>
      </c>
      <c r="I26" s="192">
        <v>1</v>
      </c>
      <c r="J26" s="192">
        <v>1</v>
      </c>
      <c r="K26" s="190" t="s">
        <v>146</v>
      </c>
      <c r="L26" s="190"/>
      <c r="M26" s="190"/>
      <c r="N26" s="210"/>
      <c r="O26" s="193" t="s">
        <v>213</v>
      </c>
      <c r="P26" s="194"/>
      <c r="Q26" s="190" t="s">
        <v>148</v>
      </c>
      <c r="R26" s="173"/>
      <c r="S26" s="195">
        <f>MATCH($D26,Reference!$J$5:$J$9,0)</f>
        <v>1</v>
      </c>
      <c r="T26" s="195">
        <f>MATCH($E26,Reference!$J$26:$J$32,0)</f>
        <v>1</v>
      </c>
      <c r="U26" s="195">
        <f>MATCH($F26,Reference!$J$45:$J$54,0)</f>
        <v>8</v>
      </c>
      <c r="V26" s="196">
        <f>MATCH($K26,Reference!$J$37:$J$39,0)</f>
        <v>2</v>
      </c>
      <c r="W26" s="197">
        <f t="shared" si="0"/>
        <v>2</v>
      </c>
      <c r="X26" s="197">
        <f t="shared" si="1"/>
        <v>1</v>
      </c>
      <c r="Y26" s="198">
        <v>0</v>
      </c>
      <c r="Z26" s="197">
        <f t="shared" si="2"/>
        <v>2</v>
      </c>
      <c r="AA26" s="199" t="b">
        <f t="shared" si="3"/>
        <v>0</v>
      </c>
      <c r="AB26" s="199" t="b">
        <f t="shared" si="4"/>
        <v>0</v>
      </c>
      <c r="AC26" s="200">
        <f t="shared" ref="AC26:AD26" si="33">1-I26</f>
        <v>0</v>
      </c>
      <c r="AD26" s="200">
        <f t="shared" si="33"/>
        <v>0</v>
      </c>
      <c r="AE26" s="199">
        <f t="shared" si="6"/>
        <v>2</v>
      </c>
      <c r="AF26" s="201">
        <f t="shared" si="7"/>
        <v>0</v>
      </c>
      <c r="AG26" s="201">
        <f t="shared" si="8"/>
        <v>1</v>
      </c>
      <c r="AH26" s="202">
        <f t="shared" si="9"/>
        <v>0</v>
      </c>
      <c r="AI26" s="205"/>
    </row>
    <row r="27" spans="1:70" ht="15.75" customHeight="1">
      <c r="A27" s="222"/>
      <c r="B27" s="188">
        <v>1</v>
      </c>
      <c r="C27" s="189" t="s">
        <v>214</v>
      </c>
      <c r="D27" s="190" t="s">
        <v>58</v>
      </c>
      <c r="E27" s="190" t="s">
        <v>58</v>
      </c>
      <c r="F27" s="190" t="s">
        <v>115</v>
      </c>
      <c r="G27" s="215">
        <v>2</v>
      </c>
      <c r="H27" s="191">
        <f>COUNTIFS(Reference!D:D,VLOOKUP(C27,Reference!B:D,3,0),Reference!C:C,"&lt;="&amp;VLOOKUP(VLOOKUP(C27,Reference!B:D,3,0),Setup!$C$9:$D$17,2,0),Reference!B:B,C27)</f>
        <v>0</v>
      </c>
      <c r="I27" s="192">
        <v>1</v>
      </c>
      <c r="J27" s="192">
        <v>1</v>
      </c>
      <c r="K27" s="190" t="s">
        <v>182</v>
      </c>
      <c r="L27" s="190" t="s">
        <v>195</v>
      </c>
      <c r="M27" s="190">
        <v>2</v>
      </c>
      <c r="N27" s="223">
        <v>1</v>
      </c>
      <c r="O27" s="193"/>
      <c r="P27" s="194"/>
      <c r="Q27" s="190" t="s">
        <v>148</v>
      </c>
      <c r="R27" s="173"/>
      <c r="S27" s="195">
        <f>MATCH($D27,Reference!$J$5:$J$9,0)</f>
        <v>1</v>
      </c>
      <c r="T27" s="195">
        <f>MATCH($E27,Reference!$J$26:$J$32,0)</f>
        <v>1</v>
      </c>
      <c r="U27" s="195">
        <f>MATCH($F27,Reference!$J$45:$J$54,0)</f>
        <v>10</v>
      </c>
      <c r="V27" s="196">
        <f>MATCH($K27,Reference!$J$37:$J$39,0)</f>
        <v>3</v>
      </c>
      <c r="W27" s="197">
        <f t="shared" si="0"/>
        <v>2</v>
      </c>
      <c r="X27" s="197">
        <f t="shared" si="1"/>
        <v>1</v>
      </c>
      <c r="Y27" s="198">
        <v>0</v>
      </c>
      <c r="Z27" s="197">
        <f t="shared" si="2"/>
        <v>2</v>
      </c>
      <c r="AA27" s="199" t="b">
        <f t="shared" si="3"/>
        <v>0</v>
      </c>
      <c r="AB27" s="199" t="b">
        <f t="shared" si="4"/>
        <v>0</v>
      </c>
      <c r="AC27" s="200">
        <f t="shared" ref="AC27:AD27" si="34">1-I27</f>
        <v>0</v>
      </c>
      <c r="AD27" s="200">
        <f t="shared" si="34"/>
        <v>0</v>
      </c>
      <c r="AE27" s="199">
        <f t="shared" si="6"/>
        <v>2</v>
      </c>
      <c r="AF27" s="201">
        <f t="shared" si="7"/>
        <v>0</v>
      </c>
      <c r="AG27" s="201">
        <f t="shared" si="8"/>
        <v>1</v>
      </c>
      <c r="AH27" s="202">
        <f t="shared" si="9"/>
        <v>0</v>
      </c>
      <c r="AI27" s="205"/>
    </row>
    <row r="28" spans="1:70">
      <c r="A28" s="187"/>
      <c r="B28" s="188">
        <v>1</v>
      </c>
      <c r="C28" s="189" t="s">
        <v>215</v>
      </c>
      <c r="D28" s="190" t="s">
        <v>58</v>
      </c>
      <c r="E28" s="190" t="s">
        <v>58</v>
      </c>
      <c r="F28" s="190" t="s">
        <v>18</v>
      </c>
      <c r="G28" s="191">
        <f>COUNTIFS(Reference!F:F,C28,Reference!G:G,"&lt;="&amp;VLOOKUP($F28,Setup!$C$9:$D$17,2,0))</f>
        <v>2</v>
      </c>
      <c r="H28" s="191">
        <f>COUNTIFS(Reference!B:B,C28,Reference!C:C,"&lt;="&amp;VLOOKUP("Priest",Setup!$C$9:$D$17,2,0))</f>
        <v>0</v>
      </c>
      <c r="I28" s="192">
        <v>1</v>
      </c>
      <c r="J28" s="192">
        <v>1</v>
      </c>
      <c r="K28" s="191" t="s">
        <v>182</v>
      </c>
      <c r="L28" s="191"/>
      <c r="M28" s="191">
        <v>1</v>
      </c>
      <c r="N28" s="191">
        <v>3</v>
      </c>
      <c r="O28" s="193" t="s">
        <v>216</v>
      </c>
      <c r="P28" s="194"/>
      <c r="Q28" s="190" t="s">
        <v>148</v>
      </c>
      <c r="R28" s="173"/>
      <c r="S28" s="195">
        <f>MATCH($D28,Reference!$J$5:$J$9,0)</f>
        <v>1</v>
      </c>
      <c r="T28" s="195">
        <f>MATCH($E28,Reference!$J$26:$J$32,0)</f>
        <v>1</v>
      </c>
      <c r="U28" s="195">
        <f>MATCH($F28,Reference!$J$45:$J$54,0)</f>
        <v>5</v>
      </c>
      <c r="V28" s="196">
        <f>MATCH($K28,Reference!$J$37:$J$39,0)</f>
        <v>3</v>
      </c>
      <c r="W28" s="197">
        <f t="shared" si="0"/>
        <v>2</v>
      </c>
      <c r="X28" s="197">
        <f t="shared" si="1"/>
        <v>1</v>
      </c>
      <c r="Y28" s="198">
        <v>0</v>
      </c>
      <c r="Z28" s="197">
        <f t="shared" si="2"/>
        <v>2</v>
      </c>
      <c r="AA28" s="199" t="b">
        <f t="shared" si="3"/>
        <v>0</v>
      </c>
      <c r="AB28" s="199" t="b">
        <f t="shared" si="4"/>
        <v>0</v>
      </c>
      <c r="AC28" s="200">
        <f t="shared" ref="AC28:AD28" si="35">1-I28</f>
        <v>0</v>
      </c>
      <c r="AD28" s="200">
        <f t="shared" si="35"/>
        <v>0</v>
      </c>
      <c r="AE28" s="199">
        <f t="shared" si="6"/>
        <v>2</v>
      </c>
      <c r="AF28" s="201">
        <f t="shared" si="7"/>
        <v>0</v>
      </c>
      <c r="AG28" s="201">
        <f t="shared" si="8"/>
        <v>1</v>
      </c>
      <c r="AH28" s="202">
        <f t="shared" si="9"/>
        <v>0</v>
      </c>
      <c r="AI28" s="205"/>
      <c r="AJ28" s="1134" t="s">
        <v>217</v>
      </c>
      <c r="AK28" s="1102"/>
      <c r="AL28" s="1102"/>
      <c r="AM28" s="1102"/>
      <c r="AN28" s="1102"/>
      <c r="AO28" s="1102"/>
      <c r="AP28" s="1102"/>
      <c r="AQ28" s="1102"/>
      <c r="AR28" s="1102"/>
      <c r="AS28" s="1102"/>
      <c r="AT28" s="1102"/>
      <c r="AU28" s="1102"/>
      <c r="AV28" s="1102"/>
      <c r="AW28" s="1102"/>
      <c r="AX28" s="1102"/>
      <c r="AY28" s="1102"/>
      <c r="AZ28" s="1102"/>
      <c r="BA28" s="1102"/>
      <c r="BB28" s="1102"/>
      <c r="BC28" s="1102"/>
      <c r="BD28" s="1030"/>
    </row>
    <row r="29" spans="1:70" ht="15.75" customHeight="1">
      <c r="A29" s="187"/>
      <c r="B29" s="217">
        <v>1</v>
      </c>
      <c r="C29" s="218" t="s">
        <v>218</v>
      </c>
      <c r="D29" s="190" t="s">
        <v>58</v>
      </c>
      <c r="E29" s="190" t="s">
        <v>58</v>
      </c>
      <c r="F29" s="190" t="s">
        <v>18</v>
      </c>
      <c r="G29" s="191">
        <f>COUNTIFS(Reference!F:F,C29,Reference!G:G,"&lt;="&amp;VLOOKUP($F29,Setup!$C$9:$D$17,2,0))</f>
        <v>2</v>
      </c>
      <c r="H29" s="191">
        <f>COUNTIFS(Reference!B:B,C29,Reference!C:C,"&lt;="&amp;VLOOKUP("Priest",Setup!$C$9:$D$17,2,0))</f>
        <v>0</v>
      </c>
      <c r="I29" s="192">
        <v>1</v>
      </c>
      <c r="J29" s="192">
        <v>1</v>
      </c>
      <c r="K29" s="191" t="s">
        <v>146</v>
      </c>
      <c r="L29" s="191"/>
      <c r="M29" s="191"/>
      <c r="N29" s="191"/>
      <c r="O29" s="193" t="s">
        <v>219</v>
      </c>
      <c r="P29" s="194"/>
      <c r="Q29" s="190" t="s">
        <v>148</v>
      </c>
      <c r="R29" s="173"/>
      <c r="S29" s="195">
        <f>MATCH($D29,Reference!$J$5:$J$9,0)</f>
        <v>1</v>
      </c>
      <c r="T29" s="195">
        <f>MATCH($E29,Reference!$J$26:$J$32,0)</f>
        <v>1</v>
      </c>
      <c r="U29" s="195">
        <f>MATCH($F29,Reference!$J$45:$J$54,0)</f>
        <v>5</v>
      </c>
      <c r="V29" s="196">
        <f>MATCH($K29,Reference!$J$37:$J$39,0)</f>
        <v>2</v>
      </c>
      <c r="W29" s="197">
        <f t="shared" si="0"/>
        <v>2</v>
      </c>
      <c r="X29" s="197">
        <f t="shared" si="1"/>
        <v>1</v>
      </c>
      <c r="Y29" s="198">
        <v>0</v>
      </c>
      <c r="Z29" s="197">
        <f t="shared" si="2"/>
        <v>2</v>
      </c>
      <c r="AA29" s="199" t="b">
        <f t="shared" si="3"/>
        <v>0</v>
      </c>
      <c r="AB29" s="199" t="b">
        <f t="shared" si="4"/>
        <v>0</v>
      </c>
      <c r="AC29" s="200">
        <f t="shared" ref="AC29:AD29" si="36">1-I29</f>
        <v>0</v>
      </c>
      <c r="AD29" s="200">
        <f t="shared" si="36"/>
        <v>0</v>
      </c>
      <c r="AE29" s="199">
        <f t="shared" si="6"/>
        <v>2</v>
      </c>
      <c r="AF29" s="201">
        <f t="shared" si="7"/>
        <v>0</v>
      </c>
      <c r="AG29" s="201">
        <f t="shared" si="8"/>
        <v>1</v>
      </c>
      <c r="AH29" s="202">
        <f t="shared" si="9"/>
        <v>0</v>
      </c>
      <c r="AI29" s="205"/>
      <c r="AJ29" s="224" t="s">
        <v>122</v>
      </c>
      <c r="AK29" s="1133" t="s">
        <v>22</v>
      </c>
      <c r="AL29" s="1030"/>
      <c r="AM29" s="1133" t="s">
        <v>77</v>
      </c>
      <c r="AN29" s="1030"/>
      <c r="AO29" s="1133" t="s">
        <v>78</v>
      </c>
      <c r="AP29" s="1030"/>
      <c r="AQ29" s="1133" t="s">
        <v>79</v>
      </c>
      <c r="AR29" s="1030"/>
      <c r="AS29" s="1133" t="s">
        <v>80</v>
      </c>
      <c r="AT29" s="1030"/>
      <c r="AU29" s="1133" t="s">
        <v>220</v>
      </c>
      <c r="AV29" s="1030"/>
      <c r="AW29" s="1133" t="s">
        <v>82</v>
      </c>
      <c r="AX29" s="1102"/>
      <c r="AY29" s="1133" t="s">
        <v>84</v>
      </c>
      <c r="AZ29" s="1102"/>
      <c r="BA29" s="1133" t="s">
        <v>73</v>
      </c>
      <c r="BB29" s="1102"/>
      <c r="BC29" s="1133" t="s">
        <v>221</v>
      </c>
      <c r="BD29" s="1030"/>
    </row>
    <row r="30" spans="1:70" ht="15.75" customHeight="1">
      <c r="A30" s="206"/>
      <c r="B30" s="188">
        <v>1</v>
      </c>
      <c r="C30" s="189" t="s">
        <v>222</v>
      </c>
      <c r="D30" s="190" t="s">
        <v>58</v>
      </c>
      <c r="E30" s="190" t="s">
        <v>58</v>
      </c>
      <c r="F30" s="190" t="s">
        <v>21</v>
      </c>
      <c r="G30" s="191">
        <f>COUNTIFS(Reference!F:F,C30,Reference!G:G,"&lt;="&amp;VLOOKUP($F30,Setup!$C$9:$D$17,2,0))</f>
        <v>2</v>
      </c>
      <c r="H30" s="191">
        <f>COUNTIFS(Reference!B:B,C30,Reference!C:C,"&lt;="&amp;VLOOKUP("Shaman",Setup!$C$9:$D$17,2,0))</f>
        <v>0</v>
      </c>
      <c r="I30" s="192">
        <v>1</v>
      </c>
      <c r="J30" s="192">
        <v>1</v>
      </c>
      <c r="K30" s="191" t="s">
        <v>146</v>
      </c>
      <c r="L30" s="191"/>
      <c r="M30" s="191"/>
      <c r="N30" s="191"/>
      <c r="O30" s="193" t="s">
        <v>223</v>
      </c>
      <c r="P30" s="194"/>
      <c r="Q30" s="190" t="s">
        <v>148</v>
      </c>
      <c r="R30" s="173"/>
      <c r="S30" s="195">
        <f>MATCH($D30,Reference!$J$5:$J$9,0)</f>
        <v>1</v>
      </c>
      <c r="T30" s="195">
        <f>MATCH($E30,Reference!$J$26:$J$32,0)</f>
        <v>1</v>
      </c>
      <c r="U30" s="195">
        <f>MATCH($F30,Reference!$J$45:$J$54,0)</f>
        <v>7</v>
      </c>
      <c r="V30" s="196">
        <f>MATCH($K30,Reference!$J$37:$J$39,0)</f>
        <v>2</v>
      </c>
      <c r="W30" s="197">
        <f t="shared" si="0"/>
        <v>2</v>
      </c>
      <c r="X30" s="197">
        <f t="shared" si="1"/>
        <v>1</v>
      </c>
      <c r="Y30" s="198">
        <v>0</v>
      </c>
      <c r="Z30" s="197">
        <f t="shared" si="2"/>
        <v>2</v>
      </c>
      <c r="AA30" s="199" t="b">
        <f t="shared" si="3"/>
        <v>0</v>
      </c>
      <c r="AB30" s="199" t="b">
        <f t="shared" si="4"/>
        <v>0</v>
      </c>
      <c r="AC30" s="200">
        <f t="shared" ref="AC30:AD30" si="37">1-I30</f>
        <v>0</v>
      </c>
      <c r="AD30" s="200">
        <f t="shared" si="37"/>
        <v>0</v>
      </c>
      <c r="AE30" s="199">
        <f t="shared" si="6"/>
        <v>2</v>
      </c>
      <c r="AF30" s="201">
        <f t="shared" si="7"/>
        <v>0</v>
      </c>
      <c r="AG30" s="201">
        <f t="shared" si="8"/>
        <v>1</v>
      </c>
      <c r="AH30" s="202">
        <f t="shared" si="9"/>
        <v>0</v>
      </c>
      <c r="AI30" s="205"/>
      <c r="AJ30" s="225" t="s">
        <v>224</v>
      </c>
      <c r="AK30" s="226"/>
      <c r="AL30" s="227"/>
      <c r="AM30" s="226"/>
      <c r="AN30" s="227"/>
      <c r="AO30" s="228"/>
      <c r="AP30" s="227"/>
      <c r="AQ30" s="226"/>
      <c r="AR30" s="227"/>
      <c r="AS30" s="228"/>
      <c r="AT30" s="227"/>
      <c r="AU30" s="226"/>
      <c r="AV30" s="227"/>
      <c r="AW30" s="229"/>
      <c r="AX30" s="230"/>
      <c r="AY30" s="229"/>
      <c r="AZ30" s="230"/>
      <c r="BA30" s="229"/>
      <c r="BB30" s="230"/>
      <c r="BC30" s="229"/>
      <c r="BD30" s="230"/>
    </row>
    <row r="31" spans="1:70" ht="15.75" customHeight="1">
      <c r="A31" s="187"/>
      <c r="B31" s="217">
        <v>1</v>
      </c>
      <c r="C31" s="218" t="s">
        <v>225</v>
      </c>
      <c r="D31" s="190" t="s">
        <v>58</v>
      </c>
      <c r="E31" s="190" t="s">
        <v>58</v>
      </c>
      <c r="F31" s="190" t="s">
        <v>20</v>
      </c>
      <c r="G31" s="191">
        <f>COUNTIFS(Reference!F:F,C31,Reference!G:G,"&lt;="&amp;VLOOKUP($F31,Setup!$C$9:$D$17,2,0))</f>
        <v>2</v>
      </c>
      <c r="H31" s="191">
        <f>COUNTIFS(Reference!B:B,C31,Reference!C:C,"&lt;="&amp;VLOOKUP("Rogue",Setup!$C$9:$D$17,2,0))</f>
        <v>2</v>
      </c>
      <c r="I31" s="192">
        <v>1</v>
      </c>
      <c r="J31" s="192">
        <v>1</v>
      </c>
      <c r="K31" s="191" t="s">
        <v>146</v>
      </c>
      <c r="L31" s="191"/>
      <c r="M31" s="191"/>
      <c r="N31" s="191"/>
      <c r="O31" s="193" t="s">
        <v>226</v>
      </c>
      <c r="P31" s="194"/>
      <c r="Q31" s="190" t="s">
        <v>148</v>
      </c>
      <c r="R31" s="173"/>
      <c r="S31" s="195">
        <f>MATCH($D31,Reference!$J$5:$J$9,0)</f>
        <v>1</v>
      </c>
      <c r="T31" s="195">
        <f>MATCH($E31,Reference!$J$26:$J$32,0)</f>
        <v>1</v>
      </c>
      <c r="U31" s="195">
        <f>MATCH($F31,Reference!$J$45:$J$54,0)</f>
        <v>6</v>
      </c>
      <c r="V31" s="196">
        <f>MATCH($K31,Reference!$J$37:$J$39,0)</f>
        <v>2</v>
      </c>
      <c r="W31" s="197">
        <f t="shared" si="0"/>
        <v>2</v>
      </c>
      <c r="X31" s="197">
        <f t="shared" si="1"/>
        <v>1</v>
      </c>
      <c r="Y31" s="198">
        <v>0</v>
      </c>
      <c r="Z31" s="197">
        <f t="shared" si="2"/>
        <v>2</v>
      </c>
      <c r="AA31" s="199" t="b">
        <f t="shared" si="3"/>
        <v>0</v>
      </c>
      <c r="AB31" s="199" t="b">
        <f t="shared" si="4"/>
        <v>0</v>
      </c>
      <c r="AC31" s="200">
        <f t="shared" ref="AC31:AD31" si="38">1-I31</f>
        <v>0</v>
      </c>
      <c r="AD31" s="200">
        <f t="shared" si="38"/>
        <v>0</v>
      </c>
      <c r="AE31" s="199">
        <f t="shared" si="6"/>
        <v>2</v>
      </c>
      <c r="AF31" s="201">
        <f t="shared" si="7"/>
        <v>2</v>
      </c>
      <c r="AG31" s="201">
        <f t="shared" si="8"/>
        <v>1</v>
      </c>
      <c r="AH31" s="202">
        <f t="shared" si="9"/>
        <v>0</v>
      </c>
      <c r="AI31" s="205"/>
      <c r="AJ31" s="231" t="s">
        <v>58</v>
      </c>
      <c r="AK31" s="232">
        <f t="shared" ref="AK31:AL31" si="39">SUM(AO31+AM31+AQ31+AS31+AU31+AW31+AY31+BA31+BC31)</f>
        <v>133</v>
      </c>
      <c r="AL31" s="233">
        <f t="shared" si="39"/>
        <v>133</v>
      </c>
      <c r="AM31" s="232">
        <f>SUM(AM50+AM69+AM88+AM107+AM126+AM145+AM164+AM183+AM202+AM221)</f>
        <v>133</v>
      </c>
      <c r="AN31" s="232">
        <f>(AN50+AN69+AN88+AN107+AN126+AN145+AN164+AN183+AN202+AN221)</f>
        <v>133</v>
      </c>
      <c r="AO31" s="234"/>
      <c r="AP31" s="235"/>
      <c r="AQ31" s="191"/>
      <c r="AR31" s="235"/>
      <c r="AS31" s="234"/>
      <c r="AT31" s="235"/>
      <c r="AU31" s="191"/>
      <c r="AV31" s="235"/>
      <c r="AW31" s="191"/>
      <c r="AX31" s="235"/>
      <c r="AY31" s="191"/>
      <c r="AZ31" s="235"/>
      <c r="BA31" s="191"/>
      <c r="BB31" s="235"/>
      <c r="BC31" s="191"/>
      <c r="BD31" s="235"/>
    </row>
    <row r="32" spans="1:70" ht="15.75" customHeight="1">
      <c r="A32" s="206"/>
      <c r="B32" s="188">
        <v>1</v>
      </c>
      <c r="C32" s="189" t="s">
        <v>227</v>
      </c>
      <c r="D32" s="190" t="s">
        <v>58</v>
      </c>
      <c r="E32" s="190" t="s">
        <v>58</v>
      </c>
      <c r="F32" s="190" t="s">
        <v>25</v>
      </c>
      <c r="G32" s="191">
        <f>COUNTIFS(Reference!F:F,C32,Reference!G:G,"&lt;="&amp;VLOOKUP($F32,Setup!$C$9:$D$17,2,0))</f>
        <v>2</v>
      </c>
      <c r="H32" s="191">
        <f>COUNTIFS(Reference!B:B,C32,Reference!C:C,"&lt;="&amp;VLOOKUP("Warlock",Setup!$C$9:$D$17,2,0))</f>
        <v>2</v>
      </c>
      <c r="I32" s="192">
        <v>1</v>
      </c>
      <c r="J32" s="192">
        <v>1</v>
      </c>
      <c r="K32" s="191" t="s">
        <v>146</v>
      </c>
      <c r="L32" s="191"/>
      <c r="M32" s="191"/>
      <c r="N32" s="191"/>
      <c r="O32" s="193" t="s">
        <v>228</v>
      </c>
      <c r="P32" s="194"/>
      <c r="Q32" s="190" t="s">
        <v>148</v>
      </c>
      <c r="R32" s="173"/>
      <c r="S32" s="195">
        <f>MATCH($D32,Reference!$J$5:$J$9,0)</f>
        <v>1</v>
      </c>
      <c r="T32" s="195">
        <f>MATCH($E32,Reference!$J$26:$J$32,0)</f>
        <v>1</v>
      </c>
      <c r="U32" s="195">
        <f>MATCH($F32,Reference!$J$45:$J$54,0)</f>
        <v>8</v>
      </c>
      <c r="V32" s="196">
        <f>MATCH($K32,Reference!$J$37:$J$39,0)</f>
        <v>2</v>
      </c>
      <c r="W32" s="197">
        <f t="shared" si="0"/>
        <v>2</v>
      </c>
      <c r="X32" s="197">
        <f t="shared" si="1"/>
        <v>1</v>
      </c>
      <c r="Y32" s="198">
        <v>0</v>
      </c>
      <c r="Z32" s="197">
        <f t="shared" si="2"/>
        <v>2</v>
      </c>
      <c r="AA32" s="199" t="b">
        <f t="shared" si="3"/>
        <v>0</v>
      </c>
      <c r="AB32" s="199" t="b">
        <f t="shared" si="4"/>
        <v>0</v>
      </c>
      <c r="AC32" s="200">
        <f t="shared" ref="AC32:AD32" si="40">1-I32</f>
        <v>0</v>
      </c>
      <c r="AD32" s="200">
        <f t="shared" si="40"/>
        <v>0</v>
      </c>
      <c r="AE32" s="199">
        <f t="shared" si="6"/>
        <v>2</v>
      </c>
      <c r="AF32" s="201">
        <f t="shared" si="7"/>
        <v>2</v>
      </c>
      <c r="AG32" s="201">
        <f t="shared" si="8"/>
        <v>1</v>
      </c>
      <c r="AH32" s="202">
        <f t="shared" si="9"/>
        <v>0</v>
      </c>
      <c r="AI32" s="205"/>
      <c r="AJ32" s="236" t="s">
        <v>63</v>
      </c>
      <c r="AK32" s="237">
        <f t="shared" ref="AK32:AL32" si="41">SUM(AO32+AM32+AQ32+AS32+AU32+AW32+AY32+BA32+BC32)</f>
        <v>290</v>
      </c>
      <c r="AL32" s="238">
        <f t="shared" si="41"/>
        <v>291</v>
      </c>
      <c r="AM32" s="237">
        <f t="shared" ref="AM32:BD32" si="42">(AM51+AM70+AM89+AM108+AM127+AM146+AM165+AM184+AM203+AM222)</f>
        <v>93</v>
      </c>
      <c r="AN32" s="237">
        <f t="shared" si="42"/>
        <v>94</v>
      </c>
      <c r="AO32" s="239">
        <f t="shared" si="42"/>
        <v>0</v>
      </c>
      <c r="AP32" s="238">
        <f t="shared" si="42"/>
        <v>0</v>
      </c>
      <c r="AQ32" s="237">
        <f t="shared" si="42"/>
        <v>18</v>
      </c>
      <c r="AR32" s="237">
        <f t="shared" si="42"/>
        <v>18</v>
      </c>
      <c r="AS32" s="239">
        <f t="shared" si="42"/>
        <v>40</v>
      </c>
      <c r="AT32" s="238">
        <f t="shared" si="42"/>
        <v>40</v>
      </c>
      <c r="AU32" s="237">
        <f t="shared" si="42"/>
        <v>15</v>
      </c>
      <c r="AV32" s="237">
        <f t="shared" si="42"/>
        <v>15</v>
      </c>
      <c r="AW32" s="237">
        <f t="shared" si="42"/>
        <v>49</v>
      </c>
      <c r="AX32" s="238">
        <f t="shared" si="42"/>
        <v>49</v>
      </c>
      <c r="AY32" s="237">
        <f t="shared" si="42"/>
        <v>25</v>
      </c>
      <c r="AZ32" s="238">
        <f t="shared" si="42"/>
        <v>25</v>
      </c>
      <c r="BA32" s="237">
        <f t="shared" si="42"/>
        <v>50</v>
      </c>
      <c r="BB32" s="238">
        <f t="shared" si="42"/>
        <v>50</v>
      </c>
      <c r="BC32" s="237">
        <f t="shared" si="42"/>
        <v>0</v>
      </c>
      <c r="BD32" s="238">
        <f t="shared" si="42"/>
        <v>0</v>
      </c>
    </row>
    <row r="33" spans="1:56" ht="15.75" customHeight="1">
      <c r="A33" s="240"/>
      <c r="B33" s="188">
        <v>1</v>
      </c>
      <c r="C33" s="189" t="s">
        <v>229</v>
      </c>
      <c r="D33" s="190" t="s">
        <v>58</v>
      </c>
      <c r="E33" s="190" t="s">
        <v>58</v>
      </c>
      <c r="F33" s="190" t="s">
        <v>115</v>
      </c>
      <c r="G33" s="215">
        <v>2</v>
      </c>
      <c r="H33" s="191">
        <f>COUNTIFS(Reference!D:D,VLOOKUP(C33,Reference!B:D,3,0),Reference!C:C,"&lt;="&amp;VLOOKUP(VLOOKUP(C33,Reference!B:D,3,0),Setup!$C$9:$D$17,2,0),Reference!B:B,C33)</f>
        <v>0</v>
      </c>
      <c r="I33" s="192">
        <v>1</v>
      </c>
      <c r="J33" s="192">
        <v>1</v>
      </c>
      <c r="K33" s="215" t="s">
        <v>182</v>
      </c>
      <c r="L33" s="191" t="s">
        <v>230</v>
      </c>
      <c r="M33" s="215">
        <v>1</v>
      </c>
      <c r="N33" s="215">
        <v>1</v>
      </c>
      <c r="O33" s="193" t="s">
        <v>231</v>
      </c>
      <c r="P33" s="194" t="s">
        <v>232</v>
      </c>
      <c r="Q33" s="190" t="s">
        <v>148</v>
      </c>
      <c r="R33" s="173"/>
      <c r="S33" s="195">
        <f>MATCH($D33,Reference!$J$5:$J$9,0)</f>
        <v>1</v>
      </c>
      <c r="T33" s="195">
        <f>MATCH($E33,Reference!$J$26:$J$32,0)</f>
        <v>1</v>
      </c>
      <c r="U33" s="195">
        <f>MATCH($F33,Reference!$J$45:$J$54,0)</f>
        <v>10</v>
      </c>
      <c r="V33" s="196">
        <f>MATCH($K33,Reference!$J$37:$J$39,0)</f>
        <v>3</v>
      </c>
      <c r="W33" s="197">
        <f t="shared" si="0"/>
        <v>2</v>
      </c>
      <c r="X33" s="197">
        <f t="shared" si="1"/>
        <v>1</v>
      </c>
      <c r="Y33" s="198">
        <v>0</v>
      </c>
      <c r="Z33" s="197">
        <f t="shared" si="2"/>
        <v>2</v>
      </c>
      <c r="AA33" s="199" t="b">
        <f t="shared" si="3"/>
        <v>0</v>
      </c>
      <c r="AB33" s="199" t="b">
        <f t="shared" si="4"/>
        <v>0</v>
      </c>
      <c r="AC33" s="200">
        <f t="shared" ref="AC33:AD33" si="43">1-I33</f>
        <v>0</v>
      </c>
      <c r="AD33" s="200">
        <f t="shared" si="43"/>
        <v>0</v>
      </c>
      <c r="AE33" s="199">
        <f t="shared" si="6"/>
        <v>2</v>
      </c>
      <c r="AF33" s="201">
        <f t="shared" si="7"/>
        <v>0</v>
      </c>
      <c r="AG33" s="201">
        <f t="shared" si="8"/>
        <v>1</v>
      </c>
      <c r="AH33" s="202">
        <f t="shared" si="9"/>
        <v>0</v>
      </c>
      <c r="AI33" s="205"/>
      <c r="AJ33" s="241" t="s">
        <v>68</v>
      </c>
      <c r="AK33" s="242">
        <f t="shared" ref="AK33:AL33" si="44">SUM(AO33+AM33+AQ33+AS33+AU33+AW33+AY33+BA33+BC33)</f>
        <v>211</v>
      </c>
      <c r="AL33" s="243">
        <f t="shared" si="44"/>
        <v>218</v>
      </c>
      <c r="AM33" s="242">
        <f t="shared" ref="AM33:BD33" si="45">(AM52+AM71+AM90+AM109+AM128+AM147+AM166+AM185+AM204+AM223)</f>
        <v>78</v>
      </c>
      <c r="AN33" s="242">
        <f t="shared" si="45"/>
        <v>81</v>
      </c>
      <c r="AO33" s="244">
        <f t="shared" si="45"/>
        <v>0</v>
      </c>
      <c r="AP33" s="243">
        <f t="shared" si="45"/>
        <v>0</v>
      </c>
      <c r="AQ33" s="242">
        <f t="shared" si="45"/>
        <v>4</v>
      </c>
      <c r="AR33" s="242">
        <f t="shared" si="45"/>
        <v>4</v>
      </c>
      <c r="AS33" s="244">
        <f t="shared" si="45"/>
        <v>35</v>
      </c>
      <c r="AT33" s="243">
        <f t="shared" si="45"/>
        <v>37</v>
      </c>
      <c r="AU33" s="242">
        <f t="shared" si="45"/>
        <v>11</v>
      </c>
      <c r="AV33" s="242">
        <f t="shared" si="45"/>
        <v>11</v>
      </c>
      <c r="AW33" s="242">
        <f t="shared" si="45"/>
        <v>36</v>
      </c>
      <c r="AX33" s="243">
        <f t="shared" si="45"/>
        <v>36</v>
      </c>
      <c r="AY33" s="242">
        <f t="shared" si="45"/>
        <v>13</v>
      </c>
      <c r="AZ33" s="243">
        <f t="shared" si="45"/>
        <v>13</v>
      </c>
      <c r="BA33" s="242">
        <f t="shared" si="45"/>
        <v>34</v>
      </c>
      <c r="BB33" s="243">
        <f t="shared" si="45"/>
        <v>36</v>
      </c>
      <c r="BC33" s="242">
        <f t="shared" si="45"/>
        <v>0</v>
      </c>
      <c r="BD33" s="243">
        <f t="shared" si="45"/>
        <v>0</v>
      </c>
    </row>
    <row r="34" spans="1:56" ht="15.75" customHeight="1">
      <c r="A34" s="206"/>
      <c r="B34" s="188">
        <v>1</v>
      </c>
      <c r="C34" s="189" t="s">
        <v>233</v>
      </c>
      <c r="D34" s="190" t="s">
        <v>58</v>
      </c>
      <c r="E34" s="190" t="s">
        <v>58</v>
      </c>
      <c r="F34" s="190" t="s">
        <v>11</v>
      </c>
      <c r="G34" s="191">
        <f>COUNTIFS(Reference!F:F,C34,Reference!G:G,"&lt;="&amp;VLOOKUP($F34,Setup!$C$9:$D$17,2,0))</f>
        <v>2</v>
      </c>
      <c r="H34" s="191">
        <f>COUNTIFS(Reference!B:B,C34,Reference!C:C,"&lt;="&amp;VLOOKUP("Hunter",Setup!$C$9:$D$17,2,0))</f>
        <v>2</v>
      </c>
      <c r="I34" s="192">
        <v>1</v>
      </c>
      <c r="J34" s="192">
        <v>1</v>
      </c>
      <c r="K34" s="191" t="s">
        <v>182</v>
      </c>
      <c r="L34" s="191" t="s">
        <v>230</v>
      </c>
      <c r="M34" s="191">
        <v>1</v>
      </c>
      <c r="N34" s="191">
        <v>1</v>
      </c>
      <c r="O34" s="193" t="s">
        <v>234</v>
      </c>
      <c r="P34" s="194" t="s">
        <v>235</v>
      </c>
      <c r="Q34" s="190" t="s">
        <v>148</v>
      </c>
      <c r="R34" s="173"/>
      <c r="S34" s="195">
        <f>MATCH($D34,Reference!$J$5:$J$9,0)</f>
        <v>1</v>
      </c>
      <c r="T34" s="195">
        <f>MATCH($E34,Reference!$J$26:$J$32,0)</f>
        <v>1</v>
      </c>
      <c r="U34" s="195">
        <f>MATCH($F34,Reference!$J$45:$J$54,0)</f>
        <v>2</v>
      </c>
      <c r="V34" s="196">
        <f>MATCH($K34,Reference!$J$37:$J$39,0)</f>
        <v>3</v>
      </c>
      <c r="W34" s="197">
        <f t="shared" si="0"/>
        <v>2</v>
      </c>
      <c r="X34" s="197">
        <f t="shared" si="1"/>
        <v>1</v>
      </c>
      <c r="Y34" s="198">
        <v>0</v>
      </c>
      <c r="Z34" s="197">
        <f t="shared" si="2"/>
        <v>2</v>
      </c>
      <c r="AA34" s="199" t="b">
        <f t="shared" si="3"/>
        <v>0</v>
      </c>
      <c r="AB34" s="199" t="b">
        <f t="shared" si="4"/>
        <v>0</v>
      </c>
      <c r="AC34" s="200">
        <f t="shared" ref="AC34:AD34" si="46">1-I34</f>
        <v>0</v>
      </c>
      <c r="AD34" s="200">
        <f t="shared" si="46"/>
        <v>0</v>
      </c>
      <c r="AE34" s="199">
        <f t="shared" si="6"/>
        <v>2</v>
      </c>
      <c r="AF34" s="201">
        <f t="shared" si="7"/>
        <v>2</v>
      </c>
      <c r="AG34" s="201">
        <f t="shared" si="8"/>
        <v>1</v>
      </c>
      <c r="AH34" s="202">
        <f t="shared" si="9"/>
        <v>0</v>
      </c>
      <c r="AI34" s="205"/>
      <c r="AJ34" s="245" t="s">
        <v>69</v>
      </c>
      <c r="AK34" s="246">
        <f t="shared" ref="AK34:AL34" si="47">SUM(AO34+AM34+AQ34+AS34+AU34+AW34+AY34+BA34+BC34)</f>
        <v>82</v>
      </c>
      <c r="AL34" s="247">
        <f t="shared" si="47"/>
        <v>122</v>
      </c>
      <c r="AM34" s="246">
        <f t="shared" ref="AM34:BD34" si="48">(AM53+AM72+AM91+AM110+AM129+AM148+AM167+AM186+AM205+AM224)</f>
        <v>28</v>
      </c>
      <c r="AN34" s="246">
        <f t="shared" si="48"/>
        <v>37</v>
      </c>
      <c r="AO34" s="248">
        <f t="shared" si="48"/>
        <v>1</v>
      </c>
      <c r="AP34" s="247">
        <f t="shared" si="48"/>
        <v>1</v>
      </c>
      <c r="AQ34" s="246">
        <f t="shared" si="48"/>
        <v>2</v>
      </c>
      <c r="AR34" s="246">
        <f t="shared" si="48"/>
        <v>2</v>
      </c>
      <c r="AS34" s="248">
        <f t="shared" si="48"/>
        <v>17</v>
      </c>
      <c r="AT34" s="247">
        <f t="shared" si="48"/>
        <v>26</v>
      </c>
      <c r="AU34" s="246">
        <f t="shared" si="48"/>
        <v>0</v>
      </c>
      <c r="AV34" s="246">
        <f t="shared" si="48"/>
        <v>0</v>
      </c>
      <c r="AW34" s="246">
        <f t="shared" si="48"/>
        <v>20</v>
      </c>
      <c r="AX34" s="247">
        <f t="shared" si="48"/>
        <v>27</v>
      </c>
      <c r="AY34" s="246">
        <f t="shared" si="48"/>
        <v>2</v>
      </c>
      <c r="AZ34" s="247">
        <f t="shared" si="48"/>
        <v>2</v>
      </c>
      <c r="BA34" s="246">
        <f t="shared" si="48"/>
        <v>12</v>
      </c>
      <c r="BB34" s="247">
        <f t="shared" si="48"/>
        <v>27</v>
      </c>
      <c r="BC34" s="246">
        <f t="shared" si="48"/>
        <v>0</v>
      </c>
      <c r="BD34" s="247">
        <f t="shared" si="48"/>
        <v>0</v>
      </c>
    </row>
    <row r="35" spans="1:56" ht="15.75" customHeight="1">
      <c r="A35" s="187"/>
      <c r="B35" s="217">
        <v>1</v>
      </c>
      <c r="C35" s="218" t="s">
        <v>236</v>
      </c>
      <c r="D35" s="190" t="s">
        <v>58</v>
      </c>
      <c r="E35" s="190" t="s">
        <v>58</v>
      </c>
      <c r="F35" s="190" t="s">
        <v>11</v>
      </c>
      <c r="G35" s="191">
        <f>COUNTIFS(Reference!F:F,C35,Reference!G:G,"&lt;="&amp;VLOOKUP($F35,Setup!$C$9:$D$17,2,0))</f>
        <v>2</v>
      </c>
      <c r="H35" s="191">
        <f>COUNTIFS(Reference!B:B,C35,Reference!C:C,"&lt;="&amp;VLOOKUP("Hunter",Setup!$C$9:$D$17,2,0))</f>
        <v>2</v>
      </c>
      <c r="I35" s="192">
        <v>1</v>
      </c>
      <c r="J35" s="192">
        <v>1</v>
      </c>
      <c r="K35" s="191" t="s">
        <v>146</v>
      </c>
      <c r="L35" s="191"/>
      <c r="M35" s="191"/>
      <c r="N35" s="191"/>
      <c r="O35" s="193" t="s">
        <v>237</v>
      </c>
      <c r="P35" s="194"/>
      <c r="Q35" s="190" t="s">
        <v>148</v>
      </c>
      <c r="R35" s="173"/>
      <c r="S35" s="195">
        <f>MATCH($D35,Reference!$J$5:$J$9,0)</f>
        <v>1</v>
      </c>
      <c r="T35" s="195">
        <f>MATCH($E35,Reference!$J$26:$J$32,0)</f>
        <v>1</v>
      </c>
      <c r="U35" s="195">
        <f>MATCH($F35,Reference!$J$45:$J$54,0)</f>
        <v>2</v>
      </c>
      <c r="V35" s="196">
        <f>MATCH($K35,Reference!$J$37:$J$39,0)</f>
        <v>2</v>
      </c>
      <c r="W35" s="197">
        <f t="shared" si="0"/>
        <v>2</v>
      </c>
      <c r="X35" s="197">
        <f t="shared" si="1"/>
        <v>1</v>
      </c>
      <c r="Y35" s="198">
        <v>0</v>
      </c>
      <c r="Z35" s="197">
        <f t="shared" si="2"/>
        <v>2</v>
      </c>
      <c r="AA35" s="199" t="b">
        <f t="shared" si="3"/>
        <v>0</v>
      </c>
      <c r="AB35" s="199" t="b">
        <f t="shared" si="4"/>
        <v>0</v>
      </c>
      <c r="AC35" s="200">
        <f t="shared" ref="AC35:AD35" si="49">1-I35</f>
        <v>0</v>
      </c>
      <c r="AD35" s="200">
        <f t="shared" si="49"/>
        <v>0</v>
      </c>
      <c r="AE35" s="199">
        <f t="shared" si="6"/>
        <v>2</v>
      </c>
      <c r="AF35" s="201">
        <f t="shared" si="7"/>
        <v>2</v>
      </c>
      <c r="AG35" s="201">
        <f t="shared" si="8"/>
        <v>1</v>
      </c>
      <c r="AH35" s="202">
        <f t="shared" si="9"/>
        <v>0</v>
      </c>
      <c r="AI35" s="205"/>
      <c r="AJ35" s="249" t="s">
        <v>70</v>
      </c>
      <c r="AK35" s="250">
        <f t="shared" ref="AK35:AL35" si="50">SUM(AO35+AM35+AQ35+AS35+AU35+AW35+AY35+BA35+BC35)</f>
        <v>60</v>
      </c>
      <c r="AL35" s="251">
        <f t="shared" si="50"/>
        <v>113</v>
      </c>
      <c r="AM35" s="250">
        <f t="shared" ref="AM35:BD35" si="51">(AM54+AM73+AM92+AM111+AM130+AM149+AM168+AM187+AM206+AM225)</f>
        <v>20</v>
      </c>
      <c r="AN35" s="250">
        <f t="shared" si="51"/>
        <v>33</v>
      </c>
      <c r="AO35" s="252">
        <f t="shared" si="51"/>
        <v>2</v>
      </c>
      <c r="AP35" s="251">
        <f t="shared" si="51"/>
        <v>3</v>
      </c>
      <c r="AQ35" s="250">
        <f t="shared" si="51"/>
        <v>6</v>
      </c>
      <c r="AR35" s="250">
        <f t="shared" si="51"/>
        <v>6</v>
      </c>
      <c r="AS35" s="252">
        <f t="shared" si="51"/>
        <v>5</v>
      </c>
      <c r="AT35" s="251">
        <f t="shared" si="51"/>
        <v>20</v>
      </c>
      <c r="AU35" s="250">
        <f t="shared" si="51"/>
        <v>5</v>
      </c>
      <c r="AV35" s="250">
        <f t="shared" si="51"/>
        <v>5</v>
      </c>
      <c r="AW35" s="250">
        <f t="shared" si="51"/>
        <v>10</v>
      </c>
      <c r="AX35" s="251">
        <f t="shared" si="51"/>
        <v>20</v>
      </c>
      <c r="AY35" s="250">
        <f t="shared" si="51"/>
        <v>5</v>
      </c>
      <c r="AZ35" s="251">
        <f t="shared" si="51"/>
        <v>5</v>
      </c>
      <c r="BA35" s="250">
        <f t="shared" si="51"/>
        <v>7</v>
      </c>
      <c r="BB35" s="251">
        <f t="shared" si="51"/>
        <v>21</v>
      </c>
      <c r="BC35" s="250">
        <f t="shared" si="51"/>
        <v>0</v>
      </c>
      <c r="BD35" s="251">
        <f t="shared" si="51"/>
        <v>0</v>
      </c>
    </row>
    <row r="36" spans="1:56" ht="15.75" customHeight="1">
      <c r="A36" s="187"/>
      <c r="B36" s="188">
        <v>1</v>
      </c>
      <c r="C36" s="189" t="s">
        <v>238</v>
      </c>
      <c r="D36" s="190" t="s">
        <v>58</v>
      </c>
      <c r="E36" s="190" t="s">
        <v>58</v>
      </c>
      <c r="F36" s="190" t="s">
        <v>25</v>
      </c>
      <c r="G36" s="191">
        <f>COUNTIFS(Reference!F:F,C36,Reference!G:G,"&lt;="&amp;VLOOKUP($F36,Setup!$C$9:$D$17,2,0))</f>
        <v>2</v>
      </c>
      <c r="H36" s="191">
        <f>COUNTIFS(Reference!B:B,C36,Reference!C:C,"&lt;="&amp;VLOOKUP("Warlock",Setup!$C$9:$D$17,2,0))</f>
        <v>0</v>
      </c>
      <c r="I36" s="192">
        <v>1</v>
      </c>
      <c r="J36" s="192">
        <v>1</v>
      </c>
      <c r="K36" s="191" t="s">
        <v>182</v>
      </c>
      <c r="L36" s="191" t="s">
        <v>239</v>
      </c>
      <c r="M36" s="191">
        <v>1</v>
      </c>
      <c r="N36" s="191">
        <v>3</v>
      </c>
      <c r="O36" s="193" t="s">
        <v>192</v>
      </c>
      <c r="P36" s="194" t="s">
        <v>193</v>
      </c>
      <c r="Q36" s="190" t="s">
        <v>148</v>
      </c>
      <c r="R36" s="173"/>
      <c r="S36" s="195">
        <f>MATCH($D36,Reference!$J$5:$J$9,0)</f>
        <v>1</v>
      </c>
      <c r="T36" s="195">
        <f>MATCH($E36,Reference!$J$26:$J$32,0)</f>
        <v>1</v>
      </c>
      <c r="U36" s="195">
        <f>MATCH($F36,Reference!$J$45:$J$54,0)</f>
        <v>8</v>
      </c>
      <c r="V36" s="196">
        <f>MATCH($K36,Reference!$J$37:$J$39,0)</f>
        <v>3</v>
      </c>
      <c r="W36" s="197">
        <f t="shared" si="0"/>
        <v>2</v>
      </c>
      <c r="X36" s="197">
        <f t="shared" si="1"/>
        <v>1</v>
      </c>
      <c r="Y36" s="198">
        <v>0</v>
      </c>
      <c r="Z36" s="197">
        <f t="shared" si="2"/>
        <v>2</v>
      </c>
      <c r="AA36" s="199" t="b">
        <f t="shared" si="3"/>
        <v>0</v>
      </c>
      <c r="AB36" s="199" t="b">
        <f t="shared" si="4"/>
        <v>0</v>
      </c>
      <c r="AC36" s="200">
        <f t="shared" ref="AC36:AD36" si="52">1-I36</f>
        <v>0</v>
      </c>
      <c r="AD36" s="200">
        <f t="shared" si="52"/>
        <v>0</v>
      </c>
      <c r="AE36" s="199">
        <f t="shared" si="6"/>
        <v>2</v>
      </c>
      <c r="AF36" s="201">
        <f t="shared" si="7"/>
        <v>0</v>
      </c>
      <c r="AG36" s="201">
        <f t="shared" si="8"/>
        <v>1</v>
      </c>
      <c r="AH36" s="202">
        <f t="shared" si="9"/>
        <v>0</v>
      </c>
      <c r="AI36" s="205"/>
      <c r="AJ36" s="253" t="s">
        <v>240</v>
      </c>
      <c r="AK36" s="229"/>
      <c r="AL36" s="230"/>
      <c r="AM36" s="229"/>
      <c r="AN36" s="230"/>
      <c r="AO36" s="254"/>
      <c r="AP36" s="255"/>
      <c r="AQ36" s="229"/>
      <c r="AR36" s="230"/>
      <c r="AS36" s="254"/>
      <c r="AT36" s="255"/>
      <c r="AU36" s="229"/>
      <c r="AV36" s="230"/>
      <c r="AW36" s="229"/>
      <c r="AX36" s="230"/>
      <c r="AY36" s="229"/>
      <c r="AZ36" s="230"/>
      <c r="BA36" s="229"/>
      <c r="BB36" s="230"/>
      <c r="BC36" s="229"/>
      <c r="BD36" s="230"/>
    </row>
    <row r="37" spans="1:56" ht="15.75" customHeight="1">
      <c r="A37" s="187"/>
      <c r="B37" s="188">
        <v>1</v>
      </c>
      <c r="C37" s="189" t="s">
        <v>241</v>
      </c>
      <c r="D37" s="190" t="s">
        <v>58</v>
      </c>
      <c r="E37" s="190" t="s">
        <v>58</v>
      </c>
      <c r="F37" s="190" t="s">
        <v>115</v>
      </c>
      <c r="G37" s="215">
        <v>2</v>
      </c>
      <c r="H37" s="191">
        <f>COUNTIFS(Reference!D:D,VLOOKUP(C37,Reference!B:D,3,0),Reference!C:C,"&lt;="&amp;VLOOKUP(VLOOKUP(C37,Reference!B:D,3,0),Setup!$C$9:$D$17,2,0),Reference!B:B,C37)</f>
        <v>0</v>
      </c>
      <c r="I37" s="192">
        <v>1</v>
      </c>
      <c r="J37" s="192">
        <v>1</v>
      </c>
      <c r="K37" s="215" t="s">
        <v>182</v>
      </c>
      <c r="L37" s="191"/>
      <c r="M37" s="215">
        <v>2</v>
      </c>
      <c r="N37" s="215">
        <v>1</v>
      </c>
      <c r="O37" s="193" t="s">
        <v>242</v>
      </c>
      <c r="P37" s="194" t="s">
        <v>184</v>
      </c>
      <c r="Q37" s="190" t="s">
        <v>148</v>
      </c>
      <c r="R37" s="173"/>
      <c r="S37" s="195">
        <f>MATCH($D37,Reference!$J$5:$J$9,0)</f>
        <v>1</v>
      </c>
      <c r="T37" s="195">
        <f>MATCH($E37,Reference!$J$26:$J$32,0)</f>
        <v>1</v>
      </c>
      <c r="U37" s="195">
        <f>MATCH($F37,Reference!$J$45:$J$54,0)</f>
        <v>10</v>
      </c>
      <c r="V37" s="196">
        <f>MATCH($K37,Reference!$J$37:$J$39,0)</f>
        <v>3</v>
      </c>
      <c r="W37" s="197">
        <f t="shared" si="0"/>
        <v>2</v>
      </c>
      <c r="X37" s="197">
        <f t="shared" si="1"/>
        <v>1</v>
      </c>
      <c r="Y37" s="198">
        <v>0</v>
      </c>
      <c r="Z37" s="197">
        <f t="shared" si="2"/>
        <v>2</v>
      </c>
      <c r="AA37" s="199" t="b">
        <f t="shared" si="3"/>
        <v>0</v>
      </c>
      <c r="AB37" s="199" t="b">
        <f t="shared" si="4"/>
        <v>0</v>
      </c>
      <c r="AC37" s="200">
        <f t="shared" ref="AC37:AD37" si="53">1-I37</f>
        <v>0</v>
      </c>
      <c r="AD37" s="200">
        <f t="shared" si="53"/>
        <v>0</v>
      </c>
      <c r="AE37" s="199">
        <f t="shared" si="6"/>
        <v>2</v>
      </c>
      <c r="AF37" s="201">
        <f t="shared" si="7"/>
        <v>0</v>
      </c>
      <c r="AG37" s="201">
        <f t="shared" si="8"/>
        <v>1</v>
      </c>
      <c r="AH37" s="202">
        <f t="shared" si="9"/>
        <v>0</v>
      </c>
      <c r="AI37" s="205"/>
      <c r="AJ37" s="231" t="s">
        <v>58</v>
      </c>
      <c r="AK37" s="232">
        <f t="shared" ref="AK37:AL37" si="54">SUM(AO37+AM37+AQ37+AS37+AU37+AW37+AY37+BA37+BC37)</f>
        <v>266</v>
      </c>
      <c r="AL37" s="233">
        <f t="shared" si="54"/>
        <v>266</v>
      </c>
      <c r="AM37" s="232">
        <f t="shared" ref="AM37:AN37" si="55">(AM56+AM75+AM94+AM113+AM132+AM151+AM170+AM189+AM208+AM227)</f>
        <v>266</v>
      </c>
      <c r="AN37" s="232">
        <f t="shared" si="55"/>
        <v>266</v>
      </c>
      <c r="AO37" s="234"/>
      <c r="AP37" s="235"/>
      <c r="AQ37" s="191"/>
      <c r="AR37" s="191"/>
      <c r="AS37" s="234"/>
      <c r="AT37" s="235"/>
      <c r="AU37" s="191"/>
      <c r="AV37" s="191"/>
      <c r="AW37" s="191"/>
      <c r="AX37" s="235"/>
      <c r="AY37" s="191"/>
      <c r="AZ37" s="235"/>
      <c r="BA37" s="191"/>
      <c r="BB37" s="235"/>
      <c r="BC37" s="191"/>
      <c r="BD37" s="235"/>
    </row>
    <row r="38" spans="1:56" ht="15.75" customHeight="1">
      <c r="A38" s="209"/>
      <c r="B38" s="217">
        <v>1</v>
      </c>
      <c r="C38" s="218" t="s">
        <v>243</v>
      </c>
      <c r="D38" s="190" t="s">
        <v>58</v>
      </c>
      <c r="E38" s="190" t="s">
        <v>58</v>
      </c>
      <c r="F38" s="190" t="s">
        <v>26</v>
      </c>
      <c r="G38" s="191">
        <f>COUNTIFS(Reference!F:F,C38,Reference!G:G,"&lt;="&amp;VLOOKUP($F38,Setup!$C$9:$D$17,2,0))</f>
        <v>2</v>
      </c>
      <c r="H38" s="191">
        <f>COUNTIFS(Reference!B:B,C38,Reference!C:C,"&lt;="&amp;VLOOKUP("Warrior",Setup!$C$9:$D$17,2,0))</f>
        <v>2</v>
      </c>
      <c r="I38" s="192">
        <v>1</v>
      </c>
      <c r="J38" s="192">
        <v>1</v>
      </c>
      <c r="K38" s="191" t="s">
        <v>146</v>
      </c>
      <c r="L38" s="191"/>
      <c r="M38" s="191"/>
      <c r="N38" s="191"/>
      <c r="O38" s="193" t="s">
        <v>244</v>
      </c>
      <c r="P38" s="194"/>
      <c r="Q38" s="190" t="s">
        <v>148</v>
      </c>
      <c r="R38" s="173"/>
      <c r="S38" s="195">
        <f>MATCH($D38,Reference!$J$5:$J$9,0)</f>
        <v>1</v>
      </c>
      <c r="T38" s="195">
        <f>MATCH($E38,Reference!$J$26:$J$32,0)</f>
        <v>1</v>
      </c>
      <c r="U38" s="195">
        <f>MATCH($F38,Reference!$J$45:$J$54,0)</f>
        <v>9</v>
      </c>
      <c r="V38" s="196">
        <f>MATCH($K38,Reference!$J$37:$J$39,0)</f>
        <v>2</v>
      </c>
      <c r="W38" s="197">
        <f t="shared" si="0"/>
        <v>2</v>
      </c>
      <c r="X38" s="197">
        <f t="shared" si="1"/>
        <v>1</v>
      </c>
      <c r="Y38" s="198">
        <v>0</v>
      </c>
      <c r="Z38" s="197">
        <f t="shared" si="2"/>
        <v>2</v>
      </c>
      <c r="AA38" s="199" t="b">
        <f t="shared" si="3"/>
        <v>0</v>
      </c>
      <c r="AB38" s="199" t="b">
        <f t="shared" si="4"/>
        <v>0</v>
      </c>
      <c r="AC38" s="200">
        <f t="shared" ref="AC38:AD38" si="56">1-I38</f>
        <v>0</v>
      </c>
      <c r="AD38" s="200">
        <f t="shared" si="56"/>
        <v>0</v>
      </c>
      <c r="AE38" s="199">
        <f t="shared" si="6"/>
        <v>2</v>
      </c>
      <c r="AF38" s="201">
        <f t="shared" si="7"/>
        <v>2</v>
      </c>
      <c r="AG38" s="201">
        <f t="shared" si="8"/>
        <v>1</v>
      </c>
      <c r="AH38" s="202">
        <f t="shared" si="9"/>
        <v>0</v>
      </c>
      <c r="AI38" s="205"/>
      <c r="AJ38" s="256" t="s">
        <v>63</v>
      </c>
      <c r="AK38" s="237">
        <f t="shared" ref="AK38:AL38" si="57">SUM(AO38+AM38+AQ38+AS38+AU38+AW38+AY38+BA38+BC38)</f>
        <v>578</v>
      </c>
      <c r="AL38" s="238">
        <f t="shared" si="57"/>
        <v>582</v>
      </c>
      <c r="AM38" s="237">
        <f t="shared" ref="AM38:BD38" si="58">(AM57+AM76+AM95+AM114+AM133+AM152+AM171+AM190+AM209+AM228)</f>
        <v>186</v>
      </c>
      <c r="AN38" s="237">
        <f t="shared" si="58"/>
        <v>188</v>
      </c>
      <c r="AO38" s="239">
        <f t="shared" si="58"/>
        <v>0</v>
      </c>
      <c r="AP38" s="238">
        <f t="shared" si="58"/>
        <v>0</v>
      </c>
      <c r="AQ38" s="237">
        <f t="shared" si="58"/>
        <v>36</v>
      </c>
      <c r="AR38" s="237">
        <f t="shared" si="58"/>
        <v>36</v>
      </c>
      <c r="AS38" s="239">
        <f t="shared" si="58"/>
        <v>79</v>
      </c>
      <c r="AT38" s="238">
        <f t="shared" si="58"/>
        <v>80</v>
      </c>
      <c r="AU38" s="237">
        <f t="shared" si="58"/>
        <v>30</v>
      </c>
      <c r="AV38" s="237">
        <f t="shared" si="58"/>
        <v>30</v>
      </c>
      <c r="AW38" s="237">
        <f t="shared" si="58"/>
        <v>98</v>
      </c>
      <c r="AX38" s="238">
        <f t="shared" si="58"/>
        <v>98</v>
      </c>
      <c r="AY38" s="237">
        <f t="shared" si="58"/>
        <v>50</v>
      </c>
      <c r="AZ38" s="238">
        <f t="shared" si="58"/>
        <v>50</v>
      </c>
      <c r="BA38" s="237">
        <f t="shared" si="58"/>
        <v>99</v>
      </c>
      <c r="BB38" s="238">
        <f t="shared" si="58"/>
        <v>100</v>
      </c>
      <c r="BC38" s="237">
        <f t="shared" si="58"/>
        <v>0</v>
      </c>
      <c r="BD38" s="238">
        <f t="shared" si="58"/>
        <v>0</v>
      </c>
    </row>
    <row r="39" spans="1:56" ht="15.75" customHeight="1">
      <c r="A39" s="187"/>
      <c r="B39" s="188">
        <v>2</v>
      </c>
      <c r="C39" s="189" t="s">
        <v>245</v>
      </c>
      <c r="D39" s="190" t="s">
        <v>58</v>
      </c>
      <c r="E39" s="190" t="s">
        <v>58</v>
      </c>
      <c r="F39" s="190" t="s">
        <v>115</v>
      </c>
      <c r="G39" s="215">
        <v>2</v>
      </c>
      <c r="H39" s="191">
        <f>COUNTIFS(Reference!D:D,VLOOKUP(C39,Reference!B:D,3,0),Reference!C:C,"&lt;="&amp;VLOOKUP(VLOOKUP(C39,Reference!B:D,3,0),Setup!$C$9:$D$17,2,0),Reference!B:B,C39)</f>
        <v>0</v>
      </c>
      <c r="I39" s="192">
        <v>1</v>
      </c>
      <c r="J39" s="192">
        <v>1</v>
      </c>
      <c r="K39" s="215" t="s">
        <v>182</v>
      </c>
      <c r="L39" s="191"/>
      <c r="M39" s="215">
        <v>3</v>
      </c>
      <c r="N39" s="215">
        <v>2</v>
      </c>
      <c r="O39" s="193" t="s">
        <v>246</v>
      </c>
      <c r="P39" s="194" t="s">
        <v>184</v>
      </c>
      <c r="Q39" s="190" t="s">
        <v>148</v>
      </c>
      <c r="R39" s="173"/>
      <c r="S39" s="195">
        <f>MATCH($D39,Reference!$J$5:$J$9,0)</f>
        <v>1</v>
      </c>
      <c r="T39" s="195">
        <f>MATCH($E39,Reference!$J$26:$J$32,0)</f>
        <v>1</v>
      </c>
      <c r="U39" s="195">
        <f>MATCH($F39,Reference!$J$45:$J$54,0)</f>
        <v>10</v>
      </c>
      <c r="V39" s="196">
        <f>MATCH($K39,Reference!$J$37:$J$39,0)</f>
        <v>3</v>
      </c>
      <c r="W39" s="197">
        <f t="shared" si="0"/>
        <v>2</v>
      </c>
      <c r="X39" s="197">
        <f t="shared" si="1"/>
        <v>1</v>
      </c>
      <c r="Y39" s="198">
        <v>0</v>
      </c>
      <c r="Z39" s="197">
        <f t="shared" si="2"/>
        <v>2</v>
      </c>
      <c r="AA39" s="199" t="b">
        <f t="shared" si="3"/>
        <v>0</v>
      </c>
      <c r="AB39" s="199" t="b">
        <f t="shared" si="4"/>
        <v>0</v>
      </c>
      <c r="AC39" s="200">
        <f t="shared" ref="AC39:AD39" si="59">1-I39</f>
        <v>0</v>
      </c>
      <c r="AD39" s="200">
        <f t="shared" si="59"/>
        <v>0</v>
      </c>
      <c r="AE39" s="199">
        <f t="shared" si="6"/>
        <v>2</v>
      </c>
      <c r="AF39" s="201">
        <f t="shared" si="7"/>
        <v>0</v>
      </c>
      <c r="AG39" s="201">
        <f t="shared" si="8"/>
        <v>1</v>
      </c>
      <c r="AH39" s="202">
        <f t="shared" si="9"/>
        <v>0</v>
      </c>
      <c r="AI39" s="205"/>
      <c r="AJ39" s="257" t="s">
        <v>68</v>
      </c>
      <c r="AK39" s="242">
        <f t="shared" ref="AK39:AL39" si="60">SUM(AO39+AM39+AQ39+AS39+AU39+AW39+AY39+BA39+BC39)</f>
        <v>402</v>
      </c>
      <c r="AL39" s="243">
        <f t="shared" si="60"/>
        <v>436</v>
      </c>
      <c r="AM39" s="242">
        <f t="shared" ref="AM39:BD39" si="61">(AM58+AM77+AM96+AM115+AM134+AM153+AM172+AM191+AM210+AM229)</f>
        <v>152</v>
      </c>
      <c r="AN39" s="242">
        <f t="shared" si="61"/>
        <v>162</v>
      </c>
      <c r="AO39" s="244">
        <f t="shared" si="61"/>
        <v>0</v>
      </c>
      <c r="AP39" s="243">
        <f t="shared" si="61"/>
        <v>0</v>
      </c>
      <c r="AQ39" s="242">
        <f t="shared" si="61"/>
        <v>8</v>
      </c>
      <c r="AR39" s="242">
        <f t="shared" si="61"/>
        <v>8</v>
      </c>
      <c r="AS39" s="244">
        <f t="shared" si="61"/>
        <v>61</v>
      </c>
      <c r="AT39" s="243">
        <f t="shared" si="61"/>
        <v>74</v>
      </c>
      <c r="AU39" s="242">
        <f t="shared" si="61"/>
        <v>22</v>
      </c>
      <c r="AV39" s="242">
        <f t="shared" si="61"/>
        <v>22</v>
      </c>
      <c r="AW39" s="242">
        <f t="shared" si="61"/>
        <v>71</v>
      </c>
      <c r="AX39" s="243">
        <f t="shared" si="61"/>
        <v>72</v>
      </c>
      <c r="AY39" s="242">
        <f t="shared" si="61"/>
        <v>26</v>
      </c>
      <c r="AZ39" s="243">
        <f t="shared" si="61"/>
        <v>26</v>
      </c>
      <c r="BA39" s="242">
        <f t="shared" si="61"/>
        <v>62</v>
      </c>
      <c r="BB39" s="243">
        <f t="shared" si="61"/>
        <v>72</v>
      </c>
      <c r="BC39" s="242">
        <f t="shared" si="61"/>
        <v>0</v>
      </c>
      <c r="BD39" s="243">
        <f t="shared" si="61"/>
        <v>0</v>
      </c>
    </row>
    <row r="40" spans="1:56" ht="15.75" customHeight="1">
      <c r="A40" s="209"/>
      <c r="B40" s="217">
        <v>2</v>
      </c>
      <c r="C40" s="218" t="s">
        <v>247</v>
      </c>
      <c r="D40" s="190" t="s">
        <v>58</v>
      </c>
      <c r="E40" s="190" t="s">
        <v>58</v>
      </c>
      <c r="F40" s="190" t="s">
        <v>13</v>
      </c>
      <c r="G40" s="191">
        <f>COUNTIFS(Reference!F:F,C40,Reference!G:G,"&lt;="&amp;VLOOKUP($F40,Setup!$C$9:$D$17,2,0))</f>
        <v>2</v>
      </c>
      <c r="H40" s="191">
        <f>COUNTIFS(Reference!B:B,C40,Reference!C:C,"&lt;="&amp;VLOOKUP("Mage",Setup!$C$9:$D$17,2,0))</f>
        <v>2</v>
      </c>
      <c r="I40" s="192">
        <v>1</v>
      </c>
      <c r="J40" s="192">
        <v>1</v>
      </c>
      <c r="K40" s="191" t="s">
        <v>146</v>
      </c>
      <c r="L40" s="191"/>
      <c r="M40" s="191"/>
      <c r="N40" s="191"/>
      <c r="O40" s="193" t="s">
        <v>248</v>
      </c>
      <c r="P40" s="194"/>
      <c r="Q40" s="190" t="s">
        <v>148</v>
      </c>
      <c r="R40" s="173"/>
      <c r="S40" s="195">
        <f>MATCH($D40,Reference!$J$5:$J$9,0)</f>
        <v>1</v>
      </c>
      <c r="T40" s="195">
        <f>MATCH($E40,Reference!$J$26:$J$32,0)</f>
        <v>1</v>
      </c>
      <c r="U40" s="195">
        <f>MATCH($F40,Reference!$J$45:$J$54,0)</f>
        <v>3</v>
      </c>
      <c r="V40" s="196">
        <f>MATCH($K40,Reference!$J$37:$J$39,0)</f>
        <v>2</v>
      </c>
      <c r="W40" s="197">
        <f t="shared" si="0"/>
        <v>2</v>
      </c>
      <c r="X40" s="197">
        <f t="shared" si="1"/>
        <v>1</v>
      </c>
      <c r="Y40" s="198">
        <v>0</v>
      </c>
      <c r="Z40" s="197">
        <f t="shared" si="2"/>
        <v>2</v>
      </c>
      <c r="AA40" s="199" t="b">
        <f t="shared" si="3"/>
        <v>0</v>
      </c>
      <c r="AB40" s="199" t="b">
        <f t="shared" si="4"/>
        <v>0</v>
      </c>
      <c r="AC40" s="200">
        <f t="shared" ref="AC40:AD40" si="62">1-I40</f>
        <v>0</v>
      </c>
      <c r="AD40" s="200">
        <f t="shared" si="62"/>
        <v>0</v>
      </c>
      <c r="AE40" s="199">
        <f t="shared" si="6"/>
        <v>2</v>
      </c>
      <c r="AF40" s="201">
        <f t="shared" si="7"/>
        <v>2</v>
      </c>
      <c r="AG40" s="201">
        <f t="shared" si="8"/>
        <v>1</v>
      </c>
      <c r="AH40" s="202">
        <f t="shared" si="9"/>
        <v>0</v>
      </c>
      <c r="AI40" s="205"/>
      <c r="AJ40" s="258" t="s">
        <v>69</v>
      </c>
      <c r="AK40" s="246">
        <f t="shared" ref="AK40:AL40" si="63">SUM(AO40+AM40+AQ40+AS40+AU40+AW40+AY40+BA40+BC40)</f>
        <v>131</v>
      </c>
      <c r="AL40" s="247">
        <f t="shared" si="63"/>
        <v>244</v>
      </c>
      <c r="AM40" s="246">
        <f t="shared" ref="AM40:BD40" si="64">(AM59+AM78+AM97+AM116+AM135+AM154+AM173+AM192+AM211+AM230)</f>
        <v>48</v>
      </c>
      <c r="AN40" s="246">
        <f t="shared" si="64"/>
        <v>74</v>
      </c>
      <c r="AO40" s="248">
        <f t="shared" si="64"/>
        <v>2</v>
      </c>
      <c r="AP40" s="247">
        <f t="shared" si="64"/>
        <v>2</v>
      </c>
      <c r="AQ40" s="246">
        <f t="shared" si="64"/>
        <v>4</v>
      </c>
      <c r="AR40" s="246">
        <f t="shared" si="64"/>
        <v>4</v>
      </c>
      <c r="AS40" s="248">
        <f t="shared" si="64"/>
        <v>24</v>
      </c>
      <c r="AT40" s="247">
        <f t="shared" si="64"/>
        <v>52</v>
      </c>
      <c r="AU40" s="246">
        <f t="shared" si="64"/>
        <v>0</v>
      </c>
      <c r="AV40" s="246">
        <f t="shared" si="64"/>
        <v>0</v>
      </c>
      <c r="AW40" s="246">
        <f t="shared" si="64"/>
        <v>33</v>
      </c>
      <c r="AX40" s="247">
        <f t="shared" si="64"/>
        <v>54</v>
      </c>
      <c r="AY40" s="246">
        <f t="shared" si="64"/>
        <v>4</v>
      </c>
      <c r="AZ40" s="247">
        <f t="shared" si="64"/>
        <v>4</v>
      </c>
      <c r="BA40" s="246">
        <f t="shared" si="64"/>
        <v>16</v>
      </c>
      <c r="BB40" s="247">
        <f t="shared" si="64"/>
        <v>54</v>
      </c>
      <c r="BC40" s="246">
        <f t="shared" si="64"/>
        <v>0</v>
      </c>
      <c r="BD40" s="247">
        <f t="shared" si="64"/>
        <v>0</v>
      </c>
    </row>
    <row r="41" spans="1:56" ht="15.75" customHeight="1">
      <c r="A41" s="187"/>
      <c r="B41" s="188">
        <v>2</v>
      </c>
      <c r="C41" s="189" t="s">
        <v>249</v>
      </c>
      <c r="D41" s="190" t="s">
        <v>58</v>
      </c>
      <c r="E41" s="190" t="s">
        <v>58</v>
      </c>
      <c r="F41" s="190" t="s">
        <v>115</v>
      </c>
      <c r="G41" s="215">
        <v>2</v>
      </c>
      <c r="H41" s="191">
        <f>COUNTIFS(Reference!D:D,VLOOKUP(C41,Reference!B:D,3,0),Reference!C:C,"&lt;="&amp;VLOOKUP(VLOOKUP(C41,Reference!B:D,3,0),Setup!$C$9:$D$17,2,0),Reference!B:B,C41)</f>
        <v>0</v>
      </c>
      <c r="I41" s="192">
        <v>1</v>
      </c>
      <c r="J41" s="192">
        <v>1</v>
      </c>
      <c r="K41" s="215" t="s">
        <v>182</v>
      </c>
      <c r="L41" s="191" t="s">
        <v>230</v>
      </c>
      <c r="M41" s="215">
        <v>3</v>
      </c>
      <c r="N41" s="215">
        <v>2</v>
      </c>
      <c r="O41" s="193"/>
      <c r="P41" s="194"/>
      <c r="Q41" s="190" t="s">
        <v>148</v>
      </c>
      <c r="R41" s="173"/>
      <c r="S41" s="195">
        <f>MATCH($D41,Reference!$J$5:$J$9,0)</f>
        <v>1</v>
      </c>
      <c r="T41" s="195">
        <f>MATCH($E41,Reference!$J$26:$J$32,0)</f>
        <v>1</v>
      </c>
      <c r="U41" s="195">
        <f>MATCH($F41,Reference!$J$45:$J$54,0)</f>
        <v>10</v>
      </c>
      <c r="V41" s="196">
        <f>MATCH($K41,Reference!$J$37:$J$39,0)</f>
        <v>3</v>
      </c>
      <c r="W41" s="197">
        <f t="shared" si="0"/>
        <v>2</v>
      </c>
      <c r="X41" s="197">
        <f t="shared" si="1"/>
        <v>1</v>
      </c>
      <c r="Y41" s="198">
        <v>0</v>
      </c>
      <c r="Z41" s="197">
        <f t="shared" si="2"/>
        <v>2</v>
      </c>
      <c r="AA41" s="199" t="b">
        <f t="shared" si="3"/>
        <v>0</v>
      </c>
      <c r="AB41" s="199" t="b">
        <f t="shared" si="4"/>
        <v>0</v>
      </c>
      <c r="AC41" s="200">
        <f t="shared" ref="AC41:AD41" si="65">1-I41</f>
        <v>0</v>
      </c>
      <c r="AD41" s="200">
        <f t="shared" si="65"/>
        <v>0</v>
      </c>
      <c r="AE41" s="199">
        <f t="shared" si="6"/>
        <v>2</v>
      </c>
      <c r="AF41" s="201">
        <f t="shared" si="7"/>
        <v>0</v>
      </c>
      <c r="AG41" s="201">
        <f t="shared" si="8"/>
        <v>1</v>
      </c>
      <c r="AH41" s="202">
        <f t="shared" si="9"/>
        <v>0</v>
      </c>
      <c r="AI41" s="205"/>
      <c r="AJ41" s="249" t="s">
        <v>70</v>
      </c>
      <c r="AK41" s="250">
        <f t="shared" ref="AK41:AL41" si="66">SUM(AO41+AM41+AQ41+AS41+AU41+AW41+AY41+BA41+BC41)</f>
        <v>60</v>
      </c>
      <c r="AL41" s="251">
        <f t="shared" si="66"/>
        <v>113</v>
      </c>
      <c r="AM41" s="250">
        <f t="shared" ref="AM41:BD41" si="67">(AM60+AM79+AM98+AM117+AM136+AM155+AM174+AM193+AM212+AM231)</f>
        <v>20</v>
      </c>
      <c r="AN41" s="250">
        <f t="shared" si="67"/>
        <v>33</v>
      </c>
      <c r="AO41" s="252">
        <f t="shared" si="67"/>
        <v>2</v>
      </c>
      <c r="AP41" s="251">
        <f t="shared" si="67"/>
        <v>3</v>
      </c>
      <c r="AQ41" s="250">
        <f t="shared" si="67"/>
        <v>6</v>
      </c>
      <c r="AR41" s="250">
        <f t="shared" si="67"/>
        <v>6</v>
      </c>
      <c r="AS41" s="252">
        <f t="shared" si="67"/>
        <v>5</v>
      </c>
      <c r="AT41" s="251">
        <f t="shared" si="67"/>
        <v>20</v>
      </c>
      <c r="AU41" s="250">
        <f t="shared" si="67"/>
        <v>5</v>
      </c>
      <c r="AV41" s="250">
        <f t="shared" si="67"/>
        <v>5</v>
      </c>
      <c r="AW41" s="250">
        <f t="shared" si="67"/>
        <v>10</v>
      </c>
      <c r="AX41" s="251">
        <f t="shared" si="67"/>
        <v>20</v>
      </c>
      <c r="AY41" s="250">
        <f t="shared" si="67"/>
        <v>5</v>
      </c>
      <c r="AZ41" s="251">
        <f t="shared" si="67"/>
        <v>5</v>
      </c>
      <c r="BA41" s="250">
        <f t="shared" si="67"/>
        <v>7</v>
      </c>
      <c r="BB41" s="251">
        <f t="shared" si="67"/>
        <v>21</v>
      </c>
      <c r="BC41" s="250">
        <f t="shared" si="67"/>
        <v>0</v>
      </c>
      <c r="BD41" s="251">
        <f t="shared" si="67"/>
        <v>0</v>
      </c>
    </row>
    <row r="42" spans="1:56" ht="14.25">
      <c r="A42" s="187"/>
      <c r="B42" s="188">
        <v>2</v>
      </c>
      <c r="C42" s="189" t="s">
        <v>250</v>
      </c>
      <c r="D42" s="190" t="s">
        <v>58</v>
      </c>
      <c r="E42" s="190" t="s">
        <v>58</v>
      </c>
      <c r="F42" s="190" t="s">
        <v>115</v>
      </c>
      <c r="G42" s="215">
        <v>2</v>
      </c>
      <c r="H42" s="191">
        <f>COUNTIFS(Reference!D:D,VLOOKUP(C42,Reference!B:D,3,0),Reference!C:C,"&lt;="&amp;VLOOKUP(VLOOKUP(C42,Reference!B:D,3,0),Setup!$C$9:$D$17,2,0),Reference!B:B,C42)</f>
        <v>0</v>
      </c>
      <c r="I42" s="192">
        <v>1</v>
      </c>
      <c r="J42" s="192">
        <v>1</v>
      </c>
      <c r="K42" s="215" t="s">
        <v>182</v>
      </c>
      <c r="L42" s="191" t="s">
        <v>195</v>
      </c>
      <c r="M42" s="215">
        <v>2</v>
      </c>
      <c r="N42" s="215">
        <v>1</v>
      </c>
      <c r="O42" s="193" t="s">
        <v>231</v>
      </c>
      <c r="P42" s="194" t="s">
        <v>232</v>
      </c>
      <c r="Q42" s="190" t="s">
        <v>148</v>
      </c>
      <c r="R42" s="34"/>
      <c r="S42" s="195">
        <f>MATCH($D42,Reference!$J$5:$J$9,0)</f>
        <v>1</v>
      </c>
      <c r="T42" s="195">
        <f>MATCH($E42,Reference!$J$26:$J$32,0)</f>
        <v>1</v>
      </c>
      <c r="U42" s="195">
        <f>MATCH($F42,Reference!$J$45:$J$54,0)</f>
        <v>10</v>
      </c>
      <c r="V42" s="196">
        <f>MATCH($K42,Reference!$J$37:$J$39,0)</f>
        <v>3</v>
      </c>
      <c r="W42" s="197">
        <f t="shared" si="0"/>
        <v>2</v>
      </c>
      <c r="X42" s="197">
        <f t="shared" si="1"/>
        <v>1</v>
      </c>
      <c r="Y42" s="198">
        <v>0</v>
      </c>
      <c r="Z42" s="197">
        <f t="shared" si="2"/>
        <v>2</v>
      </c>
      <c r="AA42" s="199" t="b">
        <f t="shared" si="3"/>
        <v>0</v>
      </c>
      <c r="AB42" s="199" t="b">
        <f t="shared" si="4"/>
        <v>0</v>
      </c>
      <c r="AC42" s="200">
        <f t="shared" ref="AC42:AD42" si="68">1-I42</f>
        <v>0</v>
      </c>
      <c r="AD42" s="200">
        <f t="shared" si="68"/>
        <v>0</v>
      </c>
      <c r="AE42" s="199">
        <f t="shared" si="6"/>
        <v>2</v>
      </c>
      <c r="AF42" s="201">
        <f t="shared" si="7"/>
        <v>0</v>
      </c>
      <c r="AG42" s="201">
        <f t="shared" si="8"/>
        <v>1</v>
      </c>
      <c r="AH42" s="202">
        <f t="shared" si="9"/>
        <v>0</v>
      </c>
      <c r="AI42" s="205"/>
      <c r="AJ42" s="259" t="s">
        <v>22</v>
      </c>
      <c r="AK42" s="260"/>
      <c r="AL42" s="261"/>
      <c r="AM42" s="260"/>
      <c r="AN42" s="261"/>
      <c r="AO42" s="260"/>
      <c r="AP42" s="261"/>
      <c r="AQ42" s="260"/>
      <c r="AR42" s="261"/>
      <c r="AS42" s="260"/>
      <c r="AT42" s="261"/>
      <c r="AU42" s="260"/>
      <c r="AV42" s="261"/>
      <c r="AW42" s="260"/>
      <c r="AX42" s="261"/>
      <c r="AY42" s="260"/>
      <c r="AZ42" s="261"/>
      <c r="BA42" s="260"/>
      <c r="BB42" s="261"/>
      <c r="BC42" s="260"/>
      <c r="BD42" s="261"/>
    </row>
    <row r="43" spans="1:56" ht="14.25">
      <c r="A43" s="187"/>
      <c r="B43" s="188">
        <v>2</v>
      </c>
      <c r="C43" s="189" t="s">
        <v>251</v>
      </c>
      <c r="D43" s="190" t="s">
        <v>58</v>
      </c>
      <c r="E43" s="190" t="s">
        <v>58</v>
      </c>
      <c r="F43" s="190" t="s">
        <v>26</v>
      </c>
      <c r="G43" s="191">
        <f>COUNTIFS(Reference!F:F,C43,Reference!G:G,"&lt;="&amp;VLOOKUP($F43,Setup!$C$9:$D$17,2,0))</f>
        <v>2</v>
      </c>
      <c r="H43" s="191">
        <f>COUNTIFS(Reference!B:B,C43,Reference!C:C,"&lt;="&amp;VLOOKUP("Warrior",Setup!$C$9:$D$17,2,0))</f>
        <v>0</v>
      </c>
      <c r="I43" s="192">
        <v>1</v>
      </c>
      <c r="J43" s="192">
        <v>1</v>
      </c>
      <c r="K43" s="191" t="s">
        <v>146</v>
      </c>
      <c r="L43" s="191"/>
      <c r="M43" s="191"/>
      <c r="N43" s="191"/>
      <c r="O43" s="193" t="s">
        <v>252</v>
      </c>
      <c r="P43" s="194"/>
      <c r="Q43" s="190" t="s">
        <v>148</v>
      </c>
      <c r="R43" s="173"/>
      <c r="S43" s="195">
        <f>MATCH($D43,Reference!$J$5:$J$9,0)</f>
        <v>1</v>
      </c>
      <c r="T43" s="195">
        <f>MATCH($E43,Reference!$J$26:$J$32,0)</f>
        <v>1</v>
      </c>
      <c r="U43" s="195">
        <f>MATCH($F43,Reference!$J$45:$J$54,0)</f>
        <v>9</v>
      </c>
      <c r="V43" s="196">
        <f>MATCH($K43,Reference!$J$37:$J$39,0)</f>
        <v>2</v>
      </c>
      <c r="W43" s="197">
        <f t="shared" si="0"/>
        <v>2</v>
      </c>
      <c r="X43" s="197">
        <f t="shared" si="1"/>
        <v>1</v>
      </c>
      <c r="Y43" s="198">
        <v>0</v>
      </c>
      <c r="Z43" s="197">
        <f t="shared" si="2"/>
        <v>2</v>
      </c>
      <c r="AA43" s="199" t="b">
        <f t="shared" si="3"/>
        <v>0</v>
      </c>
      <c r="AB43" s="199" t="b">
        <f t="shared" si="4"/>
        <v>0</v>
      </c>
      <c r="AC43" s="200">
        <f t="shared" ref="AC43:AD43" si="69">1-I43</f>
        <v>0</v>
      </c>
      <c r="AD43" s="200">
        <f t="shared" si="69"/>
        <v>0</v>
      </c>
      <c r="AE43" s="199">
        <f t="shared" si="6"/>
        <v>2</v>
      </c>
      <c r="AF43" s="201">
        <f t="shared" si="7"/>
        <v>0</v>
      </c>
      <c r="AG43" s="201">
        <f t="shared" si="8"/>
        <v>1</v>
      </c>
      <c r="AH43" s="202">
        <f t="shared" si="9"/>
        <v>0</v>
      </c>
      <c r="AI43" s="205"/>
      <c r="AJ43" s="262" t="s">
        <v>224</v>
      </c>
      <c r="AK43" s="263">
        <f t="shared" ref="AK43:AP43" si="70">SUM(AK31:AK35)</f>
        <v>776</v>
      </c>
      <c r="AL43" s="264">
        <f t="shared" si="70"/>
        <v>877</v>
      </c>
      <c r="AM43" s="263">
        <f t="shared" si="70"/>
        <v>352</v>
      </c>
      <c r="AN43" s="264">
        <f t="shared" si="70"/>
        <v>378</v>
      </c>
      <c r="AO43" s="263">
        <f t="shared" si="70"/>
        <v>3</v>
      </c>
      <c r="AP43" s="264">
        <f t="shared" si="70"/>
        <v>4</v>
      </c>
      <c r="AQ43" s="263">
        <f>SUM(AQ31:AQ35)</f>
        <v>30</v>
      </c>
      <c r="AR43" s="264">
        <f>SUM(AR31:AR35)</f>
        <v>30</v>
      </c>
      <c r="AS43" s="263">
        <f>SUM(AS31:AS35)</f>
        <v>97</v>
      </c>
      <c r="AT43" s="264">
        <f>SUM(AT31:AT35)</f>
        <v>123</v>
      </c>
      <c r="AU43" s="263">
        <f t="shared" ref="AU43:BD43" si="71">SUM(AU31:AU35)</f>
        <v>31</v>
      </c>
      <c r="AV43" s="264">
        <f t="shared" si="71"/>
        <v>31</v>
      </c>
      <c r="AW43" s="263">
        <f t="shared" si="71"/>
        <v>115</v>
      </c>
      <c r="AX43" s="264">
        <f t="shared" si="71"/>
        <v>132</v>
      </c>
      <c r="AY43" s="263">
        <f t="shared" si="71"/>
        <v>45</v>
      </c>
      <c r="AZ43" s="264">
        <f t="shared" si="71"/>
        <v>45</v>
      </c>
      <c r="BA43" s="263">
        <f t="shared" si="71"/>
        <v>103</v>
      </c>
      <c r="BB43" s="264">
        <f t="shared" si="71"/>
        <v>134</v>
      </c>
      <c r="BC43" s="263">
        <f t="shared" si="71"/>
        <v>0</v>
      </c>
      <c r="BD43" s="264">
        <f t="shared" si="71"/>
        <v>0</v>
      </c>
    </row>
    <row r="44" spans="1:56" ht="14.25">
      <c r="A44" s="187"/>
      <c r="B44" s="188">
        <v>2</v>
      </c>
      <c r="C44" s="189" t="s">
        <v>253</v>
      </c>
      <c r="D44" s="190" t="s">
        <v>58</v>
      </c>
      <c r="E44" s="190" t="s">
        <v>58</v>
      </c>
      <c r="F44" s="190" t="s">
        <v>18</v>
      </c>
      <c r="G44" s="191">
        <f>COUNTIFS(Reference!F:F,C44,Reference!G:G,"&lt;="&amp;VLOOKUP($F44,Setup!$C$9:$D$17,2,0))</f>
        <v>2</v>
      </c>
      <c r="H44" s="191">
        <f>COUNTIFS(Reference!B:B,C44,Reference!C:C,"&lt;="&amp;VLOOKUP("Priest",Setup!$C$9:$D$17,2,0))</f>
        <v>2</v>
      </c>
      <c r="I44" s="192">
        <v>1</v>
      </c>
      <c r="J44" s="192">
        <v>1</v>
      </c>
      <c r="K44" s="191" t="s">
        <v>146</v>
      </c>
      <c r="L44" s="191"/>
      <c r="M44" s="191"/>
      <c r="N44" s="191"/>
      <c r="O44" s="193" t="s">
        <v>254</v>
      </c>
      <c r="P44" s="194"/>
      <c r="Q44" s="190" t="s">
        <v>148</v>
      </c>
      <c r="R44" s="173"/>
      <c r="S44" s="195">
        <f>MATCH($D44,Reference!$J$5:$J$9,0)</f>
        <v>1</v>
      </c>
      <c r="T44" s="195">
        <f>MATCH($E44,Reference!$J$26:$J$32,0)</f>
        <v>1</v>
      </c>
      <c r="U44" s="195">
        <f>MATCH($F44,Reference!$J$45:$J$54,0)</f>
        <v>5</v>
      </c>
      <c r="V44" s="196">
        <f>MATCH($K44,Reference!$J$37:$J$39,0)</f>
        <v>2</v>
      </c>
      <c r="W44" s="197">
        <f t="shared" si="0"/>
        <v>2</v>
      </c>
      <c r="X44" s="197">
        <f t="shared" si="1"/>
        <v>1</v>
      </c>
      <c r="Y44" s="198">
        <v>0</v>
      </c>
      <c r="Z44" s="197">
        <f t="shared" si="2"/>
        <v>2</v>
      </c>
      <c r="AA44" s="199" t="b">
        <f t="shared" si="3"/>
        <v>0</v>
      </c>
      <c r="AB44" s="199" t="b">
        <f t="shared" si="4"/>
        <v>0</v>
      </c>
      <c r="AC44" s="200">
        <f t="shared" ref="AC44:AD44" si="72">1-I44</f>
        <v>0</v>
      </c>
      <c r="AD44" s="200">
        <f t="shared" si="72"/>
        <v>0</v>
      </c>
      <c r="AE44" s="199">
        <f t="shared" si="6"/>
        <v>2</v>
      </c>
      <c r="AF44" s="201">
        <f t="shared" si="7"/>
        <v>2</v>
      </c>
      <c r="AG44" s="201">
        <f t="shared" si="8"/>
        <v>1</v>
      </c>
      <c r="AH44" s="202">
        <f t="shared" si="9"/>
        <v>0</v>
      </c>
      <c r="AI44" s="205"/>
      <c r="AJ44" s="265" t="s">
        <v>240</v>
      </c>
      <c r="AK44" s="266">
        <f t="shared" ref="AK44:AL44" si="73">SUM(AK37:AK41)</f>
        <v>1437</v>
      </c>
      <c r="AL44" s="267">
        <f t="shared" si="73"/>
        <v>1641</v>
      </c>
      <c r="AM44" s="266">
        <f t="shared" ref="AM44:AR44" si="74">SUM(AM37:AM41)</f>
        <v>672</v>
      </c>
      <c r="AN44" s="267">
        <f t="shared" si="74"/>
        <v>723</v>
      </c>
      <c r="AO44" s="266">
        <f t="shared" si="74"/>
        <v>4</v>
      </c>
      <c r="AP44" s="267">
        <f t="shared" si="74"/>
        <v>5</v>
      </c>
      <c r="AQ44" s="266">
        <f t="shared" si="74"/>
        <v>54</v>
      </c>
      <c r="AR44" s="267">
        <f t="shared" si="74"/>
        <v>54</v>
      </c>
      <c r="AS44" s="266">
        <f>SUM(AS38:AS41)</f>
        <v>169</v>
      </c>
      <c r="AT44" s="267">
        <f>SUM(AT37:AT41)</f>
        <v>226</v>
      </c>
      <c r="AU44" s="266">
        <f t="shared" ref="AU44:BD44" si="75">SUM(AU37:AU41)</f>
        <v>57</v>
      </c>
      <c r="AV44" s="267">
        <f t="shared" si="75"/>
        <v>57</v>
      </c>
      <c r="AW44" s="266">
        <f t="shared" si="75"/>
        <v>212</v>
      </c>
      <c r="AX44" s="267">
        <f t="shared" si="75"/>
        <v>244</v>
      </c>
      <c r="AY44" s="266">
        <f t="shared" si="75"/>
        <v>85</v>
      </c>
      <c r="AZ44" s="267">
        <f t="shared" si="75"/>
        <v>85</v>
      </c>
      <c r="BA44" s="266">
        <f t="shared" si="75"/>
        <v>184</v>
      </c>
      <c r="BB44" s="267">
        <f t="shared" si="75"/>
        <v>247</v>
      </c>
      <c r="BC44" s="266">
        <f t="shared" si="75"/>
        <v>0</v>
      </c>
      <c r="BD44" s="267">
        <f t="shared" si="75"/>
        <v>0</v>
      </c>
    </row>
    <row r="45" spans="1:56" ht="14.25">
      <c r="A45" s="240"/>
      <c r="B45" s="217">
        <v>2</v>
      </c>
      <c r="C45" s="218" t="s">
        <v>255</v>
      </c>
      <c r="D45" s="190" t="s">
        <v>58</v>
      </c>
      <c r="E45" s="190" t="s">
        <v>58</v>
      </c>
      <c r="F45" s="190" t="s">
        <v>26</v>
      </c>
      <c r="G45" s="191">
        <f>COUNTIFS(Reference!F:F,C45,Reference!G:G,"&lt;="&amp;VLOOKUP($F45,Setup!$C$9:$D$17,2,0))</f>
        <v>2</v>
      </c>
      <c r="H45" s="191">
        <f>COUNTIFS(Reference!B:B,C45,Reference!C:C,"&lt;="&amp;VLOOKUP("Warrior",Setup!$C$9:$D$17,2,0))</f>
        <v>0</v>
      </c>
      <c r="I45" s="192">
        <v>1</v>
      </c>
      <c r="J45" s="192">
        <v>1</v>
      </c>
      <c r="K45" s="191" t="s">
        <v>207</v>
      </c>
      <c r="L45" s="191"/>
      <c r="M45" s="191">
        <v>3</v>
      </c>
      <c r="N45" s="191">
        <v>2</v>
      </c>
      <c r="O45" s="193"/>
      <c r="P45" s="194"/>
      <c r="Q45" s="190" t="s">
        <v>148</v>
      </c>
      <c r="R45" s="173"/>
      <c r="S45" s="195">
        <f>MATCH($D45,Reference!$J$5:$J$9,0)</f>
        <v>1</v>
      </c>
      <c r="T45" s="195">
        <f>MATCH($E45,Reference!$J$26:$J$32,0)</f>
        <v>1</v>
      </c>
      <c r="U45" s="195">
        <f>MATCH($F45,Reference!$J$45:$J$54,0)</f>
        <v>9</v>
      </c>
      <c r="V45" s="196">
        <f>MATCH($K45,Reference!$J$37:$J$39,0)</f>
        <v>1</v>
      </c>
      <c r="W45" s="197">
        <f t="shared" si="0"/>
        <v>2</v>
      </c>
      <c r="X45" s="197">
        <f t="shared" si="1"/>
        <v>1</v>
      </c>
      <c r="Y45" s="198">
        <v>0</v>
      </c>
      <c r="Z45" s="197">
        <f t="shared" si="2"/>
        <v>2</v>
      </c>
      <c r="AA45" s="199" t="b">
        <f t="shared" si="3"/>
        <v>0</v>
      </c>
      <c r="AB45" s="199" t="b">
        <f t="shared" si="4"/>
        <v>0</v>
      </c>
      <c r="AC45" s="200">
        <f t="shared" ref="AC45:AD45" si="76">1-I45</f>
        <v>0</v>
      </c>
      <c r="AD45" s="200">
        <f t="shared" si="76"/>
        <v>0</v>
      </c>
      <c r="AE45" s="199">
        <f t="shared" si="6"/>
        <v>2</v>
      </c>
      <c r="AF45" s="201">
        <f t="shared" si="7"/>
        <v>0</v>
      </c>
      <c r="AG45" s="201">
        <f t="shared" si="8"/>
        <v>1</v>
      </c>
      <c r="AH45" s="202">
        <f t="shared" si="9"/>
        <v>0</v>
      </c>
      <c r="AI45" s="205"/>
      <c r="AJ45" s="173"/>
      <c r="AK45" s="173"/>
      <c r="AL45" s="173"/>
      <c r="AM45" s="173"/>
      <c r="AN45" s="173"/>
      <c r="AO45" s="173"/>
      <c r="AP45" s="173"/>
      <c r="AQ45" s="173"/>
      <c r="AR45" s="173"/>
      <c r="AS45" s="173"/>
      <c r="AT45" s="173"/>
      <c r="AU45" s="173"/>
      <c r="AV45" s="173"/>
    </row>
    <row r="46" spans="1:56" ht="14.25">
      <c r="A46" s="209"/>
      <c r="B46" s="188">
        <v>2</v>
      </c>
      <c r="C46" s="189" t="s">
        <v>256</v>
      </c>
      <c r="D46" s="190" t="s">
        <v>58</v>
      </c>
      <c r="E46" s="190" t="s">
        <v>58</v>
      </c>
      <c r="F46" s="190" t="s">
        <v>21</v>
      </c>
      <c r="G46" s="191">
        <f>COUNTIFS(Reference!F:F,C46,Reference!G:G,"&lt;="&amp;VLOOKUP($F46,Setup!$C$9:$D$17,2,0))</f>
        <v>2</v>
      </c>
      <c r="H46" s="191">
        <f>COUNTIFS(Reference!B:B,C46,Reference!C:C,"&lt;="&amp;VLOOKUP("Shaman",Setup!$C$9:$D$17,2,0))</f>
        <v>0</v>
      </c>
      <c r="I46" s="192">
        <v>1</v>
      </c>
      <c r="J46" s="192">
        <v>1</v>
      </c>
      <c r="K46" s="191" t="s">
        <v>182</v>
      </c>
      <c r="L46" s="191" t="s">
        <v>257</v>
      </c>
      <c r="M46" s="191">
        <v>0</v>
      </c>
      <c r="N46" s="191">
        <v>3</v>
      </c>
      <c r="O46" s="193" t="s">
        <v>258</v>
      </c>
      <c r="P46" s="194" t="s">
        <v>197</v>
      </c>
      <c r="Q46" s="190" t="s">
        <v>148</v>
      </c>
      <c r="R46" s="173"/>
      <c r="S46" s="195">
        <f>MATCH($D46,Reference!$J$5:$J$9,0)</f>
        <v>1</v>
      </c>
      <c r="T46" s="195">
        <f>MATCH($E46,Reference!$J$26:$J$32,0)</f>
        <v>1</v>
      </c>
      <c r="U46" s="195">
        <f>MATCH($F46,Reference!$J$45:$J$54,0)</f>
        <v>7</v>
      </c>
      <c r="V46" s="196">
        <f>MATCH($K46,Reference!$J$37:$J$39,0)</f>
        <v>3</v>
      </c>
      <c r="W46" s="197">
        <f t="shared" si="0"/>
        <v>2</v>
      </c>
      <c r="X46" s="197">
        <f t="shared" si="1"/>
        <v>1</v>
      </c>
      <c r="Y46" s="198">
        <v>0</v>
      </c>
      <c r="Z46" s="197">
        <f t="shared" si="2"/>
        <v>2</v>
      </c>
      <c r="AA46" s="199" t="b">
        <f t="shared" si="3"/>
        <v>0</v>
      </c>
      <c r="AB46" s="199" t="b">
        <f t="shared" si="4"/>
        <v>0</v>
      </c>
      <c r="AC46" s="200">
        <f t="shared" ref="AC46:AD46" si="77">1-I46</f>
        <v>0</v>
      </c>
      <c r="AD46" s="200">
        <f t="shared" si="77"/>
        <v>0</v>
      </c>
      <c r="AE46" s="199">
        <f t="shared" si="6"/>
        <v>2</v>
      </c>
      <c r="AF46" s="201">
        <f t="shared" si="7"/>
        <v>0</v>
      </c>
      <c r="AG46" s="201">
        <f t="shared" si="8"/>
        <v>1</v>
      </c>
      <c r="AH46" s="202">
        <f t="shared" si="9"/>
        <v>0</v>
      </c>
      <c r="AI46" s="205"/>
    </row>
    <row r="47" spans="1:56">
      <c r="A47" s="209"/>
      <c r="B47" s="188">
        <v>2</v>
      </c>
      <c r="C47" s="189" t="s">
        <v>259</v>
      </c>
      <c r="D47" s="190" t="s">
        <v>58</v>
      </c>
      <c r="E47" s="190" t="s">
        <v>58</v>
      </c>
      <c r="F47" s="190" t="s">
        <v>13</v>
      </c>
      <c r="G47" s="191">
        <f>COUNTIFS(Reference!F:F,C47,Reference!G:G,"&lt;="&amp;VLOOKUP($F47,Setup!$C$9:$D$17,2,0))</f>
        <v>2</v>
      </c>
      <c r="H47" s="191">
        <f>COUNTIFS(Reference!B:B,C47,Reference!C:C,"&lt;="&amp;VLOOKUP("Mage",Setup!$C$9:$D$17,2,0))</f>
        <v>0</v>
      </c>
      <c r="I47" s="192">
        <v>1</v>
      </c>
      <c r="J47" s="192">
        <v>1</v>
      </c>
      <c r="K47" s="191" t="s">
        <v>146</v>
      </c>
      <c r="L47" s="191"/>
      <c r="M47" s="191"/>
      <c r="N47" s="191"/>
      <c r="O47" s="193" t="s">
        <v>260</v>
      </c>
      <c r="P47" s="194"/>
      <c r="Q47" s="190" t="s">
        <v>148</v>
      </c>
      <c r="R47" s="173"/>
      <c r="S47" s="195">
        <f>MATCH($D47,Reference!$J$5:$J$9,0)</f>
        <v>1</v>
      </c>
      <c r="T47" s="195">
        <f>MATCH($E47,Reference!$J$26:$J$32,0)</f>
        <v>1</v>
      </c>
      <c r="U47" s="195">
        <f>MATCH($F47,Reference!$J$45:$J$54,0)</f>
        <v>3</v>
      </c>
      <c r="V47" s="196">
        <f>MATCH($K47,Reference!$J$37:$J$39,0)</f>
        <v>2</v>
      </c>
      <c r="W47" s="197">
        <f t="shared" si="0"/>
        <v>2</v>
      </c>
      <c r="X47" s="197">
        <f t="shared" si="1"/>
        <v>1</v>
      </c>
      <c r="Y47" s="198">
        <v>0</v>
      </c>
      <c r="Z47" s="197">
        <f t="shared" si="2"/>
        <v>2</v>
      </c>
      <c r="AA47" s="199" t="b">
        <f t="shared" si="3"/>
        <v>0</v>
      </c>
      <c r="AB47" s="199" t="b">
        <f t="shared" si="4"/>
        <v>0</v>
      </c>
      <c r="AC47" s="200">
        <f t="shared" ref="AC47:AD47" si="78">1-I47</f>
        <v>0</v>
      </c>
      <c r="AD47" s="200">
        <f t="shared" si="78"/>
        <v>0</v>
      </c>
      <c r="AE47" s="199">
        <f t="shared" si="6"/>
        <v>2</v>
      </c>
      <c r="AF47" s="201">
        <f t="shared" si="7"/>
        <v>0</v>
      </c>
      <c r="AG47" s="201">
        <f t="shared" si="8"/>
        <v>1</v>
      </c>
      <c r="AH47" s="202">
        <f t="shared" si="9"/>
        <v>0</v>
      </c>
      <c r="AI47" s="205"/>
      <c r="AJ47" s="1134" t="s">
        <v>8</v>
      </c>
      <c r="AK47" s="1102"/>
      <c r="AL47" s="1102"/>
      <c r="AM47" s="1102"/>
      <c r="AN47" s="1102"/>
      <c r="AO47" s="1102"/>
      <c r="AP47" s="1102"/>
      <c r="AQ47" s="1102"/>
      <c r="AR47" s="1102"/>
      <c r="AS47" s="1102"/>
      <c r="AT47" s="1102"/>
      <c r="AU47" s="1102"/>
      <c r="AV47" s="1102"/>
      <c r="AW47" s="1102"/>
      <c r="AX47" s="1102"/>
      <c r="AY47" s="1102"/>
      <c r="AZ47" s="1102"/>
      <c r="BA47" s="1102"/>
      <c r="BB47" s="1102"/>
      <c r="BC47" s="1102"/>
      <c r="BD47" s="1102"/>
    </row>
    <row r="48" spans="1:56" ht="14.25">
      <c r="A48" s="187"/>
      <c r="B48" s="188">
        <v>2</v>
      </c>
      <c r="C48" s="189" t="s">
        <v>261</v>
      </c>
      <c r="D48" s="190" t="s">
        <v>58</v>
      </c>
      <c r="E48" s="190" t="s">
        <v>58</v>
      </c>
      <c r="F48" s="190" t="s">
        <v>115</v>
      </c>
      <c r="G48" s="215">
        <v>2</v>
      </c>
      <c r="H48" s="191">
        <f>COUNTIFS(Reference!D:D,VLOOKUP(C48,Reference!B:D,3,0),Reference!C:C,"&lt;="&amp;VLOOKUP(VLOOKUP(C48,Reference!B:D,3,0),Setup!$C$9:$D$17,2,0),Reference!B:B,C48)</f>
        <v>0</v>
      </c>
      <c r="I48" s="192">
        <v>1</v>
      </c>
      <c r="J48" s="192">
        <v>1</v>
      </c>
      <c r="K48" s="215" t="s">
        <v>182</v>
      </c>
      <c r="L48" s="191"/>
      <c r="M48" s="215">
        <v>2</v>
      </c>
      <c r="N48" s="215">
        <v>2</v>
      </c>
      <c r="O48" s="193" t="s">
        <v>192</v>
      </c>
      <c r="P48" s="194" t="s">
        <v>193</v>
      </c>
      <c r="Q48" s="190" t="s">
        <v>148</v>
      </c>
      <c r="R48" s="173"/>
      <c r="S48" s="195">
        <f>MATCH($D48,Reference!$J$5:$J$9,0)</f>
        <v>1</v>
      </c>
      <c r="T48" s="195">
        <f>MATCH($E48,Reference!$J$26:$J$32,0)</f>
        <v>1</v>
      </c>
      <c r="U48" s="195">
        <f>MATCH($F48,Reference!$J$45:$J$54,0)</f>
        <v>10</v>
      </c>
      <c r="V48" s="196">
        <f>MATCH($K48,Reference!$J$37:$J$39,0)</f>
        <v>3</v>
      </c>
      <c r="W48" s="197">
        <f t="shared" si="0"/>
        <v>2</v>
      </c>
      <c r="X48" s="197">
        <f t="shared" si="1"/>
        <v>1</v>
      </c>
      <c r="Y48" s="198">
        <v>0</v>
      </c>
      <c r="Z48" s="197">
        <f t="shared" si="2"/>
        <v>2</v>
      </c>
      <c r="AA48" s="199" t="b">
        <f t="shared" si="3"/>
        <v>0</v>
      </c>
      <c r="AB48" s="199" t="b">
        <f t="shared" si="4"/>
        <v>0</v>
      </c>
      <c r="AC48" s="200">
        <f t="shared" ref="AC48:AD48" si="79">1-I48</f>
        <v>0</v>
      </c>
      <c r="AD48" s="200">
        <f t="shared" si="79"/>
        <v>0</v>
      </c>
      <c r="AE48" s="199">
        <f t="shared" si="6"/>
        <v>2</v>
      </c>
      <c r="AF48" s="201">
        <f t="shared" si="7"/>
        <v>0</v>
      </c>
      <c r="AG48" s="201">
        <f t="shared" si="8"/>
        <v>1</v>
      </c>
      <c r="AH48" s="202">
        <f t="shared" si="9"/>
        <v>0</v>
      </c>
      <c r="AI48" s="205"/>
      <c r="AJ48" s="224" t="s">
        <v>122</v>
      </c>
      <c r="AK48" s="1133" t="s">
        <v>22</v>
      </c>
      <c r="AL48" s="1102"/>
      <c r="AM48" s="1133" t="s">
        <v>77</v>
      </c>
      <c r="AN48" s="1102"/>
      <c r="AO48" s="1133" t="s">
        <v>78</v>
      </c>
      <c r="AP48" s="1102"/>
      <c r="AQ48" s="1133" t="s">
        <v>79</v>
      </c>
      <c r="AR48" s="1102"/>
      <c r="AS48" s="1133" t="s">
        <v>80</v>
      </c>
      <c r="AT48" s="1102"/>
      <c r="AU48" s="1133" t="s">
        <v>220</v>
      </c>
      <c r="AV48" s="1102"/>
      <c r="AW48" s="1133" t="s">
        <v>82</v>
      </c>
      <c r="AX48" s="1102"/>
      <c r="AY48" s="1133" t="s">
        <v>84</v>
      </c>
      <c r="AZ48" s="1102"/>
      <c r="BA48" s="1133" t="s">
        <v>73</v>
      </c>
      <c r="BB48" s="1102"/>
      <c r="BC48" s="1133" t="s">
        <v>221</v>
      </c>
      <c r="BD48" s="1102"/>
    </row>
    <row r="49" spans="1:56" ht="14.25">
      <c r="A49" s="187"/>
      <c r="B49" s="188">
        <v>2</v>
      </c>
      <c r="C49" s="189" t="s">
        <v>262</v>
      </c>
      <c r="D49" s="190" t="s">
        <v>58</v>
      </c>
      <c r="E49" s="190" t="s">
        <v>58</v>
      </c>
      <c r="F49" s="190" t="s">
        <v>26</v>
      </c>
      <c r="G49" s="191">
        <f>COUNTIFS(Reference!F:F,C49,Reference!G:G,"&lt;="&amp;VLOOKUP($F49,Setup!$C$9:$D$17,2,0))</f>
        <v>2</v>
      </c>
      <c r="H49" s="191">
        <f>COUNTIFS(Reference!B:B,C49,Reference!C:C,"&lt;="&amp;VLOOKUP("Warrior",Setup!$C$9:$D$17,2,0))</f>
        <v>2</v>
      </c>
      <c r="I49" s="192">
        <v>1</v>
      </c>
      <c r="J49" s="192">
        <v>1</v>
      </c>
      <c r="K49" s="191" t="s">
        <v>146</v>
      </c>
      <c r="L49" s="191"/>
      <c r="M49" s="191"/>
      <c r="N49" s="191"/>
      <c r="O49" s="193" t="s">
        <v>263</v>
      </c>
      <c r="P49" s="194"/>
      <c r="Q49" s="190" t="s">
        <v>148</v>
      </c>
      <c r="R49" s="173"/>
      <c r="S49" s="195">
        <f>MATCH($D49,Reference!$J$5:$J$9,0)</f>
        <v>1</v>
      </c>
      <c r="T49" s="195">
        <f>MATCH($E49,Reference!$J$26:$J$32,0)</f>
        <v>1</v>
      </c>
      <c r="U49" s="195">
        <f>MATCH($F49,Reference!$J$45:$J$54,0)</f>
        <v>9</v>
      </c>
      <c r="V49" s="196">
        <f>MATCH($K49,Reference!$J$37:$J$39,0)</f>
        <v>2</v>
      </c>
      <c r="W49" s="197">
        <f t="shared" si="0"/>
        <v>2</v>
      </c>
      <c r="X49" s="197">
        <f t="shared" si="1"/>
        <v>1</v>
      </c>
      <c r="Y49" s="198">
        <v>0</v>
      </c>
      <c r="Z49" s="197">
        <f t="shared" si="2"/>
        <v>2</v>
      </c>
      <c r="AA49" s="199" t="b">
        <f t="shared" si="3"/>
        <v>0</v>
      </c>
      <c r="AB49" s="199" t="b">
        <f t="shared" si="4"/>
        <v>0</v>
      </c>
      <c r="AC49" s="200">
        <f t="shared" ref="AC49:AD49" si="80">1-I49</f>
        <v>0</v>
      </c>
      <c r="AD49" s="200">
        <f t="shared" si="80"/>
        <v>0</v>
      </c>
      <c r="AE49" s="199">
        <f t="shared" si="6"/>
        <v>2</v>
      </c>
      <c r="AF49" s="201">
        <f t="shared" si="7"/>
        <v>2</v>
      </c>
      <c r="AG49" s="201">
        <f t="shared" si="8"/>
        <v>1</v>
      </c>
      <c r="AH49" s="202">
        <f t="shared" si="9"/>
        <v>0</v>
      </c>
      <c r="AI49" s="205"/>
      <c r="AJ49" s="225" t="s">
        <v>224</v>
      </c>
      <c r="AK49" s="226"/>
      <c r="AL49" s="227"/>
      <c r="AM49" s="226"/>
      <c r="AN49" s="227"/>
      <c r="AO49" s="228"/>
      <c r="AP49" s="227"/>
      <c r="AQ49" s="226"/>
      <c r="AR49" s="227"/>
      <c r="AS49" s="228"/>
      <c r="AT49" s="227"/>
      <c r="AU49" s="226"/>
      <c r="AV49" s="227"/>
      <c r="AW49" s="229"/>
      <c r="AX49" s="230"/>
      <c r="AY49" s="229"/>
      <c r="AZ49" s="230"/>
      <c r="BA49" s="229"/>
      <c r="BB49" s="230"/>
      <c r="BC49" s="229"/>
      <c r="BD49" s="230"/>
    </row>
    <row r="50" spans="1:56" ht="14.25">
      <c r="A50" s="209"/>
      <c r="B50" s="188">
        <v>2</v>
      </c>
      <c r="C50" s="189" t="s">
        <v>264</v>
      </c>
      <c r="D50" s="190" t="s">
        <v>58</v>
      </c>
      <c r="E50" s="190" t="s">
        <v>58</v>
      </c>
      <c r="F50" s="190" t="s">
        <v>16</v>
      </c>
      <c r="G50" s="191">
        <f>COUNTIFS(Reference!F:F,C50,Reference!G:G,"&lt;="&amp;VLOOKUP($F50,Setup!$C$9:$D$17,2,0))</f>
        <v>2</v>
      </c>
      <c r="H50" s="191">
        <f>COUNTIFS(Reference!B:B,C50,Reference!C:C,"&lt;="&amp;VLOOKUP("Paladin",Setup!$C$9:$D$17,2,0))</f>
        <v>1</v>
      </c>
      <c r="I50" s="192">
        <v>1</v>
      </c>
      <c r="J50" s="192">
        <v>1</v>
      </c>
      <c r="K50" s="191" t="s">
        <v>146</v>
      </c>
      <c r="L50" s="191"/>
      <c r="M50" s="191"/>
      <c r="N50" s="191"/>
      <c r="O50" s="193" t="s">
        <v>265</v>
      </c>
      <c r="P50" s="194"/>
      <c r="Q50" s="190" t="s">
        <v>148</v>
      </c>
      <c r="R50" s="173"/>
      <c r="S50" s="195">
        <f>MATCH($D50,Reference!$J$5:$J$9,0)</f>
        <v>1</v>
      </c>
      <c r="T50" s="195">
        <f>MATCH($E50,Reference!$J$26:$J$32,0)</f>
        <v>1</v>
      </c>
      <c r="U50" s="195">
        <f>MATCH($F50,Reference!$J$45:$J$54,0)</f>
        <v>4</v>
      </c>
      <c r="V50" s="196">
        <f>MATCH($K50,Reference!$J$37:$J$39,0)</f>
        <v>2</v>
      </c>
      <c r="W50" s="197">
        <f t="shared" si="0"/>
        <v>2</v>
      </c>
      <c r="X50" s="197">
        <f t="shared" si="1"/>
        <v>1</v>
      </c>
      <c r="Y50" s="198">
        <v>0</v>
      </c>
      <c r="Z50" s="197">
        <f t="shared" si="2"/>
        <v>2</v>
      </c>
      <c r="AA50" s="199" t="b">
        <f t="shared" si="3"/>
        <v>0</v>
      </c>
      <c r="AB50" s="199" t="b">
        <f t="shared" si="4"/>
        <v>0</v>
      </c>
      <c r="AC50" s="200">
        <f t="shared" ref="AC50:AD50" si="81">1-I50</f>
        <v>0</v>
      </c>
      <c r="AD50" s="200">
        <f t="shared" si="81"/>
        <v>0</v>
      </c>
      <c r="AE50" s="199">
        <f t="shared" si="6"/>
        <v>2</v>
      </c>
      <c r="AF50" s="201">
        <f t="shared" si="7"/>
        <v>1</v>
      </c>
      <c r="AG50" s="201">
        <f t="shared" si="8"/>
        <v>1</v>
      </c>
      <c r="AH50" s="202">
        <f t="shared" si="9"/>
        <v>0</v>
      </c>
      <c r="AI50" s="205"/>
      <c r="AJ50" s="231" t="s">
        <v>58</v>
      </c>
      <c r="AK50" s="232">
        <f t="shared" ref="AK50:AL50" si="82">SUM(AO50+AM50+AQ50+AS50+AU50+AW50+AY50+BA50+BC50)</f>
        <v>10</v>
      </c>
      <c r="AL50" s="232">
        <f t="shared" si="82"/>
        <v>10</v>
      </c>
      <c r="AM50" s="191">
        <f>SUMIFS($X$2:$X879, $E$2:$E879, "Basic", $F$2:F879, "Druid")</f>
        <v>10</v>
      </c>
      <c r="AN50" s="191">
        <f>COUNTIFS($E$2:$E879, "Basic", $E$2:$E879, "Basic", $F$2:F879, "Druid" )</f>
        <v>10</v>
      </c>
      <c r="AO50" s="234"/>
      <c r="AP50" s="235"/>
      <c r="AQ50" s="191"/>
      <c r="AR50" s="235"/>
      <c r="AS50" s="234"/>
      <c r="AT50" s="235"/>
      <c r="AU50" s="191"/>
      <c r="AV50" s="235"/>
      <c r="AW50" s="191"/>
      <c r="AX50" s="235"/>
      <c r="AY50" s="191"/>
      <c r="AZ50" s="235"/>
      <c r="BA50" s="191"/>
      <c r="BB50" s="235"/>
      <c r="BC50" s="191"/>
      <c r="BD50" s="235"/>
    </row>
    <row r="51" spans="1:56" ht="14.25">
      <c r="A51" s="209"/>
      <c r="B51" s="188">
        <v>2</v>
      </c>
      <c r="C51" s="189" t="s">
        <v>266</v>
      </c>
      <c r="D51" s="190" t="s">
        <v>58</v>
      </c>
      <c r="E51" s="190" t="s">
        <v>58</v>
      </c>
      <c r="F51" s="190" t="s">
        <v>115</v>
      </c>
      <c r="G51" s="215">
        <v>2</v>
      </c>
      <c r="H51" s="191">
        <f>COUNTIFS(Reference!D:D,VLOOKUP(C51,Reference!B:D,3,0),Reference!C:C,"&lt;="&amp;VLOOKUP(VLOOKUP(C51,Reference!B:D,3,0),Setup!$C$9:$D$17,2,0),Reference!B:B,C51)</f>
        <v>0</v>
      </c>
      <c r="I51" s="192">
        <v>1</v>
      </c>
      <c r="J51" s="192">
        <v>1</v>
      </c>
      <c r="K51" s="215" t="s">
        <v>182</v>
      </c>
      <c r="L51" s="191"/>
      <c r="M51" s="215">
        <v>2</v>
      </c>
      <c r="N51" s="215">
        <v>2</v>
      </c>
      <c r="O51" s="193" t="s">
        <v>267</v>
      </c>
      <c r="P51" s="194" t="s">
        <v>268</v>
      </c>
      <c r="Q51" s="190" t="s">
        <v>148</v>
      </c>
      <c r="R51" s="173"/>
      <c r="S51" s="195">
        <f>MATCH($D51,Reference!$J$5:$J$9,0)</f>
        <v>1</v>
      </c>
      <c r="T51" s="195">
        <f>MATCH($E51,Reference!$J$26:$J$32,0)</f>
        <v>1</v>
      </c>
      <c r="U51" s="195">
        <f>MATCH($F51,Reference!$J$45:$J$54,0)</f>
        <v>10</v>
      </c>
      <c r="V51" s="196">
        <f>MATCH($K51,Reference!$J$37:$J$39,0)</f>
        <v>3</v>
      </c>
      <c r="W51" s="197">
        <f t="shared" si="0"/>
        <v>2</v>
      </c>
      <c r="X51" s="197">
        <f t="shared" si="1"/>
        <v>1</v>
      </c>
      <c r="Y51" s="198">
        <v>0</v>
      </c>
      <c r="Z51" s="197">
        <f t="shared" si="2"/>
        <v>2</v>
      </c>
      <c r="AA51" s="199" t="b">
        <f t="shared" si="3"/>
        <v>0</v>
      </c>
      <c r="AB51" s="199" t="b">
        <f t="shared" si="4"/>
        <v>0</v>
      </c>
      <c r="AC51" s="200">
        <f t="shared" ref="AC51:AD51" si="83">1-I51</f>
        <v>0</v>
      </c>
      <c r="AD51" s="200">
        <f t="shared" si="83"/>
        <v>0</v>
      </c>
      <c r="AE51" s="199">
        <f t="shared" si="6"/>
        <v>2</v>
      </c>
      <c r="AF51" s="201">
        <f t="shared" si="7"/>
        <v>0</v>
      </c>
      <c r="AG51" s="201">
        <f t="shared" si="8"/>
        <v>1</v>
      </c>
      <c r="AH51" s="202">
        <f t="shared" si="9"/>
        <v>0</v>
      </c>
      <c r="AI51" s="205"/>
      <c r="AJ51" s="236" t="s">
        <v>63</v>
      </c>
      <c r="AK51" s="237">
        <f t="shared" ref="AK51:AL51" si="84">SUM(AO51+AM51+AQ51+AS51+AU51+AW51+AY51+BA51+BC51)</f>
        <v>18</v>
      </c>
      <c r="AL51" s="237">
        <f t="shared" si="84"/>
        <v>18</v>
      </c>
      <c r="AM51" s="229">
        <f>SUMIFS($X$2:$X879, $D$2:$D879, "Common", $E$2:$E879, "Classic", $F$2:F879, "Druid")</f>
        <v>6</v>
      </c>
      <c r="AN51" s="229">
        <f>COUNTIFS($D$2:$D879, "Common", $E$2:$E879, "Classic", $F$2:F879, "Druid" )</f>
        <v>6</v>
      </c>
      <c r="AO51" s="268">
        <f>SUMIFS($X$2:$X879, $D$2:$D879, "Common", $E$2:$E879, "Promo", $F$2:F879, "Druid")</f>
        <v>0</v>
      </c>
      <c r="AP51" s="230">
        <f>COUNTIFS($D$2:$D879, "Common", $E$2:$E879, "Promo", $F$2:F879, "Druid" )</f>
        <v>0</v>
      </c>
      <c r="AQ51" s="229">
        <f>SUMIFS($X$2:$X879, $D$2:$D879, "Common", $E$2:$E879, "Naxx", $F$2:F879, "Druid")</f>
        <v>1</v>
      </c>
      <c r="AR51" s="229">
        <f>COUNTIFS($D$2:$D879, "Common", $E$2:$E879, "Naxx", $F$2:F879, "Druid" )</f>
        <v>1</v>
      </c>
      <c r="AS51" s="268">
        <f>SUMIFS($X$2:$X879, $D$2:$D879, "Common", $E$2:$E879, "GvG", $F$2:F879, "Druid")</f>
        <v>2</v>
      </c>
      <c r="AT51" s="230">
        <f>COUNTIFS($D$2:$D879, "Common", $E$2:$E879, "GvG", $F$2:F879, "Druid" )</f>
        <v>2</v>
      </c>
      <c r="AU51" s="229">
        <f>SUMIFS($X$2:$X879, $D$2:$D879, "Common", $E$2:$E879, "Blackrock", $F$2:F879, "Druid")</f>
        <v>1</v>
      </c>
      <c r="AV51" s="229">
        <f>COUNTIFS($D$2:$D879, "Common", $E$2:$E879, "Blackrock", $F$2:F879, "Druid" )</f>
        <v>1</v>
      </c>
      <c r="AW51" s="229">
        <f>SUMIFS($X$2:$X879, $D$2:$D879, "Common", $E$2:$E879, "TGT", $F$2:F879, "Druid")</f>
        <v>3</v>
      </c>
      <c r="AX51" s="230">
        <f>COUNTIFS($D$2:$D879, "Common", $E$2:$E879, "TGT", $F$2:F879, "Druid" )</f>
        <v>3</v>
      </c>
      <c r="AY51" s="229">
        <f>SUMIFS($X$2:$X879, $D$2:$D879, "Common", $E$2:$E879, "LoE", $F$2:F879, "Druid")</f>
        <v>2</v>
      </c>
      <c r="AZ51" s="230">
        <f>COUNTIFS($D$2:$D879, "Common", $E$2:$E879, "LoE", $F$2:F879, "Druid" )</f>
        <v>2</v>
      </c>
      <c r="BA51" s="229">
        <f>SUMIFS($X$2:$X879, $D$2:$D879, "Common", $E$2:$E879, "TOG", $F$2:F879, "Druid")</f>
        <v>3</v>
      </c>
      <c r="BB51" s="230">
        <f>COUNTIFS($D$2:$D879, "Common", $E$2:$E879, "TOG", $F$2:F879, "Druid" )</f>
        <v>3</v>
      </c>
      <c r="BC51" s="229">
        <f>SUMIFS($X$2:$X879, $D$2:$D879, "Common", $E$2:$E879, "Adv4", $F$2:F879, "Druid")</f>
        <v>0</v>
      </c>
      <c r="BD51" s="230">
        <f>COUNTIFS($D$2:$D879, "Common", $E$2:$E879, "Adv4", $F$2:F879, "Druid" )</f>
        <v>0</v>
      </c>
    </row>
    <row r="52" spans="1:56" ht="14.25">
      <c r="A52" s="187"/>
      <c r="B52" s="217">
        <v>2</v>
      </c>
      <c r="C52" s="218" t="s">
        <v>269</v>
      </c>
      <c r="D52" s="190" t="s">
        <v>58</v>
      </c>
      <c r="E52" s="190" t="s">
        <v>58</v>
      </c>
      <c r="F52" s="190" t="s">
        <v>8</v>
      </c>
      <c r="G52" s="191">
        <f>COUNTIFS(Reference!F:F,C52,Reference!G:G,"&lt;="&amp;VLOOKUP($F52,Setup!$C$9:$D$17,2,0))</f>
        <v>2</v>
      </c>
      <c r="H52" s="191">
        <f>COUNTIFS(Reference!B:B,C52,Reference!C:C,"&lt;="&amp;VLOOKUP("Druid",Setup!$C$9:$D$17,2,0))</f>
        <v>2</v>
      </c>
      <c r="I52" s="192">
        <v>1</v>
      </c>
      <c r="J52" s="192">
        <v>1</v>
      </c>
      <c r="K52" s="190" t="s">
        <v>146</v>
      </c>
      <c r="L52" s="190"/>
      <c r="M52" s="190"/>
      <c r="N52" s="210"/>
      <c r="O52" s="193" t="s">
        <v>270</v>
      </c>
      <c r="P52" s="194"/>
      <c r="Q52" s="190" t="s">
        <v>148</v>
      </c>
      <c r="R52" s="173"/>
      <c r="S52" s="195">
        <f>MATCH($D52,Reference!$J$5:$J$9,0)</f>
        <v>1</v>
      </c>
      <c r="T52" s="195">
        <f>MATCH($E52,Reference!$J$26:$J$32,0)</f>
        <v>1</v>
      </c>
      <c r="U52" s="195">
        <f>MATCH($F52,Reference!$J$45:$J$54,0)</f>
        <v>1</v>
      </c>
      <c r="V52" s="196">
        <f>MATCH($K52,Reference!$J$37:$J$39,0)</f>
        <v>2</v>
      </c>
      <c r="W52" s="197">
        <f t="shared" si="0"/>
        <v>2</v>
      </c>
      <c r="X52" s="197">
        <f t="shared" si="1"/>
        <v>1</v>
      </c>
      <c r="Y52" s="198">
        <v>0</v>
      </c>
      <c r="Z52" s="197">
        <f t="shared" si="2"/>
        <v>2</v>
      </c>
      <c r="AA52" s="199" t="b">
        <f t="shared" si="3"/>
        <v>0</v>
      </c>
      <c r="AB52" s="199" t="b">
        <f t="shared" si="4"/>
        <v>0</v>
      </c>
      <c r="AC52" s="200">
        <f t="shared" ref="AC52:AD52" si="85">1-I52</f>
        <v>0</v>
      </c>
      <c r="AD52" s="200">
        <f t="shared" si="85"/>
        <v>0</v>
      </c>
      <c r="AE52" s="199">
        <f t="shared" si="6"/>
        <v>2</v>
      </c>
      <c r="AF52" s="201">
        <f t="shared" si="7"/>
        <v>2</v>
      </c>
      <c r="AG52" s="201">
        <f t="shared" si="8"/>
        <v>1</v>
      </c>
      <c r="AH52" s="202">
        <f t="shared" si="9"/>
        <v>0</v>
      </c>
      <c r="AI52" s="205"/>
      <c r="AJ52" s="241" t="s">
        <v>68</v>
      </c>
      <c r="AK52" s="242">
        <f t="shared" ref="AK52:AL52" si="86">SUM(AO52+AM52+AQ52+AS52+AU52+AW52+AY52+BA52+BC52)</f>
        <v>16</v>
      </c>
      <c r="AL52" s="242">
        <f t="shared" si="86"/>
        <v>16</v>
      </c>
      <c r="AM52" s="269">
        <f>SUMIFS($X$2:$X879, $D$2:$D879, "Rare", $E$2:$E879, "Classic", $F$2:F879, "Druid")</f>
        <v>5</v>
      </c>
      <c r="AN52" s="269">
        <f>COUNTIFS($D$2:$D879, "Rare", $E$2:$E879, "Classic", $F$2:F879, "Druid" )</f>
        <v>5</v>
      </c>
      <c r="AO52" s="270">
        <f>SUMIFS($X$2:$X879, $D$2:$D879, "Rare", $E$2:$E879, "Promo", $F$2:F879, "Druid")</f>
        <v>0</v>
      </c>
      <c r="AP52" s="271">
        <f>COUNTIFS($D$2:$D879, "Rare", $E$2:$E879, "Promo", $F$2:F879, "Druid" )</f>
        <v>0</v>
      </c>
      <c r="AQ52" s="269">
        <f>SUMIFS($X$2:$X879, $D$2:$D879, "Rare", $E$2:$E879, "Naxx", $F$2:F879, "Druid")</f>
        <v>0</v>
      </c>
      <c r="AR52" s="269">
        <f>COUNTIFS($D$2:$D879, "Rare", $E$2:$E879, "Naxx", $F$2:F879, "Druid" )</f>
        <v>0</v>
      </c>
      <c r="AS52" s="270">
        <f>SUMIFS($X$2:$X879, $D$2:$D879, "Rare", $E$2:$E879, "GvG", $F$2:F879, "Druid")</f>
        <v>3</v>
      </c>
      <c r="AT52" s="271">
        <f>COUNTIFS($D$2:$D879, "Rare", $E$2:$E879, "GvG", $F$2:F879, "Druid" )</f>
        <v>3</v>
      </c>
      <c r="AU52" s="269">
        <f>SUMIFS($X$2:$X879, $D$2:$D879, "Rare", $E$2:$E879, "Blackrock", $F$2:F879, "Druid")</f>
        <v>1</v>
      </c>
      <c r="AV52" s="269">
        <f>COUNTIFS($D$2:$D879, "Rare", $E$2:$E879, "Blackrock", $F$2:F879, "Druid" )</f>
        <v>1</v>
      </c>
      <c r="AW52" s="269">
        <f>SUMIFS($X$2:$X879, $D$2:$D879, "Rare", $E$2:$E879, "TGT", $F$2:F879, "Druid")</f>
        <v>3</v>
      </c>
      <c r="AX52" s="271">
        <f>COUNTIFS($D$2:$D879, "Rare", $E$2:$E879, "TGT", $F$2:F879, "Druid" )</f>
        <v>3</v>
      </c>
      <c r="AY52" s="269">
        <f>SUMIFS($X$2:$X879, $D$2:$D879, "Rare", $E$2:$E879, "LoE", $F$2:F879, "Druid")</f>
        <v>1</v>
      </c>
      <c r="AZ52" s="271">
        <f>COUNTIFS($D$2:$D879, "Rare", $E$2:$E879, "LoE", $F$2:F879, "Druid" )</f>
        <v>1</v>
      </c>
      <c r="BA52" s="269">
        <f>SUMIFS($X$2:$X879, $D$2:$D879, "Rare", $E$2:$E879, "TOG", $F$2:F879, "Druid")</f>
        <v>3</v>
      </c>
      <c r="BB52" s="271">
        <f>COUNTIFS($D$2:$D879, "Rare", $E$2:$E879, "TOG", $F$2:F879, "Druid" )</f>
        <v>3</v>
      </c>
      <c r="BC52" s="269">
        <f>SUMIFS($X$2:$X879, $D$2:$D879, "Rare", $E$2:$E879, "Adv4", $F$2:F879, "Druid")</f>
        <v>0</v>
      </c>
      <c r="BD52" s="271">
        <f>COUNTIFS($D$2:$D879, "Rare", $E$2:$E879, "Adv4", $F$2:F879, "Druid" )</f>
        <v>0</v>
      </c>
    </row>
    <row r="53" spans="1:56" ht="14.25">
      <c r="A53" s="206"/>
      <c r="B53" s="188">
        <v>2</v>
      </c>
      <c r="C53" s="189" t="s">
        <v>271</v>
      </c>
      <c r="D53" s="190" t="s">
        <v>58</v>
      </c>
      <c r="E53" s="190" t="s">
        <v>58</v>
      </c>
      <c r="F53" s="190" t="s">
        <v>18</v>
      </c>
      <c r="G53" s="191">
        <f>COUNTIFS(Reference!F:F,C53,Reference!G:G,"&lt;="&amp;VLOOKUP($F53,Setup!$C$9:$D$17,2,0))</f>
        <v>2</v>
      </c>
      <c r="H53" s="191">
        <f>COUNTIFS(Reference!B:B,C53,Reference!C:C,"&lt;="&amp;VLOOKUP("Priest",Setup!$C$9:$D$17,2,0))</f>
        <v>2</v>
      </c>
      <c r="I53" s="192">
        <v>1</v>
      </c>
      <c r="J53" s="192">
        <v>1</v>
      </c>
      <c r="K53" s="190" t="s">
        <v>146</v>
      </c>
      <c r="L53" s="190"/>
      <c r="M53" s="190"/>
      <c r="N53" s="210"/>
      <c r="O53" s="193" t="s">
        <v>272</v>
      </c>
      <c r="P53" s="194"/>
      <c r="Q53" s="190" t="s">
        <v>148</v>
      </c>
      <c r="R53" s="173"/>
      <c r="S53" s="195">
        <f>MATCH($D53,Reference!$J$5:$J$9,0)</f>
        <v>1</v>
      </c>
      <c r="T53" s="195">
        <f>MATCH($E53,Reference!$J$26:$J$32,0)</f>
        <v>1</v>
      </c>
      <c r="U53" s="195">
        <f>MATCH($F53,Reference!$J$45:$J$54,0)</f>
        <v>5</v>
      </c>
      <c r="V53" s="196">
        <f>MATCH($K53,Reference!$J$37:$J$39,0)</f>
        <v>2</v>
      </c>
      <c r="W53" s="197">
        <f t="shared" si="0"/>
        <v>2</v>
      </c>
      <c r="X53" s="197">
        <f t="shared" si="1"/>
        <v>1</v>
      </c>
      <c r="Y53" s="198">
        <v>0</v>
      </c>
      <c r="Z53" s="197">
        <f t="shared" si="2"/>
        <v>2</v>
      </c>
      <c r="AA53" s="199" t="b">
        <f t="shared" si="3"/>
        <v>0</v>
      </c>
      <c r="AB53" s="199" t="b">
        <f t="shared" si="4"/>
        <v>0</v>
      </c>
      <c r="AC53" s="200">
        <f t="shared" ref="AC53:AD53" si="87">1-I53</f>
        <v>0</v>
      </c>
      <c r="AD53" s="200">
        <f t="shared" si="87"/>
        <v>0</v>
      </c>
      <c r="AE53" s="199">
        <f t="shared" si="6"/>
        <v>2</v>
      </c>
      <c r="AF53" s="201">
        <f t="shared" si="7"/>
        <v>2</v>
      </c>
      <c r="AG53" s="201">
        <f t="shared" si="8"/>
        <v>1</v>
      </c>
      <c r="AH53" s="202">
        <f t="shared" si="9"/>
        <v>0</v>
      </c>
      <c r="AI53" s="205"/>
      <c r="AJ53" s="245" t="s">
        <v>69</v>
      </c>
      <c r="AK53" s="246">
        <f t="shared" ref="AK53:AL53" si="88">SUM(AO53+AM53+AQ53+AS53+AU53+AW53+AY53+BA53+BC53)</f>
        <v>7</v>
      </c>
      <c r="AL53" s="246">
        <f t="shared" si="88"/>
        <v>9</v>
      </c>
      <c r="AM53" s="272">
        <f>SUMIFS($X$2:$X879, $D$2:$D879, "Epic", $E$2:$E879, "Classic", $F$2:F879, "Druid")</f>
        <v>3</v>
      </c>
      <c r="AN53" s="272">
        <f>COUNTIFS($D$2:$D879, "Epic", $E$2:$E879, "Classic", $F$2:F879, "Druid" )</f>
        <v>3</v>
      </c>
      <c r="AO53" s="273">
        <f>SUMIFS($X$2:$X879, $D$2:$D879, "Epic", $E$2:$E879, "Promo", $F$2:F879, "Druid")</f>
        <v>0</v>
      </c>
      <c r="AP53" s="274">
        <f>COUNTIFS($D$2:$D879, "Epic", $E$2:$E879, "Promo", $F$2:F879, "Druid" )</f>
        <v>0</v>
      </c>
      <c r="AQ53" s="272">
        <f>SUMIFS($X$2:$X879, $D$2:$D879, "Epic", $E$2:$E879, "Naxx", $F$2:F879, "Druid")</f>
        <v>0</v>
      </c>
      <c r="AR53" s="272">
        <f>COUNTIFS($D$2:$D879, "Epic", $E$2:$E879, "Naxx", $F$2:F879, "Druid" )</f>
        <v>0</v>
      </c>
      <c r="AS53" s="273">
        <f>SUMIFS($X$2:$X879, $D$2:$D879, "Epic", $E$2:$E879, "GvG", $F$2:F879, "Druid")</f>
        <v>2</v>
      </c>
      <c r="AT53" s="274">
        <f>COUNTIFS($D$2:$D879, "Epic", $E$2:$E879, "GvG", $F$2:F879, "Druid" )</f>
        <v>2</v>
      </c>
      <c r="AU53" s="272">
        <f>SUMIFS($X$2:$X879, $D$2:$D879, "Epic", $E$2:$E879, "Blackrock", $F$2:F879, "Druid")</f>
        <v>0</v>
      </c>
      <c r="AV53" s="272">
        <f>COUNTIFS($D$2:$D879, "Epic", $E$2:$E879, "Blackrock", $F$2:F879, "Druid" )</f>
        <v>0</v>
      </c>
      <c r="AW53" s="272">
        <f>SUMIFS($X$2:$X879, $D$2:$D879, "Epic", $E$2:$E879, "TGT", $F$2:F879, "Druid")</f>
        <v>2</v>
      </c>
      <c r="AX53" s="274">
        <f>COUNTIFS($D$2:$D879, "Epic", $E$2:$E879, "TGT", $F$2:F879, "Druid" )</f>
        <v>2</v>
      </c>
      <c r="AY53" s="272">
        <f>SUMIFS($X$2:$X879, $D$2:$D879, "Epic", $E$2:$E879, "LoE", $F$2:F879, "Druid")</f>
        <v>0</v>
      </c>
      <c r="AZ53" s="274">
        <f>COUNTIFS($D$2:$D879, "Epic", $E$2:$E879, "LoE", $F$2:F879, "Druid" )</f>
        <v>0</v>
      </c>
      <c r="BA53" s="272">
        <f>SUMIFS($X$2:$X879, $D$2:$D879, "Epic", $E$2:$E879, "TOG", $F$2:F879, "Druid")</f>
        <v>0</v>
      </c>
      <c r="BB53" s="274">
        <f>COUNTIFS($D$2:$D879, "Epic", $E$2:$E879, "TOG", $F$2:F879, "Druid" )</f>
        <v>2</v>
      </c>
      <c r="BC53" s="272">
        <f>SUMIFS($X$2:$X879, $D$2:$D879, "Epic", $E$2:$E879, "Adv4", $F$2:F879, "Druid")</f>
        <v>0</v>
      </c>
      <c r="BD53" s="274">
        <f>COUNTIFS($D$2:$D879, "Epic", $E$2:$E879, "Adv4", $F$2:F879, "Druid" )</f>
        <v>0</v>
      </c>
    </row>
    <row r="54" spans="1:56" ht="14.25">
      <c r="A54" s="206"/>
      <c r="B54" s="217">
        <v>2</v>
      </c>
      <c r="C54" s="218" t="s">
        <v>273</v>
      </c>
      <c r="D54" s="190" t="s">
        <v>58</v>
      </c>
      <c r="E54" s="190" t="s">
        <v>58</v>
      </c>
      <c r="F54" s="190" t="s">
        <v>115</v>
      </c>
      <c r="G54" s="215">
        <v>2</v>
      </c>
      <c r="H54" s="191">
        <f>COUNTIFS(Reference!D:D,VLOOKUP(C54,Reference!B:D,3,0),Reference!C:C,"&lt;="&amp;VLOOKUP(VLOOKUP(C54,Reference!B:D,3,0),Setup!$C$9:$D$17,2,0),Reference!B:B,C54)</f>
        <v>0</v>
      </c>
      <c r="I54" s="192">
        <v>1</v>
      </c>
      <c r="J54" s="192">
        <v>1</v>
      </c>
      <c r="K54" s="190" t="s">
        <v>182</v>
      </c>
      <c r="L54" s="190" t="s">
        <v>195</v>
      </c>
      <c r="M54" s="190">
        <v>2</v>
      </c>
      <c r="N54" s="223">
        <v>1</v>
      </c>
      <c r="O54" s="193" t="s">
        <v>274</v>
      </c>
      <c r="P54" s="194" t="s">
        <v>275</v>
      </c>
      <c r="Q54" s="190" t="s">
        <v>148</v>
      </c>
      <c r="R54" s="173"/>
      <c r="S54" s="195">
        <f>MATCH($D54,Reference!$J$5:$J$9,0)</f>
        <v>1</v>
      </c>
      <c r="T54" s="195">
        <f>MATCH($E54,Reference!$J$26:$J$32,0)</f>
        <v>1</v>
      </c>
      <c r="U54" s="195">
        <f>MATCH($F54,Reference!$J$45:$J$54,0)</f>
        <v>10</v>
      </c>
      <c r="V54" s="196">
        <f>MATCH($K54,Reference!$J$37:$J$39,0)</f>
        <v>3</v>
      </c>
      <c r="W54" s="197">
        <f t="shared" si="0"/>
        <v>2</v>
      </c>
      <c r="X54" s="197">
        <f t="shared" si="1"/>
        <v>1</v>
      </c>
      <c r="Y54" s="198">
        <v>0</v>
      </c>
      <c r="Z54" s="197">
        <f t="shared" si="2"/>
        <v>2</v>
      </c>
      <c r="AA54" s="199" t="b">
        <f t="shared" si="3"/>
        <v>0</v>
      </c>
      <c r="AB54" s="199" t="b">
        <f t="shared" si="4"/>
        <v>0</v>
      </c>
      <c r="AC54" s="200">
        <f t="shared" ref="AC54:AD54" si="89">1-I54</f>
        <v>0</v>
      </c>
      <c r="AD54" s="200">
        <f t="shared" si="89"/>
        <v>0</v>
      </c>
      <c r="AE54" s="199">
        <f t="shared" si="6"/>
        <v>2</v>
      </c>
      <c r="AF54" s="201">
        <f t="shared" si="7"/>
        <v>0</v>
      </c>
      <c r="AG54" s="201">
        <f t="shared" si="8"/>
        <v>1</v>
      </c>
      <c r="AH54" s="202">
        <f t="shared" si="9"/>
        <v>0</v>
      </c>
      <c r="AI54" s="205"/>
      <c r="AJ54" s="249" t="s">
        <v>70</v>
      </c>
      <c r="AK54" s="250">
        <f t="shared" ref="AK54:AL54" si="90">SUM(AO54+AM54+AQ54+AS54+AU54+AW54+AY54+BA54+BC54)</f>
        <v>1</v>
      </c>
      <c r="AL54" s="250">
        <f t="shared" si="90"/>
        <v>4</v>
      </c>
      <c r="AM54" s="275">
        <f>SUMIFS($X$2:$X879, $D$2:$D879, "Legendary", $E$2:$E879, "Classic", $F$2:F879, "Druid")</f>
        <v>1</v>
      </c>
      <c r="AN54" s="275">
        <f>COUNTIFS($D$2:$D879, "Legendary", $E$2:$E879, "Classic", $F$2:F879, "Druid" )</f>
        <v>1</v>
      </c>
      <c r="AO54" s="276">
        <f>SUMIFS($X$2:$X879, $D$2:$D879, "Legendary", $E$2:$E879, "Promo", $F$2:F879, "Druid")</f>
        <v>0</v>
      </c>
      <c r="AP54" s="277">
        <f>COUNTIFS($D$2:$D879, "Legendary", $E$2:$E879, "Promo", $F$2:F879, "Druid" )</f>
        <v>0</v>
      </c>
      <c r="AQ54" s="275">
        <f>SUMIFS($X$2:$X879, $D$2:$D879, "Legendary", $E$2:$E879, "Naxx", $F$2:F879, "Druid")</f>
        <v>0</v>
      </c>
      <c r="AR54" s="275">
        <f>COUNTIFS($D$2:$D879, "Legendary", $E$2:$E879, "Naxx", $F$2:F879, "Druid" )</f>
        <v>0</v>
      </c>
      <c r="AS54" s="276">
        <f>SUMIFS($X$2:$X879, $D$2:$D879, "Legendary", $E$2:$E879, "GvG", $F$2:F879, "Druid")</f>
        <v>0</v>
      </c>
      <c r="AT54" s="277">
        <f>COUNTIFS($D$2:$D879, "Legendary", $E$2:$E879, "GvG", $F$2:F879, "Druid" )</f>
        <v>1</v>
      </c>
      <c r="AU54" s="275">
        <f>SUMIFS($X$2:$X879, $D$2:$D879, "Legendary", $E$2:$E879, "Blackrock", $F$2:F879, "Druid")</f>
        <v>0</v>
      </c>
      <c r="AV54" s="275">
        <f>COUNTIFS($D$2:$D879, "Legendary", $E$2:$E879, "Blackrock", $F$2:F879, "Druid" )</f>
        <v>0</v>
      </c>
      <c r="AW54" s="275">
        <f>SUMIFS($X$2:$X879, $D$2:$D879, "Legendary", $E$2:$E879, "TGT", $F$2:F879, "Druid")</f>
        <v>0</v>
      </c>
      <c r="AX54" s="277">
        <f>COUNTIFS($D$2:$D879, "Legendary", $E$2:$E879, "TGT", $F$2:F879, "Druid" )</f>
        <v>1</v>
      </c>
      <c r="AY54" s="275">
        <f>SUMIFS($X$2:$X879, $D$2:$D879, "Legendary", $E$2:$E879, "LoE", $F$2:F879, "Druid")</f>
        <v>0</v>
      </c>
      <c r="AZ54" s="277">
        <f>COUNTIFS($D$2:$D879, "Legendary", $E$2:$E879, "LoE", $F$2:F879, "Druid" )</f>
        <v>0</v>
      </c>
      <c r="BA54" s="275">
        <f>SUMIFS($X$2:$X879, $D$2:$D879, "Legendary", $E$2:$E879, "TOG", $F$2:F879, "Druid")</f>
        <v>0</v>
      </c>
      <c r="BB54" s="277">
        <f>COUNTIFS($D$2:$D879, "Legendary", $E$2:$E879, "TOG", $F$2:F879, "Druid" )</f>
        <v>1</v>
      </c>
      <c r="BC54" s="275">
        <f>SUMIFS($X$2:$X879, $D$2:$D879, "Legendary", $E$2:$E879, "Adv4", $F$2:F879, "Druid")</f>
        <v>0</v>
      </c>
      <c r="BD54" s="277">
        <f>COUNTIFS($D$2:$D879, "Legendary", $E$2:$E879, "Adv4", $F$2:F879, "Druid" )</f>
        <v>0</v>
      </c>
    </row>
    <row r="55" spans="1:56" ht="14.25">
      <c r="A55" s="240"/>
      <c r="B55" s="217">
        <v>2</v>
      </c>
      <c r="C55" s="218" t="s">
        <v>276</v>
      </c>
      <c r="D55" s="190" t="s">
        <v>58</v>
      </c>
      <c r="E55" s="190" t="s">
        <v>58</v>
      </c>
      <c r="F55" s="190" t="s">
        <v>115</v>
      </c>
      <c r="G55" s="215">
        <v>2</v>
      </c>
      <c r="H55" s="191">
        <f>COUNTIFS(Reference!D:D,VLOOKUP(C55,Reference!B:D,3,0),Reference!C:C,"&lt;="&amp;VLOOKUP(VLOOKUP(C55,Reference!B:D,3,0),Setup!$C$9:$D$17,2,0),Reference!B:B,C55)</f>
        <v>0</v>
      </c>
      <c r="I55" s="192">
        <v>1</v>
      </c>
      <c r="J55" s="192">
        <v>1</v>
      </c>
      <c r="K55" s="215" t="s">
        <v>182</v>
      </c>
      <c r="L55" s="191"/>
      <c r="M55" s="215">
        <v>1</v>
      </c>
      <c r="N55" s="215">
        <v>1</v>
      </c>
      <c r="O55" s="193" t="s">
        <v>277</v>
      </c>
      <c r="P55" s="194" t="s">
        <v>275</v>
      </c>
      <c r="Q55" s="190" t="s">
        <v>148</v>
      </c>
      <c r="R55" s="173"/>
      <c r="S55" s="195">
        <f>MATCH($D55,Reference!$J$5:$J$9,0)</f>
        <v>1</v>
      </c>
      <c r="T55" s="195">
        <f>MATCH($E55,Reference!$J$26:$J$32,0)</f>
        <v>1</v>
      </c>
      <c r="U55" s="195">
        <f>MATCH($F55,Reference!$J$45:$J$54,0)</f>
        <v>10</v>
      </c>
      <c r="V55" s="196">
        <f>MATCH($K55,Reference!$J$37:$J$39,0)</f>
        <v>3</v>
      </c>
      <c r="W55" s="197">
        <f t="shared" si="0"/>
        <v>2</v>
      </c>
      <c r="X55" s="197">
        <f t="shared" si="1"/>
        <v>1</v>
      </c>
      <c r="Y55" s="198">
        <v>0</v>
      </c>
      <c r="Z55" s="197">
        <f t="shared" si="2"/>
        <v>2</v>
      </c>
      <c r="AA55" s="199" t="b">
        <f t="shared" si="3"/>
        <v>0</v>
      </c>
      <c r="AB55" s="199" t="b">
        <f t="shared" si="4"/>
        <v>0</v>
      </c>
      <c r="AC55" s="200">
        <f t="shared" ref="AC55:AD55" si="91">1-I55</f>
        <v>0</v>
      </c>
      <c r="AD55" s="200">
        <f t="shared" si="91"/>
        <v>0</v>
      </c>
      <c r="AE55" s="199">
        <f t="shared" si="6"/>
        <v>2</v>
      </c>
      <c r="AF55" s="201">
        <f t="shared" si="7"/>
        <v>0</v>
      </c>
      <c r="AG55" s="201">
        <f t="shared" si="8"/>
        <v>1</v>
      </c>
      <c r="AH55" s="202">
        <f t="shared" si="9"/>
        <v>0</v>
      </c>
      <c r="AI55" s="205"/>
      <c r="AJ55" s="253" t="s">
        <v>240</v>
      </c>
      <c r="AK55" s="229"/>
      <c r="AL55" s="230"/>
      <c r="AM55" s="229"/>
      <c r="AN55" s="230"/>
      <c r="AO55" s="254"/>
      <c r="AP55" s="255"/>
      <c r="AQ55" s="229"/>
      <c r="AR55" s="230"/>
      <c r="AS55" s="254"/>
      <c r="AT55" s="255"/>
      <c r="AU55" s="229"/>
      <c r="AV55" s="230"/>
      <c r="AW55" s="229"/>
      <c r="AX55" s="230"/>
      <c r="AY55" s="229"/>
      <c r="AZ55" s="230"/>
      <c r="BA55" s="229"/>
      <c r="BB55" s="230"/>
      <c r="BC55" s="229"/>
      <c r="BD55" s="230"/>
    </row>
    <row r="56" spans="1:56" ht="14.25">
      <c r="A56" s="209"/>
      <c r="B56" s="217">
        <v>2</v>
      </c>
      <c r="C56" s="218" t="s">
        <v>278</v>
      </c>
      <c r="D56" s="190" t="s">
        <v>58</v>
      </c>
      <c r="E56" s="190" t="s">
        <v>58</v>
      </c>
      <c r="F56" s="190" t="s">
        <v>115</v>
      </c>
      <c r="G56" s="215">
        <v>2</v>
      </c>
      <c r="H56" s="191">
        <f>COUNTIFS(Reference!D:D,VLOOKUP(C56,Reference!B:D,3,0),Reference!C:C,"&lt;="&amp;VLOOKUP(VLOOKUP(C56,Reference!B:D,3,0),Setup!$C$9:$D$17,2,0),Reference!B:B,C56)</f>
        <v>0</v>
      </c>
      <c r="I56" s="192">
        <v>1</v>
      </c>
      <c r="J56" s="192">
        <v>1</v>
      </c>
      <c r="K56" s="215" t="s">
        <v>182</v>
      </c>
      <c r="L56" s="191" t="s">
        <v>230</v>
      </c>
      <c r="M56" s="215">
        <v>2</v>
      </c>
      <c r="N56" s="215">
        <v>3</v>
      </c>
      <c r="O56" s="193"/>
      <c r="P56" s="194"/>
      <c r="Q56" s="190" t="s">
        <v>148</v>
      </c>
      <c r="R56" s="173"/>
      <c r="S56" s="195">
        <f>MATCH($D56,Reference!$J$5:$J$9,0)</f>
        <v>1</v>
      </c>
      <c r="T56" s="195">
        <f>MATCH($E56,Reference!$J$26:$J$32,0)</f>
        <v>1</v>
      </c>
      <c r="U56" s="195">
        <f>MATCH($F56,Reference!$J$45:$J$54,0)</f>
        <v>10</v>
      </c>
      <c r="V56" s="196">
        <f>MATCH($K56,Reference!$J$37:$J$39,0)</f>
        <v>3</v>
      </c>
      <c r="W56" s="197">
        <f t="shared" si="0"/>
        <v>2</v>
      </c>
      <c r="X56" s="197">
        <f t="shared" si="1"/>
        <v>1</v>
      </c>
      <c r="Y56" s="198">
        <v>0</v>
      </c>
      <c r="Z56" s="197">
        <f t="shared" si="2"/>
        <v>2</v>
      </c>
      <c r="AA56" s="199" t="b">
        <f t="shared" si="3"/>
        <v>0</v>
      </c>
      <c r="AB56" s="199" t="b">
        <f t="shared" si="4"/>
        <v>0</v>
      </c>
      <c r="AC56" s="200">
        <f t="shared" ref="AC56:AD56" si="92">1-I56</f>
        <v>0</v>
      </c>
      <c r="AD56" s="200">
        <f t="shared" si="92"/>
        <v>0</v>
      </c>
      <c r="AE56" s="199">
        <f t="shared" si="6"/>
        <v>2</v>
      </c>
      <c r="AF56" s="201">
        <f t="shared" si="7"/>
        <v>0</v>
      </c>
      <c r="AG56" s="201">
        <f t="shared" si="8"/>
        <v>1</v>
      </c>
      <c r="AH56" s="202">
        <f t="shared" si="9"/>
        <v>0</v>
      </c>
      <c r="AI56" s="205"/>
      <c r="AJ56" s="231" t="s">
        <v>58</v>
      </c>
      <c r="AK56" s="232">
        <f t="shared" ref="AK56:AL56" si="93">SUM(AO56+AM56+AQ56+AS56+AU56+AW56+AY56+BA56+BC56)</f>
        <v>20</v>
      </c>
      <c r="AL56" s="232">
        <f t="shared" si="93"/>
        <v>20</v>
      </c>
      <c r="AM56" s="191">
        <f>SUMIFS($W$2:$W879, $E$2:$E879, "Basic", $F$2:F879, "Druid")</f>
        <v>20</v>
      </c>
      <c r="AN56" s="232">
        <f>COUNTIFS($E$2:$E879, "Basic", $F$2:F879, "Druid" )*2</f>
        <v>20</v>
      </c>
      <c r="AO56" s="234"/>
      <c r="AP56" s="235"/>
      <c r="AQ56" s="191"/>
      <c r="AR56" s="191"/>
      <c r="AS56" s="234"/>
      <c r="AT56" s="235"/>
      <c r="AU56" s="191"/>
      <c r="AV56" s="191"/>
      <c r="AW56" s="191"/>
      <c r="AX56" s="235"/>
      <c r="AY56" s="191"/>
      <c r="AZ56" s="235"/>
      <c r="BA56" s="191"/>
      <c r="BB56" s="235"/>
      <c r="BC56" s="191"/>
      <c r="BD56" s="235"/>
    </row>
    <row r="57" spans="1:56" ht="14.25">
      <c r="A57" s="187"/>
      <c r="B57" s="188">
        <v>2</v>
      </c>
      <c r="C57" s="189" t="s">
        <v>279</v>
      </c>
      <c r="D57" s="190" t="s">
        <v>58</v>
      </c>
      <c r="E57" s="190" t="s">
        <v>58</v>
      </c>
      <c r="F57" s="190" t="s">
        <v>20</v>
      </c>
      <c r="G57" s="191">
        <f>COUNTIFS(Reference!F:F,C57,Reference!G:G,"&lt;="&amp;VLOOKUP($F57,Setup!$C$9:$D$17,2,0))</f>
        <v>2</v>
      </c>
      <c r="H57" s="191">
        <f>COUNTIFS(Reference!B:B,C57,Reference!C:C,"&lt;="&amp;VLOOKUP("Rogue",Setup!$C$9:$D$17,2,0))</f>
        <v>0</v>
      </c>
      <c r="I57" s="192">
        <v>1</v>
      </c>
      <c r="J57" s="192">
        <v>1</v>
      </c>
      <c r="K57" s="191" t="s">
        <v>146</v>
      </c>
      <c r="L57" s="191"/>
      <c r="M57" s="191"/>
      <c r="N57" s="191"/>
      <c r="O57" s="193" t="s">
        <v>280</v>
      </c>
      <c r="P57" s="194"/>
      <c r="Q57" s="190" t="s">
        <v>148</v>
      </c>
      <c r="R57" s="173"/>
      <c r="S57" s="195">
        <f>MATCH($D57,Reference!$J$5:$J$9,0)</f>
        <v>1</v>
      </c>
      <c r="T57" s="195">
        <f>MATCH($E57,Reference!$J$26:$J$32,0)</f>
        <v>1</v>
      </c>
      <c r="U57" s="195">
        <f>MATCH($F57,Reference!$J$45:$J$54,0)</f>
        <v>6</v>
      </c>
      <c r="V57" s="196">
        <f>MATCH($K57,Reference!$J$37:$J$39,0)</f>
        <v>2</v>
      </c>
      <c r="W57" s="197">
        <f t="shared" si="0"/>
        <v>2</v>
      </c>
      <c r="X57" s="197">
        <f t="shared" si="1"/>
        <v>1</v>
      </c>
      <c r="Y57" s="198">
        <v>0</v>
      </c>
      <c r="Z57" s="197">
        <f t="shared" si="2"/>
        <v>2</v>
      </c>
      <c r="AA57" s="199" t="b">
        <f t="shared" si="3"/>
        <v>0</v>
      </c>
      <c r="AB57" s="199" t="b">
        <f t="shared" si="4"/>
        <v>0</v>
      </c>
      <c r="AC57" s="200">
        <f t="shared" ref="AC57:AD57" si="94">1-I57</f>
        <v>0</v>
      </c>
      <c r="AD57" s="200">
        <f t="shared" si="94"/>
        <v>0</v>
      </c>
      <c r="AE57" s="199">
        <f t="shared" si="6"/>
        <v>2</v>
      </c>
      <c r="AF57" s="201">
        <f t="shared" si="7"/>
        <v>0</v>
      </c>
      <c r="AG57" s="201">
        <f t="shared" si="8"/>
        <v>1</v>
      </c>
      <c r="AH57" s="202">
        <f t="shared" si="9"/>
        <v>0</v>
      </c>
      <c r="AI57" s="205"/>
      <c r="AJ57" s="256" t="s">
        <v>63</v>
      </c>
      <c r="AK57" s="237">
        <f t="shared" ref="AK57:AL57" si="95">SUM(AO57+AM57+AQ57+AS57+AU57+AW57+AY57+BA57+BC57)</f>
        <v>36</v>
      </c>
      <c r="AL57" s="237">
        <f t="shared" si="95"/>
        <v>36</v>
      </c>
      <c r="AM57" s="229">
        <f>SUMIFS($W$2:$W879, $D$2:$D879, "Common", $E$2:$E879, "Classic", $F$2:F879, "Druid")</f>
        <v>12</v>
      </c>
      <c r="AN57" s="237">
        <f>COUNTIFS($D$2:$D879, "Common", $E$2:$E879, "Classic", $F$2:F879, "Druid" )*2</f>
        <v>12</v>
      </c>
      <c r="AO57" s="268">
        <f>SUMIFS($W$2:$W879, $D$2:$D879, "Common", $E$2:$E879, "Promo", $F$2:F879, "Druid")</f>
        <v>0</v>
      </c>
      <c r="AP57" s="238">
        <f>COUNTIFS($D$2:$D879, "Common", $E$2:$E879, "Promo", $F$2:F879, "Druid" )*2</f>
        <v>0</v>
      </c>
      <c r="AQ57" s="229">
        <f>SUMIFS($W$2:$W879, $D$2:$D879, "Common", $E$2:$E879, "Naxx", $F$2:F879, "Druid")</f>
        <v>2</v>
      </c>
      <c r="AR57" s="237">
        <f>COUNTIFS($D$2:$D879, "Common", $E$2:$E879, "Naxx", $F$2:F879, "Druid" )*2</f>
        <v>2</v>
      </c>
      <c r="AS57" s="268">
        <f>SUMIFS($W$2:$W879, $D$2:$D879, "Common", $E$2:$E879, "GvG", $F$2:F879, "Druid")</f>
        <v>4</v>
      </c>
      <c r="AT57" s="238">
        <f>COUNTIFS($D$2:$D879, "Common", $E$2:$E879, "GvG", $F$2:F879, "Druid" )*2</f>
        <v>4</v>
      </c>
      <c r="AU57" s="229">
        <f>SUMIFS($W$2:$W879, $D$2:$D879, "Common", $E$2:$E879, "Blackrock", $F$2:F879, "Druid")</f>
        <v>2</v>
      </c>
      <c r="AV57" s="237">
        <f>COUNTIFS($D$2:$D879, "Common", $E$2:$E879, "Blackrock", $F$2:F879, "Druid" )*2</f>
        <v>2</v>
      </c>
      <c r="AW57" s="229">
        <f>SUMIFS($W$2:$W879, $D$2:$D879, "Common", $E$2:$E879, "TGT", $F$2:F879, "Druid")</f>
        <v>6</v>
      </c>
      <c r="AX57" s="238">
        <f>COUNTIFS($D$2:$D879, "Common", $E$2:$E879, "TGT", $F$2:F879, "Druid" )*2</f>
        <v>6</v>
      </c>
      <c r="AY57" s="229">
        <f>SUMIFS($W$2:$W879, $D$2:$D879, "Common", $E$2:$E879, "LoE", $F$2:F879, "Druid")</f>
        <v>4</v>
      </c>
      <c r="AZ57" s="238">
        <f>COUNTIFS($D$2:$D879, "Common", $E$2:$E879, "LoE", $F$2:F879, "Druid" )*2</f>
        <v>4</v>
      </c>
      <c r="BA57" s="229">
        <f>SUMIFS($W$2:$W879, $D$2:$D879, "Common", $E$2:$E879, "TOG", $F$2:F879, "Druid")</f>
        <v>6</v>
      </c>
      <c r="BB57" s="238">
        <f>COUNTIFS($D$2:$D879, "Common", $E$2:$E879, "TOG", $F$2:F879, "Druid" )*2</f>
        <v>6</v>
      </c>
      <c r="BC57" s="229">
        <f>SUMIFS($W$2:$W879, $D$2:$D879, "Common", $E$2:$E879, "Adv4", $F$2:F879, "Druid")</f>
        <v>0</v>
      </c>
      <c r="BD57" s="238">
        <f>COUNTIFS($D$2:$D879, "Common", $E$2:$E879, "Adv4", $F$2:F879, "Druid" )*2</f>
        <v>0</v>
      </c>
    </row>
    <row r="58" spans="1:56" ht="14.25">
      <c r="A58" s="213"/>
      <c r="B58" s="217">
        <v>2</v>
      </c>
      <c r="C58" s="218" t="s">
        <v>281</v>
      </c>
      <c r="D58" s="190" t="s">
        <v>58</v>
      </c>
      <c r="E58" s="190" t="s">
        <v>58</v>
      </c>
      <c r="F58" s="190" t="s">
        <v>18</v>
      </c>
      <c r="G58" s="191">
        <f>COUNTIFS(Reference!F:F,C58,Reference!G:G,"&lt;="&amp;VLOOKUP($F58,Setup!$C$9:$D$17,2,0))</f>
        <v>2</v>
      </c>
      <c r="H58" s="191">
        <f>COUNTIFS(Reference!B:B,C58,Reference!C:C,"&lt;="&amp;VLOOKUP("Priest",Setup!$C$9:$D$17,2,0))</f>
        <v>0</v>
      </c>
      <c r="I58" s="192">
        <v>1</v>
      </c>
      <c r="J58" s="192">
        <v>1</v>
      </c>
      <c r="K58" s="191" t="s">
        <v>146</v>
      </c>
      <c r="L58" s="191"/>
      <c r="M58" s="191"/>
      <c r="N58" s="191"/>
      <c r="O58" s="193" t="s">
        <v>282</v>
      </c>
      <c r="P58" s="194"/>
      <c r="Q58" s="190" t="s">
        <v>148</v>
      </c>
      <c r="R58" s="173"/>
      <c r="S58" s="195">
        <f>MATCH($D58,Reference!$J$5:$J$9,0)</f>
        <v>1</v>
      </c>
      <c r="T58" s="195">
        <f>MATCH($E58,Reference!$J$26:$J$32,0)</f>
        <v>1</v>
      </c>
      <c r="U58" s="195">
        <f>MATCH($F58,Reference!$J$45:$J$54,0)</f>
        <v>5</v>
      </c>
      <c r="V58" s="196">
        <f>MATCH($K58,Reference!$J$37:$J$39,0)</f>
        <v>2</v>
      </c>
      <c r="W58" s="197">
        <f t="shared" si="0"/>
        <v>2</v>
      </c>
      <c r="X58" s="197">
        <f t="shared" si="1"/>
        <v>1</v>
      </c>
      <c r="Y58" s="198">
        <v>0</v>
      </c>
      <c r="Z58" s="197">
        <f t="shared" si="2"/>
        <v>2</v>
      </c>
      <c r="AA58" s="199" t="b">
        <f t="shared" si="3"/>
        <v>0</v>
      </c>
      <c r="AB58" s="199" t="b">
        <f t="shared" si="4"/>
        <v>0</v>
      </c>
      <c r="AC58" s="200">
        <f t="shared" ref="AC58:AD58" si="96">1-I58</f>
        <v>0</v>
      </c>
      <c r="AD58" s="200">
        <f t="shared" si="96"/>
        <v>0</v>
      </c>
      <c r="AE58" s="199">
        <f t="shared" si="6"/>
        <v>2</v>
      </c>
      <c r="AF58" s="201">
        <f t="shared" si="7"/>
        <v>0</v>
      </c>
      <c r="AG58" s="201">
        <f t="shared" si="8"/>
        <v>1</v>
      </c>
      <c r="AH58" s="202">
        <f t="shared" si="9"/>
        <v>0</v>
      </c>
      <c r="AI58" s="205"/>
      <c r="AJ58" s="257" t="s">
        <v>68</v>
      </c>
      <c r="AK58" s="242">
        <f t="shared" ref="AK58:AL58" si="97">SUM(AO58+AM58+AQ58+AS58+AU58+AW58+AY58+BA58+BC58)</f>
        <v>31</v>
      </c>
      <c r="AL58" s="242">
        <f t="shared" si="97"/>
        <v>32</v>
      </c>
      <c r="AM58" s="269">
        <f>SUMIFS($W$2:$W879, $D$2:$D879, "Rare", $E$2:$E879, "Classic", $F$2:F879, "Druid")</f>
        <v>10</v>
      </c>
      <c r="AN58" s="242">
        <f>COUNTIFS($D$2:$D879, "Rare", $E$2:$E879, "Classic", $F$2:F879, "Druid" )*2</f>
        <v>10</v>
      </c>
      <c r="AO58" s="270">
        <f>SUMIFS($W$2:$W879, $D$2:$D879, "Rare", $E$2:$E879, "Promo", $F$2:F879, "Druid")</f>
        <v>0</v>
      </c>
      <c r="AP58" s="243">
        <f>COUNTIFS($D$2:$D879, "Rare", $E$2:$E879, "Promo", $F$2:F879, "Druid" )*2</f>
        <v>0</v>
      </c>
      <c r="AQ58" s="269">
        <f>SUMIFS($W$2:$W879, $D$2:$D879, "Rare", $E$2:$E879, "Naxx", $F$2:F879, "Druid")</f>
        <v>0</v>
      </c>
      <c r="AR58" s="242">
        <f>COUNTIFS($D$2:$D879, "Rare", $E$2:$E879, "Naxx", $F$2:F879, "Druid" )*2</f>
        <v>0</v>
      </c>
      <c r="AS58" s="270">
        <f>SUMIFS($W$2:$W879, $D$2:$D879, "Rare", $E$2:$E879, "GvG", $F$2:F879, "Druid")</f>
        <v>5</v>
      </c>
      <c r="AT58" s="243">
        <f>COUNTIFS($D$2:$D879, "Rare", $E$2:$E879, "GvG", $F$2:F879, "Druid" )*2</f>
        <v>6</v>
      </c>
      <c r="AU58" s="269">
        <f>SUMIFS($W$2:$W879, $D$2:$D879, "Rare", $E$2:$E879, "Blackrock", $F$2:F879, "Druid")</f>
        <v>2</v>
      </c>
      <c r="AV58" s="242">
        <f>COUNTIFS($D$2:$D879, "Rare", $E$2:$E879, "Blackrock", $F$2:F879, "Druid" )*2</f>
        <v>2</v>
      </c>
      <c r="AW58" s="269">
        <f>SUMIFS($W$2:$W879, $D$2:$D879, "Rare", $E$2:$E879, "TGT", $F$2:F879, "Druid")</f>
        <v>6</v>
      </c>
      <c r="AX58" s="243">
        <f>COUNTIFS($D$2:$D879, "Rare", $E$2:$E879, "TGT", $F$2:F879, "Druid" )*2</f>
        <v>6</v>
      </c>
      <c r="AY58" s="269">
        <f>SUMIFS($W$2:$W879, $D$2:$D879, "Rare", $E$2:$E879, "LoE", $F$2:F879, "Druid")</f>
        <v>2</v>
      </c>
      <c r="AZ58" s="243">
        <f>COUNTIFS($D$2:$D879, "Rare", $E$2:$E879, "LoE", $F$2:F879, "Druid" )*2</f>
        <v>2</v>
      </c>
      <c r="BA58" s="269">
        <f>SUMIFS($W$2:$W879, $D$2:$D879, "Rare", $E$2:$E879, "TOG", $F$2:F879, "Druid")</f>
        <v>6</v>
      </c>
      <c r="BB58" s="243">
        <f>COUNTIFS($D$2:$D879, "Rare", $E$2:$E879, "TOG", $F$2:F879, "Druid" )*2</f>
        <v>6</v>
      </c>
      <c r="BC58" s="269">
        <f>SUMIFS($W$2:$W879, $D$2:$D879, "Rare", $E$2:$E879, "Adv4", $F$2:F879, "Druid")</f>
        <v>0</v>
      </c>
      <c r="BD58" s="243">
        <f>COUNTIFS($D$2:$D879, "Rare", $E$2:$E879, "Adv4", $F$2:F879, "Druid" )*2</f>
        <v>0</v>
      </c>
    </row>
    <row r="59" spans="1:56" ht="14.25">
      <c r="A59" s="206"/>
      <c r="B59" s="188">
        <v>2</v>
      </c>
      <c r="C59" s="189" t="s">
        <v>283</v>
      </c>
      <c r="D59" s="190" t="s">
        <v>58</v>
      </c>
      <c r="E59" s="190" t="s">
        <v>58</v>
      </c>
      <c r="F59" s="190" t="s">
        <v>20</v>
      </c>
      <c r="G59" s="191">
        <f>COUNTIFS(Reference!F:F,C59,Reference!G:G,"&lt;="&amp;VLOOKUP($F59,Setup!$C$9:$D$17,2,0))</f>
        <v>2</v>
      </c>
      <c r="H59" s="191">
        <f>COUNTIFS(Reference!B:B,C59,Reference!C:C,"&lt;="&amp;VLOOKUP("Rogue",Setup!$C$9:$D$17,2,0))</f>
        <v>0</v>
      </c>
      <c r="I59" s="192">
        <v>1</v>
      </c>
      <c r="J59" s="192">
        <v>1</v>
      </c>
      <c r="K59" s="191" t="s">
        <v>146</v>
      </c>
      <c r="L59" s="191"/>
      <c r="M59" s="191"/>
      <c r="N59" s="191"/>
      <c r="O59" s="193" t="s">
        <v>284</v>
      </c>
      <c r="P59" s="194"/>
      <c r="Q59" s="190" t="s">
        <v>148</v>
      </c>
      <c r="R59" s="173"/>
      <c r="S59" s="195">
        <f>MATCH($D59,Reference!$J$5:$J$9,0)</f>
        <v>1</v>
      </c>
      <c r="T59" s="195">
        <f>MATCH($E59,Reference!$J$26:$J$32,0)</f>
        <v>1</v>
      </c>
      <c r="U59" s="195">
        <f>MATCH($F59,Reference!$J$45:$J$54,0)</f>
        <v>6</v>
      </c>
      <c r="V59" s="196">
        <f>MATCH($K59,Reference!$J$37:$J$39,0)</f>
        <v>2</v>
      </c>
      <c r="W59" s="197">
        <f t="shared" si="0"/>
        <v>2</v>
      </c>
      <c r="X59" s="197">
        <f t="shared" si="1"/>
        <v>1</v>
      </c>
      <c r="Y59" s="198">
        <v>0</v>
      </c>
      <c r="Z59" s="197">
        <f t="shared" si="2"/>
        <v>2</v>
      </c>
      <c r="AA59" s="199" t="b">
        <f t="shared" si="3"/>
        <v>0</v>
      </c>
      <c r="AB59" s="199" t="b">
        <f t="shared" si="4"/>
        <v>0</v>
      </c>
      <c r="AC59" s="200">
        <f t="shared" ref="AC59:AD59" si="98">1-I59</f>
        <v>0</v>
      </c>
      <c r="AD59" s="200">
        <f t="shared" si="98"/>
        <v>0</v>
      </c>
      <c r="AE59" s="199">
        <f t="shared" si="6"/>
        <v>2</v>
      </c>
      <c r="AF59" s="201">
        <f t="shared" si="7"/>
        <v>0</v>
      </c>
      <c r="AG59" s="201">
        <f t="shared" si="8"/>
        <v>1</v>
      </c>
      <c r="AH59" s="202">
        <f t="shared" si="9"/>
        <v>0</v>
      </c>
      <c r="AI59" s="205"/>
      <c r="AJ59" s="258" t="s">
        <v>69</v>
      </c>
      <c r="AK59" s="246">
        <f t="shared" ref="AK59:AL59" si="99">SUM(AO59+AM59+AQ59+AS59+AU59+AW59+AY59+BA59+BC59)</f>
        <v>11</v>
      </c>
      <c r="AL59" s="246">
        <f t="shared" si="99"/>
        <v>18</v>
      </c>
      <c r="AM59" s="272">
        <f>SUMIFS($W$2:$W879, $D$2:$D879, "Epic", $E$2:$E879, "Classic", $F$2:F879, "Druid")</f>
        <v>6</v>
      </c>
      <c r="AN59" s="246">
        <f>COUNTIFS($D$2:$D879, "Epic", $E$2:$E879, "Classic", $F$2:F879, "Druid" )*2</f>
        <v>6</v>
      </c>
      <c r="AO59" s="273">
        <f>SUMIFS($W$2:$W879, $D$2:$D879, "Epic", $E$2:$E879, "Promo", $F$2:F879, "Druid")</f>
        <v>0</v>
      </c>
      <c r="AP59" s="247">
        <f>COUNTIFS($D$2:$D879, "Epic", $E$2:$E879, "Promo", $F$2:F879, "Druid" )*2</f>
        <v>0</v>
      </c>
      <c r="AQ59" s="272">
        <f>SUMIFS($W$2:$W879, $D$2:$D879, "Epic", $E$2:$E879, "Naxx", $F$2:F879, "Druid")</f>
        <v>0</v>
      </c>
      <c r="AR59" s="246">
        <f>COUNTIFS($D$2:$D879, "Epic", $E$2:$E879, "Naxx", $F$2:F879, "Druid" )*2</f>
        <v>0</v>
      </c>
      <c r="AS59" s="273">
        <f>SUMIFS($W$2:$W879, $D$2:$D879, "Epic", $E$2:$E879, "GvG", $F$2:F879, "Druid")</f>
        <v>2</v>
      </c>
      <c r="AT59" s="247">
        <f>COUNTIFS($D$2:$D879, "Epic", $E$2:$E879, "GvG", $F$2:F879, "Druid" )*2</f>
        <v>4</v>
      </c>
      <c r="AU59" s="272">
        <f>SUMIFS($W$2:$W879, $D$2:$D879, "Epic", $E$2:$E879, "Blackrock", $F$2:F879, "Druid")</f>
        <v>0</v>
      </c>
      <c r="AV59" s="246">
        <f>COUNTIFS($D$2:$D879, "Epic", $E$2:$E879, "Blackrock", $F$2:F879, "Druid" )*2</f>
        <v>0</v>
      </c>
      <c r="AW59" s="272">
        <f>SUMIFS($W$2:$W879, $D$2:$D879, "Epic", $E$2:$E879, "TGT", $F$2:F879, "Druid")</f>
        <v>3</v>
      </c>
      <c r="AX59" s="247">
        <f>COUNTIFS($D$2:$D879, "Epic", $E$2:$E879, "TGT", $F$2:F879, "Druid" )*2</f>
        <v>4</v>
      </c>
      <c r="AY59" s="272">
        <f>SUMIFS($W$2:$W879, $D$2:$D879, "Epic", $E$2:$E879, "LoE", $F$2:F879, "Druid")</f>
        <v>0</v>
      </c>
      <c r="AZ59" s="247">
        <f>COUNTIFS($D$2:$D879, "Epic", $E$2:$E879, "LoE", $F$2:F879, "Druid" )*2</f>
        <v>0</v>
      </c>
      <c r="BA59" s="272">
        <f>SUMIFS($W$2:$W879, $D$2:$D879, "Epic", $E$2:$E879, "TOG", $F$2:F879, "Druid")</f>
        <v>0</v>
      </c>
      <c r="BB59" s="247">
        <f>COUNTIFS($D$2:$D879, "Epic", $E$2:$E879, "TOG", $F$2:F879, "Druid" )*2</f>
        <v>4</v>
      </c>
      <c r="BC59" s="272">
        <f>SUMIFS($W$2:$W879, $D$2:$D879, "Epic", $E$2:$E879, "Adv4", $F$2:F879, "Druid")</f>
        <v>0</v>
      </c>
      <c r="BD59" s="247">
        <f>COUNTIFS($D$2:$D879, "Epic", $E$2:$E879, "Adv4", $F$2:F879, "Druid" )*2</f>
        <v>0</v>
      </c>
    </row>
    <row r="60" spans="1:56" ht="14.25">
      <c r="A60" s="206"/>
      <c r="B60" s="188">
        <v>2</v>
      </c>
      <c r="C60" s="189" t="s">
        <v>285</v>
      </c>
      <c r="D60" s="190" t="s">
        <v>58</v>
      </c>
      <c r="E60" s="190" t="s">
        <v>58</v>
      </c>
      <c r="F60" s="190" t="s">
        <v>25</v>
      </c>
      <c r="G60" s="191">
        <f>COUNTIFS(Reference!F:F,C60,Reference!G:G,"&lt;="&amp;VLOOKUP($F60,Setup!$C$9:$D$17,2,0))</f>
        <v>2</v>
      </c>
      <c r="H60" s="191">
        <f>COUNTIFS(Reference!B:B,C60,Reference!C:C,"&lt;="&amp;VLOOKUP("Warlock",Setup!$C$9:$D$17,2,0))</f>
        <v>0</v>
      </c>
      <c r="I60" s="192">
        <v>1</v>
      </c>
      <c r="J60" s="192">
        <v>1</v>
      </c>
      <c r="K60" s="191" t="s">
        <v>182</v>
      </c>
      <c r="L60" s="191" t="s">
        <v>239</v>
      </c>
      <c r="M60" s="191">
        <v>4</v>
      </c>
      <c r="N60" s="191">
        <v>3</v>
      </c>
      <c r="O60" s="193" t="s">
        <v>286</v>
      </c>
      <c r="P60" s="194" t="s">
        <v>184</v>
      </c>
      <c r="Q60" s="190" t="s">
        <v>148</v>
      </c>
      <c r="R60" s="173"/>
      <c r="S60" s="195">
        <f>MATCH($D60,Reference!$J$5:$J$9,0)</f>
        <v>1</v>
      </c>
      <c r="T60" s="195">
        <f>MATCH($E60,Reference!$J$26:$J$32,0)</f>
        <v>1</v>
      </c>
      <c r="U60" s="195">
        <f>MATCH($F60,Reference!$J$45:$J$54,0)</f>
        <v>8</v>
      </c>
      <c r="V60" s="196">
        <f>MATCH($K60,Reference!$J$37:$J$39,0)</f>
        <v>3</v>
      </c>
      <c r="W60" s="197">
        <f t="shared" si="0"/>
        <v>2</v>
      </c>
      <c r="X60" s="197">
        <f t="shared" si="1"/>
        <v>1</v>
      </c>
      <c r="Y60" s="198">
        <v>0</v>
      </c>
      <c r="Z60" s="197">
        <f t="shared" si="2"/>
        <v>2</v>
      </c>
      <c r="AA60" s="199" t="b">
        <f t="shared" si="3"/>
        <v>0</v>
      </c>
      <c r="AB60" s="199" t="b">
        <f t="shared" si="4"/>
        <v>0</v>
      </c>
      <c r="AC60" s="200">
        <f t="shared" ref="AC60:AD60" si="100">1-I60</f>
        <v>0</v>
      </c>
      <c r="AD60" s="200">
        <f t="shared" si="100"/>
        <v>0</v>
      </c>
      <c r="AE60" s="199">
        <f t="shared" si="6"/>
        <v>2</v>
      </c>
      <c r="AF60" s="201">
        <f t="shared" si="7"/>
        <v>0</v>
      </c>
      <c r="AG60" s="201">
        <f t="shared" si="8"/>
        <v>1</v>
      </c>
      <c r="AH60" s="202">
        <f t="shared" si="9"/>
        <v>0</v>
      </c>
      <c r="AI60" s="205"/>
      <c r="AJ60" s="249" t="s">
        <v>70</v>
      </c>
      <c r="AK60" s="250">
        <f t="shared" ref="AK60:AL60" si="101">SUM(AO60+AM60+AQ60+AS60+AU60+AW60+AY60+BA60+BC60)</f>
        <v>1</v>
      </c>
      <c r="AL60" s="250">
        <f t="shared" si="101"/>
        <v>4</v>
      </c>
      <c r="AM60" s="275">
        <f>SUMIFS($W$2:$W879, $D$2:$D879, "Legendary", $E$2:$E879, "Classic", $F$2:F879, "Druid")</f>
        <v>1</v>
      </c>
      <c r="AN60" s="275">
        <f>COUNTIFS($D$2:$D879, "Legendary", $E$2:$E879, "Classic", $F$2:F879, "Druid" )</f>
        <v>1</v>
      </c>
      <c r="AO60" s="276">
        <f>SUMIFS($W$2:$W879, $D$2:$D879, "Legendary", $E$2:$E879, "Promo", $F$2:F879, "Druid")</f>
        <v>0</v>
      </c>
      <c r="AP60" s="277">
        <f>COUNTIFS($D$2:$D879, "Legendary", $E$2:$E879, "Promo", $F$2:F879, "Druid" )</f>
        <v>0</v>
      </c>
      <c r="AQ60" s="275">
        <f>SUMIFS($W$2:$W879, $D$2:$D879, "Legendary", $E$2:$E879, "Naxx", $F$2:F879, "Druid")</f>
        <v>0</v>
      </c>
      <c r="AR60" s="275">
        <f>COUNTIFS($D$2:$D879, "Legendary", $E$2:$E879, "Naxx", $F$2:F879, "Druid" )</f>
        <v>0</v>
      </c>
      <c r="AS60" s="276">
        <f>SUMIFS($W$2:$W879, $D$2:$D879, "Legendary", $E$2:$E879, "GvG", $F$2:F879, "Druid")</f>
        <v>0</v>
      </c>
      <c r="AT60" s="277">
        <f>COUNTIFS($D$2:$D879, "Legendary", $E$2:$E879, "GvG", $F$2:F879, "Druid" )</f>
        <v>1</v>
      </c>
      <c r="AU60" s="275">
        <f>SUMIFS($W$2:$W879, $D$2:$D879, "Legendary", $E$2:$E879, "Blackrock", $F$2:F879, "Druid")</f>
        <v>0</v>
      </c>
      <c r="AV60" s="275">
        <f>COUNTIFS($D$2:$D879, "Legendary", $E$2:$E879, "Blackrock", $F$2:F879, "Druid" )</f>
        <v>0</v>
      </c>
      <c r="AW60" s="275">
        <f>SUMIFS($W$2:$W879, $D$2:$D879, "Legendary", $E$2:$E879, "TGT", $F$2:F879, "Druid")</f>
        <v>0</v>
      </c>
      <c r="AX60" s="277">
        <f>COUNTIFS($D$2:$D879, "Legendary", $E$2:$E879, "TGT", $F$2:F879, "Druid" )</f>
        <v>1</v>
      </c>
      <c r="AY60" s="275">
        <f>SUMIFS($W$2:$W879, $D$2:$D879, "Legendary", $E$2:$E879, "LoE", $F$2:F879, "Druid")</f>
        <v>0</v>
      </c>
      <c r="AZ60" s="277">
        <f>COUNTIFS($D$2:$D879, "Legendary", $E$2:$E879, "LoE", $F$2:F879, "Druid" )</f>
        <v>0</v>
      </c>
      <c r="BA60" s="275">
        <f>SUMIFS($W$2:$W879, $D$2:$D879, "Legendary", $E$2:$E879, "TOG", $F$2:F879, "Druid")</f>
        <v>0</v>
      </c>
      <c r="BB60" s="277">
        <f>COUNTIFS($D$2:$D879, "Legendary", $E$2:$E879, "TOG", $F$2:F879, "Druid" )</f>
        <v>1</v>
      </c>
      <c r="BC60" s="275">
        <f>SUMIFS($W$2:$W879, $D$2:$D879, "Legendary", $E$2:$E879, "Adv4", $F$2:F879, "Druid")</f>
        <v>0</v>
      </c>
      <c r="BD60" s="251">
        <f>COUNTIFS($D$2:$D879, "Legendary", $E$2:$E879, "Adv4", $F$2:F879, "Druid" )*2</f>
        <v>0</v>
      </c>
    </row>
    <row r="61" spans="1:56" ht="14.25">
      <c r="A61" s="187"/>
      <c r="B61" s="188">
        <v>2</v>
      </c>
      <c r="C61" s="189" t="s">
        <v>287</v>
      </c>
      <c r="D61" s="190" t="s">
        <v>58</v>
      </c>
      <c r="E61" s="190" t="s">
        <v>58</v>
      </c>
      <c r="F61" s="190" t="s">
        <v>8</v>
      </c>
      <c r="G61" s="191">
        <f>COUNTIFS(Reference!F:F,C61,Reference!G:G,"&lt;="&amp;VLOOKUP($F61,Setup!$C$9:$D$17,2,0))</f>
        <v>2</v>
      </c>
      <c r="H61" s="191">
        <f>COUNTIFS(Reference!B:B,C61,Reference!C:C,"&lt;="&amp;VLOOKUP("Druid",Setup!$C$9:$D$17,2,0))</f>
        <v>2</v>
      </c>
      <c r="I61" s="192">
        <v>1</v>
      </c>
      <c r="J61" s="192">
        <v>1</v>
      </c>
      <c r="K61" s="191" t="s">
        <v>146</v>
      </c>
      <c r="L61" s="191"/>
      <c r="M61" s="191"/>
      <c r="N61" s="191"/>
      <c r="O61" s="193" t="s">
        <v>288</v>
      </c>
      <c r="P61" s="194"/>
      <c r="Q61" s="190" t="s">
        <v>148</v>
      </c>
      <c r="R61" s="173"/>
      <c r="S61" s="195">
        <f>MATCH($D61,Reference!$J$5:$J$9,0)</f>
        <v>1</v>
      </c>
      <c r="T61" s="195">
        <f>MATCH($E61,Reference!$J$26:$J$32,0)</f>
        <v>1</v>
      </c>
      <c r="U61" s="195">
        <f>MATCH($F61,Reference!$J$45:$J$54,0)</f>
        <v>1</v>
      </c>
      <c r="V61" s="196">
        <f>MATCH($K61,Reference!$J$37:$J$39,0)</f>
        <v>2</v>
      </c>
      <c r="W61" s="197">
        <f t="shared" si="0"/>
        <v>2</v>
      </c>
      <c r="X61" s="197">
        <f t="shared" si="1"/>
        <v>1</v>
      </c>
      <c r="Y61" s="198">
        <v>0</v>
      </c>
      <c r="Z61" s="197">
        <f t="shared" si="2"/>
        <v>2</v>
      </c>
      <c r="AA61" s="199" t="b">
        <f t="shared" si="3"/>
        <v>0</v>
      </c>
      <c r="AB61" s="199" t="b">
        <f t="shared" si="4"/>
        <v>0</v>
      </c>
      <c r="AC61" s="200">
        <f t="shared" ref="AC61:AD61" si="102">1-I61</f>
        <v>0</v>
      </c>
      <c r="AD61" s="200">
        <f t="shared" si="102"/>
        <v>0</v>
      </c>
      <c r="AE61" s="199">
        <f t="shared" si="6"/>
        <v>2</v>
      </c>
      <c r="AF61" s="201">
        <f t="shared" si="7"/>
        <v>2</v>
      </c>
      <c r="AG61" s="201">
        <f t="shared" si="8"/>
        <v>1</v>
      </c>
      <c r="AH61" s="202">
        <f t="shared" si="9"/>
        <v>0</v>
      </c>
      <c r="AI61" s="205"/>
      <c r="AJ61" s="259" t="s">
        <v>22</v>
      </c>
      <c r="AK61" s="260"/>
      <c r="AL61" s="261"/>
      <c r="AM61" s="260"/>
      <c r="AN61" s="261"/>
      <c r="AO61" s="260"/>
      <c r="AP61" s="261"/>
      <c r="AQ61" s="260"/>
      <c r="AR61" s="261"/>
      <c r="AS61" s="260"/>
      <c r="AT61" s="261"/>
      <c r="AU61" s="260"/>
      <c r="AV61" s="261"/>
      <c r="AW61" s="260"/>
      <c r="AX61" s="261"/>
      <c r="AY61" s="260"/>
      <c r="AZ61" s="261"/>
      <c r="BA61" s="260"/>
      <c r="BB61" s="261"/>
      <c r="BC61" s="260"/>
      <c r="BD61" s="261"/>
    </row>
    <row r="62" spans="1:56" ht="14.25">
      <c r="A62" s="187"/>
      <c r="B62" s="188">
        <v>2</v>
      </c>
      <c r="C62" s="189" t="s">
        <v>289</v>
      </c>
      <c r="D62" s="190" t="s">
        <v>58</v>
      </c>
      <c r="E62" s="190" t="s">
        <v>58</v>
      </c>
      <c r="F62" s="190" t="s">
        <v>21</v>
      </c>
      <c r="G62" s="191">
        <f>COUNTIFS(Reference!F:F,C62,Reference!G:G,"&lt;="&amp;VLOOKUP($F62,Setup!$C$9:$D$17,2,0))</f>
        <v>2</v>
      </c>
      <c r="H62" s="191">
        <f>COUNTIFS(Reference!B:B,C62,Reference!C:C,"&lt;="&amp;VLOOKUP("Shaman",Setup!$C$9:$D$17,2,0))</f>
        <v>0</v>
      </c>
      <c r="I62" s="192">
        <v>1</v>
      </c>
      <c r="J62" s="192">
        <v>1</v>
      </c>
      <c r="K62" s="191" t="s">
        <v>146</v>
      </c>
      <c r="L62" s="191"/>
      <c r="M62" s="191"/>
      <c r="N62" s="191"/>
      <c r="O62" s="193" t="s">
        <v>290</v>
      </c>
      <c r="P62" s="194"/>
      <c r="Q62" s="190" t="s">
        <v>148</v>
      </c>
      <c r="R62" s="173"/>
      <c r="S62" s="195">
        <f>MATCH($D62,Reference!$J$5:$J$9,0)</f>
        <v>1</v>
      </c>
      <c r="T62" s="195">
        <f>MATCH($E62,Reference!$J$26:$J$32,0)</f>
        <v>1</v>
      </c>
      <c r="U62" s="195">
        <f>MATCH($F62,Reference!$J$45:$J$54,0)</f>
        <v>7</v>
      </c>
      <c r="V62" s="196">
        <f>MATCH($K62,Reference!$J$37:$J$39,0)</f>
        <v>2</v>
      </c>
      <c r="W62" s="197">
        <f t="shared" si="0"/>
        <v>2</v>
      </c>
      <c r="X62" s="197">
        <f t="shared" si="1"/>
        <v>1</v>
      </c>
      <c r="Y62" s="198">
        <v>0</v>
      </c>
      <c r="Z62" s="197">
        <f t="shared" si="2"/>
        <v>2</v>
      </c>
      <c r="AA62" s="199" t="b">
        <f t="shared" si="3"/>
        <v>0</v>
      </c>
      <c r="AB62" s="199" t="b">
        <f t="shared" si="4"/>
        <v>0</v>
      </c>
      <c r="AC62" s="200">
        <f t="shared" ref="AC62:AD62" si="103">1-I62</f>
        <v>0</v>
      </c>
      <c r="AD62" s="200">
        <f t="shared" si="103"/>
        <v>0</v>
      </c>
      <c r="AE62" s="199">
        <f t="shared" si="6"/>
        <v>2</v>
      </c>
      <c r="AF62" s="201">
        <f t="shared" si="7"/>
        <v>0</v>
      </c>
      <c r="AG62" s="201">
        <f t="shared" si="8"/>
        <v>1</v>
      </c>
      <c r="AH62" s="202">
        <f t="shared" si="9"/>
        <v>0</v>
      </c>
      <c r="AI62" s="205"/>
      <c r="AJ62" s="262" t="s">
        <v>224</v>
      </c>
      <c r="AK62" s="263">
        <f t="shared" ref="AK62:AP62" si="104">SUM(AK50:AK54)</f>
        <v>52</v>
      </c>
      <c r="AL62" s="264">
        <f t="shared" si="104"/>
        <v>57</v>
      </c>
      <c r="AM62" s="263">
        <f t="shared" si="104"/>
        <v>25</v>
      </c>
      <c r="AN62" s="264">
        <f t="shared" si="104"/>
        <v>25</v>
      </c>
      <c r="AO62" s="263">
        <f t="shared" si="104"/>
        <v>0</v>
      </c>
      <c r="AP62" s="264">
        <f t="shared" si="104"/>
        <v>0</v>
      </c>
      <c r="AQ62" s="263">
        <f>SUM(AQ50:AQ54)</f>
        <v>1</v>
      </c>
      <c r="AR62" s="264">
        <f>SUM(AR50:AR54)</f>
        <v>1</v>
      </c>
      <c r="AS62" s="263">
        <f>SUM(AS50:AS54)</f>
        <v>7</v>
      </c>
      <c r="AT62" s="264">
        <f>SUM(AT50:AT54)</f>
        <v>8</v>
      </c>
      <c r="AU62" s="263">
        <f t="shared" ref="AU62:BD62" si="105">SUM(AU50:AU54)</f>
        <v>2</v>
      </c>
      <c r="AV62" s="264">
        <f t="shared" si="105"/>
        <v>2</v>
      </c>
      <c r="AW62" s="263">
        <f t="shared" si="105"/>
        <v>8</v>
      </c>
      <c r="AX62" s="264">
        <f t="shared" si="105"/>
        <v>9</v>
      </c>
      <c r="AY62" s="263">
        <f t="shared" si="105"/>
        <v>3</v>
      </c>
      <c r="AZ62" s="264">
        <f t="shared" si="105"/>
        <v>3</v>
      </c>
      <c r="BA62" s="263">
        <f t="shared" si="105"/>
        <v>6</v>
      </c>
      <c r="BB62" s="264">
        <f t="shared" si="105"/>
        <v>9</v>
      </c>
      <c r="BC62" s="263">
        <f t="shared" si="105"/>
        <v>0</v>
      </c>
      <c r="BD62" s="264">
        <f t="shared" si="105"/>
        <v>0</v>
      </c>
    </row>
    <row r="63" spans="1:56" ht="14.25">
      <c r="A63" s="206"/>
      <c r="B63" s="188">
        <v>3</v>
      </c>
      <c r="C63" s="189" t="s">
        <v>291</v>
      </c>
      <c r="D63" s="190" t="s">
        <v>58</v>
      </c>
      <c r="E63" s="190" t="s">
        <v>58</v>
      </c>
      <c r="F63" s="190" t="s">
        <v>11</v>
      </c>
      <c r="G63" s="191">
        <f>COUNTIFS(Reference!F:F,C63,Reference!G:G,"&lt;="&amp;VLOOKUP($F63,Setup!$C$9:$D$17,2,0))</f>
        <v>2</v>
      </c>
      <c r="H63" s="191">
        <f>COUNTIFS(Reference!B:B,C63,Reference!C:C,"&lt;="&amp;VLOOKUP("Hunter",Setup!$C$9:$D$17,2,0))</f>
        <v>0</v>
      </c>
      <c r="I63" s="192">
        <v>1</v>
      </c>
      <c r="J63" s="192">
        <v>1</v>
      </c>
      <c r="K63" s="191" t="s">
        <v>146</v>
      </c>
      <c r="L63" s="191"/>
      <c r="M63" s="191"/>
      <c r="N63" s="191"/>
      <c r="O63" s="193" t="s">
        <v>292</v>
      </c>
      <c r="P63" s="194"/>
      <c r="Q63" s="190" t="s">
        <v>148</v>
      </c>
      <c r="R63" s="278"/>
      <c r="S63" s="195">
        <f>MATCH($D63,Reference!$J$5:$J$9,0)</f>
        <v>1</v>
      </c>
      <c r="T63" s="195">
        <f>MATCH($E63,Reference!$J$26:$J$32,0)</f>
        <v>1</v>
      </c>
      <c r="U63" s="195">
        <f>MATCH($F63,Reference!$J$45:$J$54,0)</f>
        <v>2</v>
      </c>
      <c r="V63" s="196">
        <f>MATCH($K63,Reference!$J$37:$J$39,0)</f>
        <v>2</v>
      </c>
      <c r="W63" s="197">
        <f t="shared" si="0"/>
        <v>2</v>
      </c>
      <c r="X63" s="197">
        <f t="shared" si="1"/>
        <v>1</v>
      </c>
      <c r="Y63" s="198">
        <v>0</v>
      </c>
      <c r="Z63" s="197">
        <f t="shared" si="2"/>
        <v>2</v>
      </c>
      <c r="AA63" s="199" t="b">
        <f t="shared" si="3"/>
        <v>0</v>
      </c>
      <c r="AB63" s="199" t="b">
        <f t="shared" si="4"/>
        <v>0</v>
      </c>
      <c r="AC63" s="200">
        <f t="shared" ref="AC63:AD63" si="106">1-I63</f>
        <v>0</v>
      </c>
      <c r="AD63" s="200">
        <f t="shared" si="106"/>
        <v>0</v>
      </c>
      <c r="AE63" s="199">
        <f t="shared" si="6"/>
        <v>2</v>
      </c>
      <c r="AF63" s="201">
        <f t="shared" si="7"/>
        <v>0</v>
      </c>
      <c r="AG63" s="201">
        <f t="shared" si="8"/>
        <v>1</v>
      </c>
      <c r="AH63" s="202">
        <f t="shared" si="9"/>
        <v>0</v>
      </c>
      <c r="AI63" s="205"/>
      <c r="AJ63" s="265" t="s">
        <v>240</v>
      </c>
      <c r="AK63" s="266">
        <f t="shared" ref="AK63:AL63" si="107">SUM(AK56:AK60)</f>
        <v>99</v>
      </c>
      <c r="AL63" s="267">
        <f t="shared" si="107"/>
        <v>110</v>
      </c>
      <c r="AM63" s="266">
        <f t="shared" ref="AM63:AR63" si="108">SUM(AM56:AM60)</f>
        <v>49</v>
      </c>
      <c r="AN63" s="267">
        <f t="shared" si="108"/>
        <v>49</v>
      </c>
      <c r="AO63" s="266">
        <f t="shared" si="108"/>
        <v>0</v>
      </c>
      <c r="AP63" s="267">
        <f t="shared" si="108"/>
        <v>0</v>
      </c>
      <c r="AQ63" s="266">
        <f t="shared" si="108"/>
        <v>2</v>
      </c>
      <c r="AR63" s="267">
        <f t="shared" si="108"/>
        <v>2</v>
      </c>
      <c r="AS63" s="266">
        <f>SUM(AS57:AS60)</f>
        <v>11</v>
      </c>
      <c r="AT63" s="267">
        <f>SUM(AT56:AT60)</f>
        <v>15</v>
      </c>
      <c r="AU63" s="266">
        <f t="shared" ref="AU63:BD63" si="109">SUM(AU56:AU60)</f>
        <v>4</v>
      </c>
      <c r="AV63" s="267">
        <f t="shared" si="109"/>
        <v>4</v>
      </c>
      <c r="AW63" s="266">
        <f t="shared" si="109"/>
        <v>15</v>
      </c>
      <c r="AX63" s="267">
        <f t="shared" si="109"/>
        <v>17</v>
      </c>
      <c r="AY63" s="266">
        <f t="shared" si="109"/>
        <v>6</v>
      </c>
      <c r="AZ63" s="267">
        <f t="shared" si="109"/>
        <v>6</v>
      </c>
      <c r="BA63" s="266">
        <f t="shared" si="109"/>
        <v>12</v>
      </c>
      <c r="BB63" s="267">
        <f t="shared" si="109"/>
        <v>17</v>
      </c>
      <c r="BC63" s="266">
        <f t="shared" si="109"/>
        <v>0</v>
      </c>
      <c r="BD63" s="267">
        <f t="shared" si="109"/>
        <v>0</v>
      </c>
    </row>
    <row r="64" spans="1:56" ht="14.25">
      <c r="A64" s="206"/>
      <c r="B64" s="188">
        <v>3</v>
      </c>
      <c r="C64" s="189" t="s">
        <v>293</v>
      </c>
      <c r="D64" s="190" t="s">
        <v>58</v>
      </c>
      <c r="E64" s="190" t="s">
        <v>58</v>
      </c>
      <c r="F64" s="190" t="s">
        <v>13</v>
      </c>
      <c r="G64" s="191">
        <f>COUNTIFS(Reference!F:F,C64,Reference!G:G,"&lt;="&amp;VLOOKUP($F64,Setup!$C$9:$D$17,2,0))</f>
        <v>2</v>
      </c>
      <c r="H64" s="191">
        <f>COUNTIFS(Reference!B:B,C64,Reference!C:C,"&lt;="&amp;VLOOKUP("Mage",Setup!$C$9:$D$17,2,0))</f>
        <v>2</v>
      </c>
      <c r="I64" s="192">
        <v>1</v>
      </c>
      <c r="J64" s="192">
        <v>1</v>
      </c>
      <c r="K64" s="191" t="s">
        <v>146</v>
      </c>
      <c r="L64" s="191"/>
      <c r="M64" s="191"/>
      <c r="N64" s="191"/>
      <c r="O64" s="193" t="s">
        <v>294</v>
      </c>
      <c r="P64" s="194"/>
      <c r="Q64" s="190" t="s">
        <v>148</v>
      </c>
      <c r="R64" s="173"/>
      <c r="S64" s="195">
        <f>MATCH($D64,Reference!$J$5:$J$9,0)</f>
        <v>1</v>
      </c>
      <c r="T64" s="195">
        <f>MATCH($E64,Reference!$J$26:$J$32,0)</f>
        <v>1</v>
      </c>
      <c r="U64" s="195">
        <f>MATCH($F64,Reference!$J$45:$J$54,0)</f>
        <v>3</v>
      </c>
      <c r="V64" s="196">
        <f>MATCH($K64,Reference!$J$37:$J$39,0)</f>
        <v>2</v>
      </c>
      <c r="W64" s="197">
        <f t="shared" si="0"/>
        <v>2</v>
      </c>
      <c r="X64" s="197">
        <f t="shared" si="1"/>
        <v>1</v>
      </c>
      <c r="Y64" s="198">
        <v>0</v>
      </c>
      <c r="Z64" s="197">
        <f t="shared" si="2"/>
        <v>2</v>
      </c>
      <c r="AA64" s="199" t="b">
        <f t="shared" si="3"/>
        <v>0</v>
      </c>
      <c r="AB64" s="199" t="b">
        <f t="shared" si="4"/>
        <v>0</v>
      </c>
      <c r="AC64" s="200">
        <f t="shared" ref="AC64:AD64" si="110">1-I64</f>
        <v>0</v>
      </c>
      <c r="AD64" s="200">
        <f t="shared" si="110"/>
        <v>0</v>
      </c>
      <c r="AE64" s="199">
        <f t="shared" si="6"/>
        <v>2</v>
      </c>
      <c r="AF64" s="201">
        <f t="shared" si="7"/>
        <v>2</v>
      </c>
      <c r="AG64" s="201">
        <f t="shared" si="8"/>
        <v>1</v>
      </c>
      <c r="AH64" s="202">
        <f t="shared" si="9"/>
        <v>0</v>
      </c>
      <c r="AI64" s="205"/>
      <c r="AJ64" s="173"/>
      <c r="AK64" s="173"/>
      <c r="AL64" s="173"/>
      <c r="AM64" s="173"/>
      <c r="AN64" s="173"/>
      <c r="AO64" s="173"/>
      <c r="AP64" s="173"/>
      <c r="AQ64" s="173"/>
      <c r="AR64" s="173"/>
      <c r="AS64" s="173"/>
      <c r="AT64" s="173"/>
      <c r="AU64" s="173"/>
      <c r="AV64" s="173"/>
    </row>
    <row r="65" spans="1:56" ht="14.25">
      <c r="A65" s="187"/>
      <c r="B65" s="188">
        <v>3</v>
      </c>
      <c r="C65" s="189" t="s">
        <v>295</v>
      </c>
      <c r="D65" s="190" t="s">
        <v>58</v>
      </c>
      <c r="E65" s="190" t="s">
        <v>58</v>
      </c>
      <c r="F65" s="190" t="s">
        <v>26</v>
      </c>
      <c r="G65" s="191">
        <f>COUNTIFS(Reference!F:F,C65,Reference!G:G,"&lt;="&amp;VLOOKUP($F65,Setup!$C$9:$D$17,2,0))</f>
        <v>2</v>
      </c>
      <c r="H65" s="191">
        <f>COUNTIFS(Reference!B:B,C65,Reference!C:C,"&lt;="&amp;VLOOKUP("Warrior",Setup!$C$9:$D$17,2,0))</f>
        <v>2</v>
      </c>
      <c r="I65" s="192">
        <v>1</v>
      </c>
      <c r="J65" s="192">
        <v>1</v>
      </c>
      <c r="K65" s="191" t="s">
        <v>146</v>
      </c>
      <c r="L65" s="191"/>
      <c r="M65" s="191"/>
      <c r="N65" s="191"/>
      <c r="O65" s="193" t="s">
        <v>296</v>
      </c>
      <c r="P65" s="194"/>
      <c r="Q65" s="190" t="s">
        <v>148</v>
      </c>
      <c r="R65" s="34"/>
      <c r="S65" s="195">
        <f>MATCH($D65,Reference!$J$5:$J$9,0)</f>
        <v>1</v>
      </c>
      <c r="T65" s="195">
        <f>MATCH($E65,Reference!$J$26:$J$32,0)</f>
        <v>1</v>
      </c>
      <c r="U65" s="195">
        <f>MATCH($F65,Reference!$J$45:$J$54,0)</f>
        <v>9</v>
      </c>
      <c r="V65" s="196">
        <f>MATCH($K65,Reference!$J$37:$J$39,0)</f>
        <v>2</v>
      </c>
      <c r="W65" s="197">
        <f t="shared" si="0"/>
        <v>2</v>
      </c>
      <c r="X65" s="197">
        <f t="shared" si="1"/>
        <v>1</v>
      </c>
      <c r="Y65" s="198">
        <v>0</v>
      </c>
      <c r="Z65" s="197">
        <f t="shared" si="2"/>
        <v>2</v>
      </c>
      <c r="AA65" s="199" t="b">
        <f t="shared" si="3"/>
        <v>0</v>
      </c>
      <c r="AB65" s="199" t="b">
        <f t="shared" si="4"/>
        <v>0</v>
      </c>
      <c r="AC65" s="200">
        <f t="shared" ref="AC65:AD65" si="111">1-I65</f>
        <v>0</v>
      </c>
      <c r="AD65" s="200">
        <f t="shared" si="111"/>
        <v>0</v>
      </c>
      <c r="AE65" s="199">
        <f t="shared" si="6"/>
        <v>2</v>
      </c>
      <c r="AF65" s="201">
        <f t="shared" si="7"/>
        <v>2</v>
      </c>
      <c r="AG65" s="201">
        <f t="shared" si="8"/>
        <v>1</v>
      </c>
      <c r="AH65" s="202">
        <f t="shared" si="9"/>
        <v>0</v>
      </c>
      <c r="AI65" s="205"/>
    </row>
    <row r="66" spans="1:56">
      <c r="A66" s="240"/>
      <c r="B66" s="188">
        <v>3</v>
      </c>
      <c r="C66" s="189" t="s">
        <v>297</v>
      </c>
      <c r="D66" s="190" t="s">
        <v>58</v>
      </c>
      <c r="E66" s="190" t="s">
        <v>58</v>
      </c>
      <c r="F66" s="190" t="s">
        <v>115</v>
      </c>
      <c r="G66" s="215">
        <v>2</v>
      </c>
      <c r="H66" s="191">
        <f>COUNTIFS(Reference!D:D,VLOOKUP(C66,Reference!B:D,3,0),Reference!C:C,"&lt;="&amp;VLOOKUP(VLOOKUP(C66,Reference!B:D,3,0),Setup!$C$9:$D$17,2,0),Reference!B:B,C66)</f>
        <v>0</v>
      </c>
      <c r="I66" s="192">
        <v>1</v>
      </c>
      <c r="J66" s="192">
        <v>1</v>
      </c>
      <c r="K66" s="215" t="s">
        <v>182</v>
      </c>
      <c r="L66" s="191"/>
      <c r="M66" s="215">
        <v>1</v>
      </c>
      <c r="N66" s="215">
        <v>4</v>
      </c>
      <c r="O66" s="193" t="s">
        <v>267</v>
      </c>
      <c r="P66" s="194" t="s">
        <v>268</v>
      </c>
      <c r="Q66" s="190" t="s">
        <v>148</v>
      </c>
      <c r="R66" s="173"/>
      <c r="S66" s="195">
        <f>MATCH($D66,Reference!$J$5:$J$9,0)</f>
        <v>1</v>
      </c>
      <c r="T66" s="195">
        <f>MATCH($E66,Reference!$J$26:$J$32,0)</f>
        <v>1</v>
      </c>
      <c r="U66" s="195">
        <f>MATCH($F66,Reference!$J$45:$J$54,0)</f>
        <v>10</v>
      </c>
      <c r="V66" s="196">
        <f>MATCH($K66,Reference!$J$37:$J$39,0)</f>
        <v>3</v>
      </c>
      <c r="W66" s="197">
        <f t="shared" si="0"/>
        <v>2</v>
      </c>
      <c r="X66" s="197">
        <f t="shared" si="1"/>
        <v>1</v>
      </c>
      <c r="Y66" s="198">
        <v>0</v>
      </c>
      <c r="Z66" s="197">
        <f t="shared" si="2"/>
        <v>2</v>
      </c>
      <c r="AA66" s="199" t="b">
        <f t="shared" si="3"/>
        <v>0</v>
      </c>
      <c r="AB66" s="199" t="b">
        <f t="shared" si="4"/>
        <v>0</v>
      </c>
      <c r="AC66" s="200">
        <f t="shared" ref="AC66:AD66" si="112">1-I66</f>
        <v>0</v>
      </c>
      <c r="AD66" s="200">
        <f t="shared" si="112"/>
        <v>0</v>
      </c>
      <c r="AE66" s="199">
        <f t="shared" si="6"/>
        <v>2</v>
      </c>
      <c r="AF66" s="201">
        <f t="shared" si="7"/>
        <v>0</v>
      </c>
      <c r="AG66" s="201">
        <f t="shared" si="8"/>
        <v>1</v>
      </c>
      <c r="AH66" s="202">
        <f t="shared" si="9"/>
        <v>0</v>
      </c>
      <c r="AI66" s="205"/>
      <c r="AJ66" s="1134" t="s">
        <v>11</v>
      </c>
      <c r="AK66" s="1102"/>
      <c r="AL66" s="1102"/>
      <c r="AM66" s="1102"/>
      <c r="AN66" s="1102"/>
      <c r="AO66" s="1102"/>
      <c r="AP66" s="1102"/>
      <c r="AQ66" s="1102"/>
      <c r="AR66" s="1102"/>
      <c r="AS66" s="1102"/>
      <c r="AT66" s="1102"/>
      <c r="AU66" s="1102"/>
      <c r="AV66" s="1102"/>
      <c r="AW66" s="1102"/>
      <c r="AX66" s="1102"/>
      <c r="AY66" s="1102"/>
      <c r="AZ66" s="1102"/>
      <c r="BA66" s="1102"/>
      <c r="BB66" s="1102"/>
      <c r="BC66" s="1102"/>
      <c r="BD66" s="1102"/>
    </row>
    <row r="67" spans="1:56" ht="14.25">
      <c r="A67" s="187"/>
      <c r="B67" s="217">
        <v>3</v>
      </c>
      <c r="C67" s="218" t="s">
        <v>298</v>
      </c>
      <c r="D67" s="190" t="s">
        <v>58</v>
      </c>
      <c r="E67" s="190" t="s">
        <v>58</v>
      </c>
      <c r="F67" s="190" t="s">
        <v>25</v>
      </c>
      <c r="G67" s="191">
        <f>COUNTIFS(Reference!F:F,C67,Reference!G:G,"&lt;="&amp;VLOOKUP($F67,Setup!$C$9:$D$17,2,0))</f>
        <v>2</v>
      </c>
      <c r="H67" s="191">
        <f>COUNTIFS(Reference!B:B,C67,Reference!C:C,"&lt;="&amp;VLOOKUP("Warlock",Setup!$C$9:$D$17,2,0))</f>
        <v>0</v>
      </c>
      <c r="I67" s="192">
        <v>1</v>
      </c>
      <c r="J67" s="192">
        <v>1</v>
      </c>
      <c r="K67" s="191" t="s">
        <v>146</v>
      </c>
      <c r="L67" s="191"/>
      <c r="M67" s="191"/>
      <c r="N67" s="191"/>
      <c r="O67" s="193" t="s">
        <v>299</v>
      </c>
      <c r="P67" s="194"/>
      <c r="Q67" s="190" t="s">
        <v>148</v>
      </c>
      <c r="R67" s="173"/>
      <c r="S67" s="195">
        <f>MATCH($D67,Reference!$J$5:$J$9,0)</f>
        <v>1</v>
      </c>
      <c r="T67" s="195">
        <f>MATCH($E67,Reference!$J$26:$J$32,0)</f>
        <v>1</v>
      </c>
      <c r="U67" s="195">
        <f>MATCH($F67,Reference!$J$45:$J$54,0)</f>
        <v>8</v>
      </c>
      <c r="V67" s="196">
        <f>MATCH($K67,Reference!$J$37:$J$39,0)</f>
        <v>2</v>
      </c>
      <c r="W67" s="197">
        <f t="shared" si="0"/>
        <v>2</v>
      </c>
      <c r="X67" s="197">
        <f t="shared" si="1"/>
        <v>1</v>
      </c>
      <c r="Y67" s="198">
        <v>0</v>
      </c>
      <c r="Z67" s="197">
        <f t="shared" si="2"/>
        <v>2</v>
      </c>
      <c r="AA67" s="199" t="b">
        <f t="shared" si="3"/>
        <v>0</v>
      </c>
      <c r="AB67" s="199" t="b">
        <f t="shared" si="4"/>
        <v>0</v>
      </c>
      <c r="AC67" s="200">
        <f t="shared" ref="AC67:AD67" si="113">1-I67</f>
        <v>0</v>
      </c>
      <c r="AD67" s="200">
        <f t="shared" si="113"/>
        <v>0</v>
      </c>
      <c r="AE67" s="199">
        <f t="shared" si="6"/>
        <v>2</v>
      </c>
      <c r="AF67" s="201">
        <f t="shared" si="7"/>
        <v>0</v>
      </c>
      <c r="AG67" s="201">
        <f t="shared" si="8"/>
        <v>1</v>
      </c>
      <c r="AH67" s="202">
        <f t="shared" si="9"/>
        <v>0</v>
      </c>
      <c r="AI67" s="205"/>
      <c r="AJ67" s="224" t="s">
        <v>122</v>
      </c>
      <c r="AK67" s="1133" t="s">
        <v>22</v>
      </c>
      <c r="AL67" s="1102"/>
      <c r="AM67" s="1133" t="s">
        <v>77</v>
      </c>
      <c r="AN67" s="1102"/>
      <c r="AO67" s="1133" t="s">
        <v>78</v>
      </c>
      <c r="AP67" s="1102"/>
      <c r="AQ67" s="1133" t="s">
        <v>79</v>
      </c>
      <c r="AR67" s="1102"/>
      <c r="AS67" s="1133" t="s">
        <v>80</v>
      </c>
      <c r="AT67" s="1102"/>
      <c r="AU67" s="1133" t="s">
        <v>220</v>
      </c>
      <c r="AV67" s="1102"/>
      <c r="AW67" s="1133" t="s">
        <v>82</v>
      </c>
      <c r="AX67" s="1102"/>
      <c r="AY67" s="1133" t="s">
        <v>84</v>
      </c>
      <c r="AZ67" s="1102"/>
      <c r="BA67" s="1133" t="s">
        <v>73</v>
      </c>
      <c r="BB67" s="1102"/>
      <c r="BC67" s="1133" t="s">
        <v>221</v>
      </c>
      <c r="BD67" s="1102"/>
    </row>
    <row r="68" spans="1:56" ht="14.25">
      <c r="A68" s="240"/>
      <c r="B68" s="188">
        <v>3</v>
      </c>
      <c r="C68" s="189" t="s">
        <v>300</v>
      </c>
      <c r="D68" s="190" t="s">
        <v>58</v>
      </c>
      <c r="E68" s="190" t="s">
        <v>58</v>
      </c>
      <c r="F68" s="190" t="s">
        <v>20</v>
      </c>
      <c r="G68" s="191">
        <f>COUNTIFS(Reference!F:F,C68,Reference!G:G,"&lt;="&amp;VLOOKUP($F68,Setup!$C$9:$D$17,2,0))</f>
        <v>2</v>
      </c>
      <c r="H68" s="191">
        <f>COUNTIFS(Reference!B:B,C68,Reference!C:C,"&lt;="&amp;VLOOKUP("Rogue",Setup!$C$9:$D$17,2,0))</f>
        <v>0</v>
      </c>
      <c r="I68" s="192">
        <v>1</v>
      </c>
      <c r="J68" s="192">
        <v>1</v>
      </c>
      <c r="K68" s="191" t="s">
        <v>146</v>
      </c>
      <c r="L68" s="191"/>
      <c r="M68" s="191"/>
      <c r="N68" s="191"/>
      <c r="O68" s="193" t="s">
        <v>301</v>
      </c>
      <c r="P68" s="194"/>
      <c r="Q68" s="190" t="s">
        <v>148</v>
      </c>
      <c r="R68" s="173"/>
      <c r="S68" s="195">
        <f>MATCH($D68,Reference!$J$5:$J$9,0)</f>
        <v>1</v>
      </c>
      <c r="T68" s="195">
        <f>MATCH($E68,Reference!$J$26:$J$32,0)</f>
        <v>1</v>
      </c>
      <c r="U68" s="195">
        <f>MATCH($F68,Reference!$J$45:$J$54,0)</f>
        <v>6</v>
      </c>
      <c r="V68" s="196">
        <f>MATCH($K68,Reference!$J$37:$J$39,0)</f>
        <v>2</v>
      </c>
      <c r="W68" s="197">
        <f t="shared" si="0"/>
        <v>2</v>
      </c>
      <c r="X68" s="197">
        <f t="shared" si="1"/>
        <v>1</v>
      </c>
      <c r="Y68" s="198">
        <v>0</v>
      </c>
      <c r="Z68" s="197">
        <f t="shared" si="2"/>
        <v>2</v>
      </c>
      <c r="AA68" s="199" t="b">
        <f t="shared" si="3"/>
        <v>0</v>
      </c>
      <c r="AB68" s="199" t="b">
        <f t="shared" si="4"/>
        <v>0</v>
      </c>
      <c r="AC68" s="200">
        <f t="shared" ref="AC68:AD68" si="114">1-I68</f>
        <v>0</v>
      </c>
      <c r="AD68" s="200">
        <f t="shared" si="114"/>
        <v>0</v>
      </c>
      <c r="AE68" s="199">
        <f t="shared" si="6"/>
        <v>2</v>
      </c>
      <c r="AF68" s="201">
        <f t="shared" si="7"/>
        <v>0</v>
      </c>
      <c r="AG68" s="201">
        <f t="shared" si="8"/>
        <v>1</v>
      </c>
      <c r="AH68" s="202">
        <f t="shared" si="9"/>
        <v>0</v>
      </c>
      <c r="AI68" s="205"/>
      <c r="AJ68" s="225" t="s">
        <v>224</v>
      </c>
      <c r="AK68" s="226"/>
      <c r="AL68" s="227"/>
      <c r="AM68" s="226"/>
      <c r="AN68" s="227"/>
      <c r="AO68" s="228"/>
      <c r="AP68" s="227"/>
      <c r="AQ68" s="226"/>
      <c r="AR68" s="227"/>
      <c r="AS68" s="228"/>
      <c r="AT68" s="227"/>
      <c r="AU68" s="226"/>
      <c r="AV68" s="227"/>
      <c r="AW68" s="229"/>
      <c r="AX68" s="230"/>
      <c r="AY68" s="229"/>
      <c r="AZ68" s="230"/>
      <c r="BA68" s="229"/>
      <c r="BB68" s="230"/>
      <c r="BC68" s="229"/>
      <c r="BD68" s="230"/>
    </row>
    <row r="69" spans="1:56" ht="14.25">
      <c r="A69" s="187"/>
      <c r="B69" s="217">
        <v>3</v>
      </c>
      <c r="C69" s="218" t="s">
        <v>302</v>
      </c>
      <c r="D69" s="190" t="s">
        <v>58</v>
      </c>
      <c r="E69" s="190" t="s">
        <v>58</v>
      </c>
      <c r="F69" s="190" t="s">
        <v>13</v>
      </c>
      <c r="G69" s="191">
        <f>COUNTIFS(Reference!F:F,C69,Reference!G:G,"&lt;="&amp;VLOOKUP($F69,Setup!$C$9:$D$17,2,0))</f>
        <v>2</v>
      </c>
      <c r="H69" s="191">
        <f>COUNTIFS(Reference!B:B,C69,Reference!C:C,"&lt;="&amp;VLOOKUP("Mage",Setup!$C$9:$D$17,2,0))</f>
        <v>2</v>
      </c>
      <c r="I69" s="192">
        <v>1</v>
      </c>
      <c r="J69" s="192">
        <v>1</v>
      </c>
      <c r="K69" s="191" t="s">
        <v>146</v>
      </c>
      <c r="L69" s="191"/>
      <c r="M69" s="191"/>
      <c r="N69" s="191"/>
      <c r="O69" s="193" t="s">
        <v>303</v>
      </c>
      <c r="P69" s="194"/>
      <c r="Q69" s="190" t="s">
        <v>148</v>
      </c>
      <c r="R69" s="173"/>
      <c r="S69" s="195">
        <f>MATCH($D69,Reference!$J$5:$J$9,0)</f>
        <v>1</v>
      </c>
      <c r="T69" s="195">
        <f>MATCH($E69,Reference!$J$26:$J$32,0)</f>
        <v>1</v>
      </c>
      <c r="U69" s="195">
        <f>MATCH($F69,Reference!$J$45:$J$54,0)</f>
        <v>3</v>
      </c>
      <c r="V69" s="196">
        <f>MATCH($K69,Reference!$J$37:$J$39,0)</f>
        <v>2</v>
      </c>
      <c r="W69" s="197">
        <f t="shared" si="0"/>
        <v>2</v>
      </c>
      <c r="X69" s="197">
        <f t="shared" si="1"/>
        <v>1</v>
      </c>
      <c r="Y69" s="198">
        <v>0</v>
      </c>
      <c r="Z69" s="197">
        <f t="shared" si="2"/>
        <v>2</v>
      </c>
      <c r="AA69" s="199" t="b">
        <f t="shared" si="3"/>
        <v>0</v>
      </c>
      <c r="AB69" s="199" t="b">
        <f t="shared" si="4"/>
        <v>0</v>
      </c>
      <c r="AC69" s="200">
        <f t="shared" ref="AC69:AD69" si="115">1-I69</f>
        <v>0</v>
      </c>
      <c r="AD69" s="200">
        <f t="shared" si="115"/>
        <v>0</v>
      </c>
      <c r="AE69" s="199">
        <f t="shared" si="6"/>
        <v>2</v>
      </c>
      <c r="AF69" s="201">
        <f t="shared" si="7"/>
        <v>2</v>
      </c>
      <c r="AG69" s="201">
        <f t="shared" si="8"/>
        <v>1</v>
      </c>
      <c r="AH69" s="202">
        <f t="shared" si="9"/>
        <v>0</v>
      </c>
      <c r="AI69" s="205"/>
      <c r="AJ69" s="231" t="s">
        <v>58</v>
      </c>
      <c r="AK69" s="232">
        <f t="shared" ref="AK69:AL69" si="116">SUM(AO69+AM69+AQ69+AS69+AU69+AW69+AY69+BA69+BC69)</f>
        <v>10</v>
      </c>
      <c r="AL69" s="232">
        <f t="shared" si="116"/>
        <v>10</v>
      </c>
      <c r="AM69" s="191">
        <f>SUMIFS($X$2:$X879, $E$2:$E879, "Basic", $F$2:F879, "Hunter")</f>
        <v>10</v>
      </c>
      <c r="AN69" s="191">
        <f>COUNTIFS($E$2:$E879, "Basic", $E$2:$E879, "Basic", $F$2:F879, "Hunter" )</f>
        <v>10</v>
      </c>
      <c r="AO69" s="234"/>
      <c r="AP69" s="235"/>
      <c r="AQ69" s="191"/>
      <c r="AR69" s="235"/>
      <c r="AS69" s="234"/>
      <c r="AT69" s="235"/>
      <c r="AU69" s="191"/>
      <c r="AV69" s="235"/>
      <c r="AW69" s="191"/>
      <c r="AX69" s="235"/>
      <c r="AY69" s="191"/>
      <c r="AZ69" s="235"/>
      <c r="BA69" s="191"/>
      <c r="BB69" s="235"/>
      <c r="BC69" s="191"/>
      <c r="BD69" s="235"/>
    </row>
    <row r="70" spans="1:56" ht="14.25">
      <c r="A70" s="187"/>
      <c r="B70" s="188">
        <v>3</v>
      </c>
      <c r="C70" s="189" t="s">
        <v>304</v>
      </c>
      <c r="D70" s="190" t="s">
        <v>58</v>
      </c>
      <c r="E70" s="190" t="s">
        <v>58</v>
      </c>
      <c r="F70" s="190" t="s">
        <v>8</v>
      </c>
      <c r="G70" s="191">
        <f>COUNTIFS(Reference!F:F,C70,Reference!G:G,"&lt;="&amp;VLOOKUP($F70,Setup!$C$9:$D$17,2,0))</f>
        <v>2</v>
      </c>
      <c r="H70" s="191">
        <f>COUNTIFS(Reference!B:B,C70,Reference!C:C,"&lt;="&amp;VLOOKUP("Druid",Setup!$C$9:$D$17,2,0))</f>
        <v>2</v>
      </c>
      <c r="I70" s="192">
        <v>1</v>
      </c>
      <c r="J70" s="192">
        <v>1</v>
      </c>
      <c r="K70" s="191" t="s">
        <v>146</v>
      </c>
      <c r="L70" s="191"/>
      <c r="M70" s="191"/>
      <c r="N70" s="191"/>
      <c r="O70" s="193" t="s">
        <v>305</v>
      </c>
      <c r="P70" s="194"/>
      <c r="Q70" s="190" t="s">
        <v>148</v>
      </c>
      <c r="R70" s="173"/>
      <c r="S70" s="195">
        <f>MATCH($D70,Reference!$J$5:$J$9,0)</f>
        <v>1</v>
      </c>
      <c r="T70" s="195">
        <f>MATCH($E70,Reference!$J$26:$J$32,0)</f>
        <v>1</v>
      </c>
      <c r="U70" s="195">
        <f>MATCH($F70,Reference!$J$45:$J$54,0)</f>
        <v>1</v>
      </c>
      <c r="V70" s="196">
        <f>MATCH($K70,Reference!$J$37:$J$39,0)</f>
        <v>2</v>
      </c>
      <c r="W70" s="197">
        <f t="shared" si="0"/>
        <v>2</v>
      </c>
      <c r="X70" s="197">
        <f t="shared" si="1"/>
        <v>1</v>
      </c>
      <c r="Y70" s="198">
        <v>0</v>
      </c>
      <c r="Z70" s="197">
        <f t="shared" si="2"/>
        <v>2</v>
      </c>
      <c r="AA70" s="199" t="b">
        <f t="shared" si="3"/>
        <v>0</v>
      </c>
      <c r="AB70" s="199" t="b">
        <f t="shared" si="4"/>
        <v>0</v>
      </c>
      <c r="AC70" s="200">
        <f t="shared" ref="AC70:AD70" si="117">1-I70</f>
        <v>0</v>
      </c>
      <c r="AD70" s="200">
        <f t="shared" si="117"/>
        <v>0</v>
      </c>
      <c r="AE70" s="199">
        <f t="shared" si="6"/>
        <v>2</v>
      </c>
      <c r="AF70" s="201">
        <f t="shared" si="7"/>
        <v>2</v>
      </c>
      <c r="AG70" s="201">
        <f t="shared" si="8"/>
        <v>1</v>
      </c>
      <c r="AH70" s="202">
        <f t="shared" si="9"/>
        <v>0</v>
      </c>
      <c r="AI70" s="205"/>
      <c r="AJ70" s="236" t="s">
        <v>63</v>
      </c>
      <c r="AK70" s="237">
        <f t="shared" ref="AK70:AL70" si="118">SUM(AO70+AM70+AQ70+AS70+AU70+AW70+AY70+BA70+BC70)</f>
        <v>18</v>
      </c>
      <c r="AL70" s="237">
        <f t="shared" si="118"/>
        <v>18</v>
      </c>
      <c r="AM70" s="229">
        <f>SUMIFS($X$2:$X879, $D$2:$D879, "Common", $E$2:$E879, "Classic", $F$2:F879, "Hunter")</f>
        <v>6</v>
      </c>
      <c r="AN70" s="229">
        <f>COUNTIFS($D$2:$D879, "Common", $E$2:$E879, "Classic", $F$2:F879, "Hunter" )</f>
        <v>6</v>
      </c>
      <c r="AO70" s="268">
        <f>SUMIFS($X$2:$X879, $D$2:$D879, "Common", $E$2:$E879, "Promo", $F$2:F879, "Hunter")</f>
        <v>0</v>
      </c>
      <c r="AP70" s="230">
        <f>COUNTIFS($D$2:$D879, "Common", $E$2:$E879, "Promo", $F$2:F879, "Hunter" )</f>
        <v>0</v>
      </c>
      <c r="AQ70" s="229">
        <f>SUMIFS($X$2:$X879, $D$2:$D879, "Common", $E$2:$E879, "Naxx", $F$2:F879, "Hunter")</f>
        <v>1</v>
      </c>
      <c r="AR70" s="229">
        <f>COUNTIFS($D$2:$D879, "Common", $E$2:$E879, "Naxx", $F$2:F879, "Hunter" )</f>
        <v>1</v>
      </c>
      <c r="AS70" s="268">
        <f>SUMIFS($X$2:$X879, $D$2:$D879, "Common", $E$2:$E879, "GvG", $F$2:F879, "Hunter")</f>
        <v>2</v>
      </c>
      <c r="AT70" s="230">
        <f>COUNTIFS($D$2:$D879, "Common", $E$2:$E879, "GvG", $F$2:F879, "Hunter" )</f>
        <v>2</v>
      </c>
      <c r="AU70" s="229">
        <f>SUMIFS($X$2:$X879, $D$2:$D879, "Common", $E$2:$E879, "Blackrock", $F$2:F879, "Hunter")</f>
        <v>1</v>
      </c>
      <c r="AV70" s="229">
        <f>COUNTIFS($D$2:$D879, "Common", $E$2:$E879, "Blackrock", $F$2:F879, "Hunter" )</f>
        <v>1</v>
      </c>
      <c r="AW70" s="229">
        <f>SUMIFS($X$2:$X879, $D$2:$D879, "Common", $E$2:$E879, "TGT", $F$2:F879, "Hunter")</f>
        <v>3</v>
      </c>
      <c r="AX70" s="230">
        <f>COUNTIFS($D$2:$D879, "Common", $E$2:$E879, "TGT", $F$2:F879, "Hunter" )</f>
        <v>3</v>
      </c>
      <c r="AY70" s="229">
        <f>SUMIFS($X$2:$X879, $D$2:$D879, "Common", $E$2:$E879, "LoE", $F$2:F879, "Hunter")</f>
        <v>2</v>
      </c>
      <c r="AZ70" s="230">
        <f>COUNTIFS($D$2:$D879, "Common", $E$2:$E879, "LoE", $F$2:F879, "Hunter" )</f>
        <v>2</v>
      </c>
      <c r="BA70" s="229">
        <f>SUMIFS($X$2:$X879, $D$2:$D879, "Common", $E$2:$E879, "TOG", $F$2:F879, "Hunter")</f>
        <v>3</v>
      </c>
      <c r="BB70" s="230">
        <f>COUNTIFS($D$2:$D879, "Common", $E$2:$E879, "TOG", $F$2:F879, "Hunter" )</f>
        <v>3</v>
      </c>
      <c r="BC70" s="229">
        <f>SUMIFS($X$2:$X879, $D$2:$D879, "Common", $E$2:$E879, "Adv4", $F$2:F879, "Hunter")</f>
        <v>0</v>
      </c>
      <c r="BD70" s="230">
        <f>COUNTIFS($D$2:$D879, "Common", $E$2:$E879, "Adv4", $F$2:F879, "Hunter" )</f>
        <v>0</v>
      </c>
    </row>
    <row r="71" spans="1:56" ht="14.25">
      <c r="A71" s="187"/>
      <c r="B71" s="217">
        <v>3</v>
      </c>
      <c r="C71" s="218" t="s">
        <v>306</v>
      </c>
      <c r="D71" s="190" t="s">
        <v>58</v>
      </c>
      <c r="E71" s="190" t="s">
        <v>58</v>
      </c>
      <c r="F71" s="190" t="s">
        <v>21</v>
      </c>
      <c r="G71" s="191">
        <f>COUNTIFS(Reference!F:F,C71,Reference!G:G,"&lt;="&amp;VLOOKUP($F71,Setup!$C$9:$D$17,2,0))</f>
        <v>2</v>
      </c>
      <c r="H71" s="191">
        <f>COUNTIFS(Reference!B:B,C71,Reference!C:C,"&lt;="&amp;VLOOKUP("Shaman",Setup!$C$9:$D$17,2,0))</f>
        <v>0</v>
      </c>
      <c r="I71" s="192">
        <v>1</v>
      </c>
      <c r="J71" s="192">
        <v>1</v>
      </c>
      <c r="K71" s="191" t="s">
        <v>146</v>
      </c>
      <c r="L71" s="191"/>
      <c r="M71" s="191"/>
      <c r="N71" s="191"/>
      <c r="O71" s="193" t="s">
        <v>307</v>
      </c>
      <c r="P71" s="194"/>
      <c r="Q71" s="190" t="s">
        <v>148</v>
      </c>
      <c r="R71" s="173"/>
      <c r="S71" s="195">
        <f>MATCH($D71,Reference!$J$5:$J$9,0)</f>
        <v>1</v>
      </c>
      <c r="T71" s="195">
        <f>MATCH($E71,Reference!$J$26:$J$32,0)</f>
        <v>1</v>
      </c>
      <c r="U71" s="195">
        <f>MATCH($F71,Reference!$J$45:$J$54,0)</f>
        <v>7</v>
      </c>
      <c r="V71" s="196">
        <f>MATCH($K71,Reference!$J$37:$J$39,0)</f>
        <v>2</v>
      </c>
      <c r="W71" s="197">
        <f t="shared" si="0"/>
        <v>2</v>
      </c>
      <c r="X71" s="197">
        <f t="shared" si="1"/>
        <v>1</v>
      </c>
      <c r="Y71" s="198">
        <v>0</v>
      </c>
      <c r="Z71" s="197">
        <f t="shared" si="2"/>
        <v>2</v>
      </c>
      <c r="AA71" s="199" t="b">
        <f t="shared" si="3"/>
        <v>0</v>
      </c>
      <c r="AB71" s="199" t="b">
        <f t="shared" si="4"/>
        <v>0</v>
      </c>
      <c r="AC71" s="200">
        <f t="shared" ref="AC71:AD71" si="119">1-I71</f>
        <v>0</v>
      </c>
      <c r="AD71" s="200">
        <f t="shared" si="119"/>
        <v>0</v>
      </c>
      <c r="AE71" s="199">
        <f t="shared" si="6"/>
        <v>2</v>
      </c>
      <c r="AF71" s="201">
        <f t="shared" si="7"/>
        <v>0</v>
      </c>
      <c r="AG71" s="201">
        <f t="shared" si="8"/>
        <v>1</v>
      </c>
      <c r="AH71" s="202">
        <f t="shared" si="9"/>
        <v>0</v>
      </c>
      <c r="AI71" s="205"/>
      <c r="AJ71" s="241" t="s">
        <v>68</v>
      </c>
      <c r="AK71" s="242">
        <f t="shared" ref="AK71:AL71" si="120">SUM(AO71+AM71+AQ71+AS71+AU71+AW71+AY71+BA71+BC71)</f>
        <v>16</v>
      </c>
      <c r="AL71" s="242">
        <f t="shared" si="120"/>
        <v>16</v>
      </c>
      <c r="AM71" s="269">
        <f>SUMIFS($X$2:$X879, $D$2:$D879, "Rare", $E$2:$E879, "Classic", $F$2:F879, "Hunter")</f>
        <v>5</v>
      </c>
      <c r="AN71" s="269">
        <f>COUNTIFS($D$2:$D879, "Rare", $E$2:$E879, "Classic", $F$2:F879, "Hunter" )</f>
        <v>5</v>
      </c>
      <c r="AO71" s="270">
        <f>SUMIFS($X$2:$X879, $D$2:$D879, "Rare", $E$2:$E879, "Promo", $F$2:F879, "Hunter")</f>
        <v>0</v>
      </c>
      <c r="AP71" s="271">
        <f>COUNTIFS($D$2:$D879, "Rare", $E$2:$E879, "Promo", $F$2:F879, "Hunter" )</f>
        <v>0</v>
      </c>
      <c r="AQ71" s="269">
        <f>SUMIFS($X$2:$X879, $D$2:$D879, "Rare", $E$2:$E879, "Naxx", $F$2:F879, "Hunter")</f>
        <v>0</v>
      </c>
      <c r="AR71" s="269">
        <f>COUNTIFS($D$2:$D879, "Rare", $E$2:$E879, "Naxx", $F$2:F879, "Hunter" )</f>
        <v>0</v>
      </c>
      <c r="AS71" s="270">
        <f>SUMIFS($X$2:$X879, $D$2:$D879, "Rare", $E$2:$E879, "GvG", $F$2:F879, "Hunter")</f>
        <v>3</v>
      </c>
      <c r="AT71" s="271">
        <f>COUNTIFS($D$2:$D879, "Rare", $E$2:$E879, "GvG", $F$2:F879, "Hunter" )</f>
        <v>3</v>
      </c>
      <c r="AU71" s="269">
        <f>SUMIFS($X$2:$X879, $D$2:$D879, "Rare", $E$2:$E879, "Blackrock", $F$2:F879, "Hunter")</f>
        <v>1</v>
      </c>
      <c r="AV71" s="269">
        <f>COUNTIFS($D$2:$D879, "Rare", $E$2:$E879, "Blackrock", $F$2:F879, "Hunter" )</f>
        <v>1</v>
      </c>
      <c r="AW71" s="269">
        <f>SUMIFS($X$2:$X879, $D$2:$D879, "Rare", $E$2:$E879, "TGT", $F$2:F879, "Hunter")</f>
        <v>3</v>
      </c>
      <c r="AX71" s="271">
        <f>COUNTIFS($D$2:$D879, "Rare", $E$2:$E879, "TGT", $F$2:F879, "Hunter" )</f>
        <v>3</v>
      </c>
      <c r="AY71" s="269">
        <f>SUMIFS($X$2:$X879, $D$2:$D879, "Rare", $E$2:$E879, "LoE", $F$2:F879, "Hunter")</f>
        <v>1</v>
      </c>
      <c r="AZ71" s="271">
        <f>COUNTIFS($D$2:$D879, "Rare", $E$2:$E879, "LoE", $F$2:F879, "Hunter" )</f>
        <v>1</v>
      </c>
      <c r="BA71" s="269">
        <f>SUMIFS($X$2:$X879, $D$2:$D879, "Rare", $E$2:$E879, "TOG", $F$2:F879, "Hunter")</f>
        <v>3</v>
      </c>
      <c r="BB71" s="271">
        <f>COUNTIFS($D$2:$D879, "Rare", $E$2:$E879, "TOG", $F$2:F879, "Hunter" )</f>
        <v>3</v>
      </c>
      <c r="BC71" s="269">
        <f>SUMIFS($X$2:$X879, $D$2:$D879, "Rare", $E$2:$E879, "Adv4", $F$2:F879, "Hunter")</f>
        <v>0</v>
      </c>
      <c r="BD71" s="271">
        <f>COUNTIFS($D$2:$D879, "Rare", $E$2:$E879, "Adv4", $F$2:F879, "Hunter" )</f>
        <v>0</v>
      </c>
    </row>
    <row r="72" spans="1:56" ht="14.25">
      <c r="A72" s="240"/>
      <c r="B72" s="188">
        <v>3</v>
      </c>
      <c r="C72" s="189" t="s">
        <v>308</v>
      </c>
      <c r="D72" s="190" t="s">
        <v>58</v>
      </c>
      <c r="E72" s="190" t="s">
        <v>58</v>
      </c>
      <c r="F72" s="190" t="s">
        <v>115</v>
      </c>
      <c r="G72" s="215">
        <v>2</v>
      </c>
      <c r="H72" s="191">
        <f>COUNTIFS(Reference!D:D,VLOOKUP(C72,Reference!B:D,3,0),Reference!C:C,"&lt;="&amp;VLOOKUP(VLOOKUP(C72,Reference!B:D,3,0),Setup!$C$9:$D$17,2,0),Reference!B:B,C72)</f>
        <v>0</v>
      </c>
      <c r="I72" s="192">
        <v>1</v>
      </c>
      <c r="J72" s="192">
        <v>1</v>
      </c>
      <c r="K72" s="215" t="s">
        <v>182</v>
      </c>
      <c r="L72" s="191"/>
      <c r="M72" s="215">
        <v>2</v>
      </c>
      <c r="N72" s="215">
        <v>2</v>
      </c>
      <c r="O72" s="193" t="s">
        <v>183</v>
      </c>
      <c r="P72" s="194" t="s">
        <v>184</v>
      </c>
      <c r="Q72" s="190" t="s">
        <v>148</v>
      </c>
      <c r="R72" s="173"/>
      <c r="S72" s="195">
        <f>MATCH($D72,Reference!$J$5:$J$9,0)</f>
        <v>1</v>
      </c>
      <c r="T72" s="195">
        <f>MATCH($E72,Reference!$J$26:$J$32,0)</f>
        <v>1</v>
      </c>
      <c r="U72" s="195">
        <f>MATCH($F72,Reference!$J$45:$J$54,0)</f>
        <v>10</v>
      </c>
      <c r="V72" s="196">
        <f>MATCH($K72,Reference!$J$37:$J$39,0)</f>
        <v>3</v>
      </c>
      <c r="W72" s="197">
        <f t="shared" si="0"/>
        <v>2</v>
      </c>
      <c r="X72" s="197">
        <f t="shared" si="1"/>
        <v>1</v>
      </c>
      <c r="Y72" s="198">
        <v>0</v>
      </c>
      <c r="Z72" s="197">
        <f t="shared" si="2"/>
        <v>2</v>
      </c>
      <c r="AA72" s="199" t="b">
        <f t="shared" si="3"/>
        <v>0</v>
      </c>
      <c r="AB72" s="199" t="b">
        <f t="shared" si="4"/>
        <v>0</v>
      </c>
      <c r="AC72" s="200">
        <f t="shared" ref="AC72:AD72" si="121">1-I72</f>
        <v>0</v>
      </c>
      <c r="AD72" s="200">
        <f t="shared" si="121"/>
        <v>0</v>
      </c>
      <c r="AE72" s="199">
        <f t="shared" si="6"/>
        <v>2</v>
      </c>
      <c r="AF72" s="201">
        <f t="shared" si="7"/>
        <v>0</v>
      </c>
      <c r="AG72" s="201">
        <f t="shared" si="8"/>
        <v>1</v>
      </c>
      <c r="AH72" s="202">
        <f t="shared" si="9"/>
        <v>0</v>
      </c>
      <c r="AI72" s="205"/>
      <c r="AJ72" s="245" t="s">
        <v>69</v>
      </c>
      <c r="AK72" s="246">
        <f t="shared" ref="AK72:AL72" si="122">SUM(AO72+AM72+AQ72+AS72+AU72+AW72+AY72+BA72+BC72)</f>
        <v>6</v>
      </c>
      <c r="AL72" s="246">
        <f t="shared" si="122"/>
        <v>9</v>
      </c>
      <c r="AM72" s="272">
        <f>SUMIFS($X$2:$X879, $D$2:$D879, "Epic", $E$2:$E879, "Classic", $F$2:F879, "Hunter")</f>
        <v>1</v>
      </c>
      <c r="AN72" s="272">
        <f>COUNTIFS($D$2:$D879, "Epic", $E$2:$E879, "Classic", $F$2:F879, "Hunter" )</f>
        <v>3</v>
      </c>
      <c r="AO72" s="273">
        <f>SUMIFS($X$2:$X879, $D$2:$D879, "Epic", $E$2:$E879, "Promo", $F$2:F879, "Hunter")</f>
        <v>0</v>
      </c>
      <c r="AP72" s="274">
        <f>COUNTIFS($D$2:$D879, "Epic", $E$2:$E879, "Promo", $F$2:F879, "Hunter" )</f>
        <v>0</v>
      </c>
      <c r="AQ72" s="272">
        <f>SUMIFS($X$2:$X879, $D$2:$D879, "Epic", $E$2:$E879, "Naxx", $F$2:F879, "Hunter")</f>
        <v>0</v>
      </c>
      <c r="AR72" s="272">
        <f>COUNTIFS($D$2:$D879, "Epic", $E$2:$E879, "Naxx", $F$2:F879, "Hunter" )</f>
        <v>0</v>
      </c>
      <c r="AS72" s="273">
        <f>SUMIFS($X$2:$X879, $D$2:$D879, "Epic", $E$2:$E879, "GvG", $F$2:F879, "Hunter")</f>
        <v>2</v>
      </c>
      <c r="AT72" s="274">
        <f>COUNTIFS($D$2:$D879, "Epic", $E$2:$E879, "GvG", $F$2:F879, "Hunter" )</f>
        <v>2</v>
      </c>
      <c r="AU72" s="272">
        <f>SUMIFS($X$2:$X879, $D$2:$D879, "Epic", $E$2:$E879, "Blackrock", $F$2:F879, "Hunter")</f>
        <v>0</v>
      </c>
      <c r="AV72" s="272">
        <f>COUNTIFS($D$2:$D879, "Epic", $E$2:$E879, "Blackrock", $F$2:F879, "Hunter" )</f>
        <v>0</v>
      </c>
      <c r="AW72" s="272">
        <f>SUMIFS($X$2:$X879, $D$2:$D879, "Epic", $E$2:$E879, "TGT", $F$2:F879, "Hunter")</f>
        <v>2</v>
      </c>
      <c r="AX72" s="274">
        <f>COUNTIFS($D$2:$D879, "Epic", $E$2:$E879, "TGT", $F$2:F879, "Hunter" )</f>
        <v>2</v>
      </c>
      <c r="AY72" s="272">
        <f>SUMIFS($X$2:$X879, $D$2:$D879, "Epic", $E$2:$E879, "LoE", $F$2:F879, "Hunter")</f>
        <v>0</v>
      </c>
      <c r="AZ72" s="274">
        <f>COUNTIFS($D$2:$D879, "Epic", $E$2:$E879, "LoE", $F$2:F879, "Hunter" )</f>
        <v>0</v>
      </c>
      <c r="BA72" s="272">
        <f>SUMIFS($X$2:$X879, $D$2:$D879, "Epic", $E$2:$E879, "TOG", $F$2:F879, "Hunter")</f>
        <v>1</v>
      </c>
      <c r="BB72" s="274">
        <f>COUNTIFS($D$2:$D879, "Epic", $E$2:$E879, "TOG", $F$2:F879, "Hunter" )</f>
        <v>2</v>
      </c>
      <c r="BC72" s="272">
        <f>SUMIFS($X$2:$X879, $D$2:$D879, "Epic", $E$2:$E879, "Adv4", $F$2:F879, "Hunter")</f>
        <v>0</v>
      </c>
      <c r="BD72" s="274">
        <f>COUNTIFS($D$2:$D879, "Epic", $E$2:$E879, "Adv4", $F$2:F879, "Hunter" )</f>
        <v>0</v>
      </c>
    </row>
    <row r="73" spans="1:56" ht="14.25">
      <c r="A73" s="187"/>
      <c r="B73" s="217">
        <v>3</v>
      </c>
      <c r="C73" s="218" t="s">
        <v>309</v>
      </c>
      <c r="D73" s="190" t="s">
        <v>58</v>
      </c>
      <c r="E73" s="190" t="s">
        <v>58</v>
      </c>
      <c r="F73" s="190" t="s">
        <v>115</v>
      </c>
      <c r="G73" s="215">
        <v>2</v>
      </c>
      <c r="H73" s="191">
        <f>COUNTIFS(Reference!D:D,VLOOKUP(C73,Reference!B:D,3,0),Reference!C:C,"&lt;="&amp;VLOOKUP(VLOOKUP(C73,Reference!B:D,3,0),Setup!$C$9:$D$17,2,0),Reference!B:B,C73)</f>
        <v>0</v>
      </c>
      <c r="I73" s="192">
        <v>1</v>
      </c>
      <c r="J73" s="192">
        <v>1</v>
      </c>
      <c r="K73" s="215" t="s">
        <v>182</v>
      </c>
      <c r="L73" s="191" t="s">
        <v>230</v>
      </c>
      <c r="M73" s="215">
        <v>3</v>
      </c>
      <c r="N73" s="215">
        <v>3</v>
      </c>
      <c r="O73" s="193" t="s">
        <v>192</v>
      </c>
      <c r="P73" s="194" t="s">
        <v>193</v>
      </c>
      <c r="Q73" s="190" t="s">
        <v>148</v>
      </c>
      <c r="R73" s="173"/>
      <c r="S73" s="195">
        <f>MATCH($D73,Reference!$J$5:$J$9,0)</f>
        <v>1</v>
      </c>
      <c r="T73" s="195">
        <f>MATCH($E73,Reference!$J$26:$J$32,0)</f>
        <v>1</v>
      </c>
      <c r="U73" s="195">
        <f>MATCH($F73,Reference!$J$45:$J$54,0)</f>
        <v>10</v>
      </c>
      <c r="V73" s="196">
        <f>MATCH($K73,Reference!$J$37:$J$39,0)</f>
        <v>3</v>
      </c>
      <c r="W73" s="197">
        <f t="shared" si="0"/>
        <v>2</v>
      </c>
      <c r="X73" s="197">
        <f t="shared" si="1"/>
        <v>1</v>
      </c>
      <c r="Y73" s="198">
        <v>0</v>
      </c>
      <c r="Z73" s="197">
        <f t="shared" si="2"/>
        <v>2</v>
      </c>
      <c r="AA73" s="199" t="b">
        <f t="shared" si="3"/>
        <v>0</v>
      </c>
      <c r="AB73" s="199" t="b">
        <f t="shared" si="4"/>
        <v>0</v>
      </c>
      <c r="AC73" s="200">
        <f t="shared" ref="AC73:AD73" si="123">1-I73</f>
        <v>0</v>
      </c>
      <c r="AD73" s="200">
        <f t="shared" si="123"/>
        <v>0</v>
      </c>
      <c r="AE73" s="199">
        <f t="shared" si="6"/>
        <v>2</v>
      </c>
      <c r="AF73" s="201">
        <f t="shared" si="7"/>
        <v>0</v>
      </c>
      <c r="AG73" s="201">
        <f t="shared" si="8"/>
        <v>1</v>
      </c>
      <c r="AH73" s="202">
        <f t="shared" si="9"/>
        <v>0</v>
      </c>
      <c r="AI73" s="205"/>
      <c r="AJ73" s="249" t="s">
        <v>70</v>
      </c>
      <c r="AK73" s="250">
        <f t="shared" ref="AK73:AL73" si="124">SUM(AO73+AM73+AQ73+AS73+AU73+AW73+AY73+BA73+BC73)</f>
        <v>2</v>
      </c>
      <c r="AL73" s="250">
        <f t="shared" si="124"/>
        <v>5</v>
      </c>
      <c r="AM73" s="275">
        <f>SUMIFS($X$2:$X879, $D$2:$D879, "Legendary", $E$2:$E879, "Classic", $F$2:F879, "Hunter")</f>
        <v>0</v>
      </c>
      <c r="AN73" s="275">
        <f>COUNTIFS($D$2:$D879, "Legendary", $E$2:$E879, "Classic", $F$2:F879, "Hunter" )</f>
        <v>1</v>
      </c>
      <c r="AO73" s="276">
        <f>SUMIFS($X$2:$X879, $D$2:$D879, "Legendary", $E$2:$E879, "Promo", $F$2:F879, "Hunter")</f>
        <v>0</v>
      </c>
      <c r="AP73" s="277">
        <f>COUNTIFS($D$2:$D879, "Legendary", $E$2:$E879, "Promo", $F$2:F879, "Hunter" )</f>
        <v>0</v>
      </c>
      <c r="AQ73" s="275">
        <f>SUMIFS($X$2:$X879, $D$2:$D879, "Legendary", $E$2:$E879, "Naxx", $F$2:F879, "Hunter")</f>
        <v>0</v>
      </c>
      <c r="AR73" s="275">
        <f>COUNTIFS($D$2:$D879, "Legendary", $E$2:$E879, "Naxx", $F$2:F879, "Hunter" )</f>
        <v>0</v>
      </c>
      <c r="AS73" s="276">
        <f>SUMIFS($X$2:$X879, $D$2:$D879, "Legendary", $E$2:$E879, "GvG", $F$2:F879, "Hunter")</f>
        <v>0</v>
      </c>
      <c r="AT73" s="277">
        <f>COUNTIFS($D$2:$D879, "Legendary", $E$2:$E879, "GvG", $F$2:F879, "Hunter" )</f>
        <v>1</v>
      </c>
      <c r="AU73" s="275">
        <f>SUMIFS($X$2:$X879, $D$2:$D879, "Legendary", $E$2:$E879, "Blackrock", $F$2:F879, "Hunter")</f>
        <v>0</v>
      </c>
      <c r="AV73" s="275">
        <f>COUNTIFS($D$2:$D879, "Legendary", $E$2:$E879, "Blackrock", $F$2:F879, "Hunter" )</f>
        <v>0</v>
      </c>
      <c r="AW73" s="275">
        <f>SUMIFS($X$2:$X879, $D$2:$D879, "Legendary", $E$2:$E879, "TGT", $F$2:F879, "Hunter")</f>
        <v>1</v>
      </c>
      <c r="AX73" s="277">
        <f>COUNTIFS($D$2:$D879, "Legendary", $E$2:$E879, "TGT", $F$2:F879, "Hunter" )</f>
        <v>2</v>
      </c>
      <c r="AY73" s="275">
        <f>SUMIFS($X$2:$X879, $D$2:$D879, "Legendary", $E$2:$E879, "LoE", $F$2:F879, "Hunter")</f>
        <v>0</v>
      </c>
      <c r="AZ73" s="277">
        <f>COUNTIFS($D$2:$D879, "Legendary", $E$2:$E879, "LoE", $F$2:F879, "Hunter" )</f>
        <v>0</v>
      </c>
      <c r="BA73" s="275">
        <f>SUMIFS($X$2:$X879, $D$2:$D879, "Legendary", $E$2:$E879, "TOG", $F$2:F879, "Hunter")</f>
        <v>1</v>
      </c>
      <c r="BB73" s="277">
        <f>COUNTIFS($D$2:$D879, "Legendary", $E$2:$E879, "TOG", $F$2:F879, "Hunter" )</f>
        <v>1</v>
      </c>
      <c r="BC73" s="275">
        <f>SUMIFS($X$2:$X879, $D$2:$D879, "Legendary", $E$2:$E879, "Adv4", $F$2:F879, "Hunter")</f>
        <v>0</v>
      </c>
      <c r="BD73" s="277">
        <f>COUNTIFS($D$2:$D879, "Legendary", $E$2:$E879, "Adv4", $F$2:F879, "Hunter" )</f>
        <v>0</v>
      </c>
    </row>
    <row r="74" spans="1:56" ht="14.25">
      <c r="A74" s="206"/>
      <c r="B74" s="188">
        <v>3</v>
      </c>
      <c r="C74" s="189" t="s">
        <v>310</v>
      </c>
      <c r="D74" s="190" t="s">
        <v>58</v>
      </c>
      <c r="E74" s="190" t="s">
        <v>58</v>
      </c>
      <c r="F74" s="190" t="s">
        <v>11</v>
      </c>
      <c r="G74" s="191">
        <f>COUNTIFS(Reference!F:F,C74,Reference!G:G,"&lt;="&amp;VLOOKUP($F74,Setup!$C$9:$D$17,2,0))</f>
        <v>2</v>
      </c>
      <c r="H74" s="191">
        <f>COUNTIFS(Reference!B:B,C74,Reference!C:C,"&lt;="&amp;VLOOKUP("Hunter",Setup!$C$9:$D$17,2,0))</f>
        <v>0</v>
      </c>
      <c r="I74" s="192">
        <v>1</v>
      </c>
      <c r="J74" s="192">
        <v>1</v>
      </c>
      <c r="K74" s="191" t="s">
        <v>146</v>
      </c>
      <c r="L74" s="191"/>
      <c r="M74" s="191"/>
      <c r="N74" s="191"/>
      <c r="O74" s="193" t="s">
        <v>311</v>
      </c>
      <c r="P74" s="194"/>
      <c r="Q74" s="190" t="s">
        <v>148</v>
      </c>
      <c r="R74" s="173"/>
      <c r="S74" s="195">
        <f>MATCH($D74,Reference!$J$5:$J$9,0)</f>
        <v>1</v>
      </c>
      <c r="T74" s="195">
        <f>MATCH($E74,Reference!$J$26:$J$32,0)</f>
        <v>1</v>
      </c>
      <c r="U74" s="195">
        <f>MATCH($F74,Reference!$J$45:$J$54,0)</f>
        <v>2</v>
      </c>
      <c r="V74" s="196">
        <f>MATCH($K74,Reference!$J$37:$J$39,0)</f>
        <v>2</v>
      </c>
      <c r="W74" s="197">
        <f t="shared" si="0"/>
        <v>2</v>
      </c>
      <c r="X74" s="197">
        <f t="shared" si="1"/>
        <v>1</v>
      </c>
      <c r="Y74" s="198">
        <v>0</v>
      </c>
      <c r="Z74" s="197">
        <f t="shared" si="2"/>
        <v>2</v>
      </c>
      <c r="AA74" s="199" t="b">
        <f t="shared" si="3"/>
        <v>0</v>
      </c>
      <c r="AB74" s="199" t="b">
        <f t="shared" si="4"/>
        <v>0</v>
      </c>
      <c r="AC74" s="200">
        <f t="shared" ref="AC74:AD74" si="125">1-I74</f>
        <v>0</v>
      </c>
      <c r="AD74" s="200">
        <f t="shared" si="125"/>
        <v>0</v>
      </c>
      <c r="AE74" s="199">
        <f t="shared" si="6"/>
        <v>2</v>
      </c>
      <c r="AF74" s="201">
        <f t="shared" si="7"/>
        <v>0</v>
      </c>
      <c r="AG74" s="201">
        <f t="shared" si="8"/>
        <v>1</v>
      </c>
      <c r="AH74" s="202">
        <f t="shared" si="9"/>
        <v>0</v>
      </c>
      <c r="AI74" s="205"/>
      <c r="AJ74" s="253" t="s">
        <v>240</v>
      </c>
      <c r="AK74" s="229"/>
      <c r="AL74" s="230"/>
      <c r="AM74" s="229"/>
      <c r="AN74" s="230"/>
      <c r="AO74" s="254"/>
      <c r="AP74" s="255"/>
      <c r="AQ74" s="229"/>
      <c r="AR74" s="230"/>
      <c r="AS74" s="254"/>
      <c r="AT74" s="255"/>
      <c r="AU74" s="229"/>
      <c r="AV74" s="230"/>
      <c r="AW74" s="229"/>
      <c r="AX74" s="230"/>
      <c r="AY74" s="229"/>
      <c r="AZ74" s="230"/>
      <c r="BA74" s="229"/>
      <c r="BB74" s="230"/>
      <c r="BC74" s="229"/>
      <c r="BD74" s="230"/>
    </row>
    <row r="75" spans="1:56" ht="14.25">
      <c r="A75" s="209"/>
      <c r="B75" s="217">
        <v>3</v>
      </c>
      <c r="C75" s="218" t="s">
        <v>312</v>
      </c>
      <c r="D75" s="190" t="s">
        <v>58</v>
      </c>
      <c r="E75" s="190" t="s">
        <v>58</v>
      </c>
      <c r="F75" s="190" t="s">
        <v>115</v>
      </c>
      <c r="G75" s="215">
        <v>2</v>
      </c>
      <c r="H75" s="191">
        <f>COUNTIFS(Reference!D:D,VLOOKUP(C75,Reference!B:D,3,0),Reference!C:C,"&lt;="&amp;VLOOKUP(VLOOKUP(C75,Reference!B:D,3,0),Setup!$C$9:$D$17,2,0),Reference!B:B,C75)</f>
        <v>0</v>
      </c>
      <c r="I75" s="192">
        <v>1</v>
      </c>
      <c r="J75" s="192">
        <v>1</v>
      </c>
      <c r="K75" s="190" t="s">
        <v>182</v>
      </c>
      <c r="L75" s="190"/>
      <c r="M75" s="190">
        <v>5</v>
      </c>
      <c r="N75" s="223">
        <v>1</v>
      </c>
      <c r="O75" s="193"/>
      <c r="P75" s="194"/>
      <c r="Q75" s="190" t="s">
        <v>148</v>
      </c>
      <c r="R75" s="173"/>
      <c r="S75" s="195">
        <f>MATCH($D75,Reference!$J$5:$J$9,0)</f>
        <v>1</v>
      </c>
      <c r="T75" s="195">
        <f>MATCH($E75,Reference!$J$26:$J$32,0)</f>
        <v>1</v>
      </c>
      <c r="U75" s="195">
        <f>MATCH($F75,Reference!$J$45:$J$54,0)</f>
        <v>10</v>
      </c>
      <c r="V75" s="196">
        <f>MATCH($K75,Reference!$J$37:$J$39,0)</f>
        <v>3</v>
      </c>
      <c r="W75" s="197">
        <f t="shared" si="0"/>
        <v>2</v>
      </c>
      <c r="X75" s="197">
        <f t="shared" si="1"/>
        <v>1</v>
      </c>
      <c r="Y75" s="198">
        <v>0</v>
      </c>
      <c r="Z75" s="197">
        <f t="shared" si="2"/>
        <v>2</v>
      </c>
      <c r="AA75" s="199" t="b">
        <f t="shared" si="3"/>
        <v>0</v>
      </c>
      <c r="AB75" s="199" t="b">
        <f t="shared" si="4"/>
        <v>0</v>
      </c>
      <c r="AC75" s="200">
        <f t="shared" ref="AC75:AD75" si="126">1-I75</f>
        <v>0</v>
      </c>
      <c r="AD75" s="200">
        <f t="shared" si="126"/>
        <v>0</v>
      </c>
      <c r="AE75" s="199">
        <f t="shared" si="6"/>
        <v>2</v>
      </c>
      <c r="AF75" s="201">
        <f t="shared" si="7"/>
        <v>0</v>
      </c>
      <c r="AG75" s="201">
        <f t="shared" si="8"/>
        <v>1</v>
      </c>
      <c r="AH75" s="202">
        <f t="shared" si="9"/>
        <v>0</v>
      </c>
      <c r="AI75" s="205"/>
      <c r="AJ75" s="231" t="s">
        <v>58</v>
      </c>
      <c r="AK75" s="232">
        <f t="shared" ref="AK75:AL75" si="127">SUM(AO75+AM75+AQ75+AS75+AU75+AW75+AY75+BA75+BC75)</f>
        <v>20</v>
      </c>
      <c r="AL75" s="232">
        <f t="shared" si="127"/>
        <v>20</v>
      </c>
      <c r="AM75" s="191">
        <f>SUMIFS($W$2:$W879, $E$2:$E879, "Basic", $F$2:F879, "Hunter")</f>
        <v>20</v>
      </c>
      <c r="AN75" s="232">
        <f>COUNTIFS($E$2:$E879, "Basic", $F$2:F879, "Hunter" )*2</f>
        <v>20</v>
      </c>
      <c r="AO75" s="234"/>
      <c r="AP75" s="235"/>
      <c r="AQ75" s="191"/>
      <c r="AR75" s="191"/>
      <c r="AS75" s="234"/>
      <c r="AT75" s="235"/>
      <c r="AU75" s="191"/>
      <c r="AV75" s="191"/>
      <c r="AW75" s="191"/>
      <c r="AX75" s="235"/>
      <c r="AY75" s="191"/>
      <c r="AZ75" s="235"/>
      <c r="BA75" s="191"/>
      <c r="BB75" s="235"/>
      <c r="BC75" s="191"/>
      <c r="BD75" s="235"/>
    </row>
    <row r="76" spans="1:56" ht="14.25">
      <c r="A76" s="187"/>
      <c r="B76" s="188">
        <v>3</v>
      </c>
      <c r="C76" s="189" t="s">
        <v>313</v>
      </c>
      <c r="D76" s="190" t="s">
        <v>58</v>
      </c>
      <c r="E76" s="190" t="s">
        <v>58</v>
      </c>
      <c r="F76" s="190" t="s">
        <v>115</v>
      </c>
      <c r="G76" s="215">
        <v>2</v>
      </c>
      <c r="H76" s="191">
        <f>COUNTIFS(Reference!D:D,VLOOKUP(C76,Reference!B:D,3,0),Reference!C:C,"&lt;="&amp;VLOOKUP(VLOOKUP(C76,Reference!B:D,3,0),Setup!$C$9:$D$17,2,0),Reference!B:B,C76)</f>
        <v>0</v>
      </c>
      <c r="I76" s="192">
        <v>1</v>
      </c>
      <c r="J76" s="192">
        <v>1</v>
      </c>
      <c r="K76" s="215" t="s">
        <v>182</v>
      </c>
      <c r="L76" s="191"/>
      <c r="M76" s="215">
        <v>2</v>
      </c>
      <c r="N76" s="215">
        <v>2</v>
      </c>
      <c r="O76" s="193" t="s">
        <v>314</v>
      </c>
      <c r="P76" s="194" t="s">
        <v>235</v>
      </c>
      <c r="Q76" s="190" t="s">
        <v>148</v>
      </c>
      <c r="R76" s="173"/>
      <c r="S76" s="195">
        <f>MATCH($D76,Reference!$J$5:$J$9,0)</f>
        <v>1</v>
      </c>
      <c r="T76" s="195">
        <f>MATCH($E76,Reference!$J$26:$J$32,0)</f>
        <v>1</v>
      </c>
      <c r="U76" s="195">
        <f>MATCH($F76,Reference!$J$45:$J$54,0)</f>
        <v>10</v>
      </c>
      <c r="V76" s="196">
        <f>MATCH($K76,Reference!$J$37:$J$39,0)</f>
        <v>3</v>
      </c>
      <c r="W76" s="197">
        <f t="shared" si="0"/>
        <v>2</v>
      </c>
      <c r="X76" s="197">
        <f t="shared" si="1"/>
        <v>1</v>
      </c>
      <c r="Y76" s="198">
        <v>0</v>
      </c>
      <c r="Z76" s="197">
        <f t="shared" si="2"/>
        <v>2</v>
      </c>
      <c r="AA76" s="199" t="b">
        <f t="shared" si="3"/>
        <v>0</v>
      </c>
      <c r="AB76" s="199" t="b">
        <f t="shared" si="4"/>
        <v>0</v>
      </c>
      <c r="AC76" s="200">
        <f t="shared" ref="AC76:AD76" si="128">1-I76</f>
        <v>0</v>
      </c>
      <c r="AD76" s="200">
        <f t="shared" si="128"/>
        <v>0</v>
      </c>
      <c r="AE76" s="199">
        <f t="shared" si="6"/>
        <v>2</v>
      </c>
      <c r="AF76" s="201">
        <f t="shared" si="7"/>
        <v>0</v>
      </c>
      <c r="AG76" s="201">
        <f t="shared" si="8"/>
        <v>1</v>
      </c>
      <c r="AH76" s="202">
        <f t="shared" si="9"/>
        <v>0</v>
      </c>
      <c r="AI76" s="205"/>
      <c r="AJ76" s="256" t="s">
        <v>63</v>
      </c>
      <c r="AK76" s="237">
        <f t="shared" ref="AK76:AL76" si="129">SUM(AO76+AM76+AQ76+AS76+AU76+AW76+AY76+BA76+BC76)</f>
        <v>36</v>
      </c>
      <c r="AL76" s="237">
        <f t="shared" si="129"/>
        <v>36</v>
      </c>
      <c r="AM76" s="229">
        <f>SUMIFS($W$2:$W879, $D$2:$D879, "Common", $E$2:$E879, "Classic", $F$2:F879, "Hunter")</f>
        <v>12</v>
      </c>
      <c r="AN76" s="237">
        <f>COUNTIFS($D$2:$D879, "Common", $E$2:$E879, "Classic", $F$2:F879, "Hunter" )*2</f>
        <v>12</v>
      </c>
      <c r="AO76" s="268">
        <f>SUMIFS($W$2:$W879, $D$2:$D879, "Common", $E$2:$E879, "Promo", $F$2:F879, "Hunter")</f>
        <v>0</v>
      </c>
      <c r="AP76" s="238">
        <f>COUNTIFS($D$2:$D879, "Common", $E$2:$E879, "Promo", $F$2:F879, "Hunter" )*2</f>
        <v>0</v>
      </c>
      <c r="AQ76" s="229">
        <f>SUMIFS($W$2:$W879, $D$2:$D879, "Common", $E$2:$E879, "Naxx", $F$2:F879, "Hunter")</f>
        <v>2</v>
      </c>
      <c r="AR76" s="237">
        <f>COUNTIFS($D$2:$D879, "Common", $E$2:$E879, "Naxx", $F$2:F879, "Hunter" )*2</f>
        <v>2</v>
      </c>
      <c r="AS76" s="268">
        <f>SUMIFS($W$2:$W879, $D$2:$D879, "Common", $E$2:$E879, "GvG", $F$2:F879, "Hunter")</f>
        <v>4</v>
      </c>
      <c r="AT76" s="238">
        <f>COUNTIFS($D$2:$D879, "Common", $E$2:$E879, "GvG", $F$2:F879, "Hunter" )*2</f>
        <v>4</v>
      </c>
      <c r="AU76" s="229">
        <f>SUMIFS($W$2:$W879, $D$2:$D879, "Common", $E$2:$E879, "Blackrock", $F$2:F879, "Hunter")</f>
        <v>2</v>
      </c>
      <c r="AV76" s="237">
        <f>COUNTIFS($D$2:$D879, "Common", $E$2:$E879, "Blackrock", $F$2:F879, "Hunter" )*2</f>
        <v>2</v>
      </c>
      <c r="AW76" s="229">
        <f>SUMIFS($W$2:$W879, $D$2:$D879, "Common", $E$2:$E879, "TGT", $F$2:F879, "Hunter")</f>
        <v>6</v>
      </c>
      <c r="AX76" s="238">
        <f>COUNTIFS($D$2:$D879, "Common", $E$2:$E879, "TGT", $F$2:F879, "Hunter" )*2</f>
        <v>6</v>
      </c>
      <c r="AY76" s="229">
        <f>SUMIFS($W$2:$W879, $D$2:$D879, "Common", $E$2:$E879, "LoE", $F$2:F879, "Hunter")</f>
        <v>4</v>
      </c>
      <c r="AZ76" s="238">
        <f>COUNTIFS($D$2:$D879, "Common", $E$2:$E879, "LoE", $F$2:F879, "Hunter" )*2</f>
        <v>4</v>
      </c>
      <c r="BA76" s="229">
        <f>SUMIFS($W$2:$W879, $D$2:$D879, "Common", $E$2:$E879, "TOG", $F$2:F879, "Hunter")</f>
        <v>6</v>
      </c>
      <c r="BB76" s="238">
        <f>COUNTIFS($D$2:$D879, "Common", $E$2:$E879, "TOG", $F$2:F879, "Hunter" )*2</f>
        <v>6</v>
      </c>
      <c r="BC76" s="229">
        <f>SUMIFS($W$2:$W879, $D$2:$D879, "Common", $E$2:$E879, "Adv4", $F$2:F879, "Hunter")</f>
        <v>0</v>
      </c>
      <c r="BD76" s="238">
        <f>COUNTIFS($D$2:$D879, "Common", $E$2:$E879, "Adv4", $F$2:F879, "Hunter" )*2</f>
        <v>0</v>
      </c>
    </row>
    <row r="77" spans="1:56" ht="14.25">
      <c r="A77" s="209"/>
      <c r="B77" s="188">
        <v>3</v>
      </c>
      <c r="C77" s="189" t="s">
        <v>315</v>
      </c>
      <c r="D77" s="190" t="s">
        <v>58</v>
      </c>
      <c r="E77" s="190" t="s">
        <v>58</v>
      </c>
      <c r="F77" s="190" t="s">
        <v>115</v>
      </c>
      <c r="G77" s="215">
        <v>2</v>
      </c>
      <c r="H77" s="191">
        <f>COUNTIFS(Reference!D:D,VLOOKUP(C77,Reference!B:D,3,0),Reference!C:C,"&lt;="&amp;VLOOKUP(VLOOKUP(C77,Reference!B:D,3,0),Setup!$C$9:$D$17,2,0),Reference!B:B,C77)</f>
        <v>0</v>
      </c>
      <c r="I77" s="192">
        <v>1</v>
      </c>
      <c r="J77" s="192">
        <v>1</v>
      </c>
      <c r="K77" s="215" t="s">
        <v>182</v>
      </c>
      <c r="L77" s="191"/>
      <c r="M77" s="215">
        <v>2</v>
      </c>
      <c r="N77" s="215">
        <v>3</v>
      </c>
      <c r="O77" s="193" t="s">
        <v>316</v>
      </c>
      <c r="P77" s="194" t="s">
        <v>184</v>
      </c>
      <c r="Q77" s="190" t="s">
        <v>148</v>
      </c>
      <c r="R77" s="173"/>
      <c r="S77" s="195">
        <f>MATCH($D77,Reference!$J$5:$J$9,0)</f>
        <v>1</v>
      </c>
      <c r="T77" s="195">
        <f>MATCH($E77,Reference!$J$26:$J$32,0)</f>
        <v>1</v>
      </c>
      <c r="U77" s="195">
        <f>MATCH($F77,Reference!$J$45:$J$54,0)</f>
        <v>10</v>
      </c>
      <c r="V77" s="196">
        <f>MATCH($K77,Reference!$J$37:$J$39,0)</f>
        <v>3</v>
      </c>
      <c r="W77" s="197">
        <f t="shared" si="0"/>
        <v>2</v>
      </c>
      <c r="X77" s="197">
        <f t="shared" si="1"/>
        <v>1</v>
      </c>
      <c r="Y77" s="198">
        <v>0</v>
      </c>
      <c r="Z77" s="197">
        <f t="shared" si="2"/>
        <v>2</v>
      </c>
      <c r="AA77" s="199" t="b">
        <f t="shared" si="3"/>
        <v>0</v>
      </c>
      <c r="AB77" s="199" t="b">
        <f t="shared" si="4"/>
        <v>0</v>
      </c>
      <c r="AC77" s="200">
        <f t="shared" ref="AC77:AD77" si="130">1-I77</f>
        <v>0</v>
      </c>
      <c r="AD77" s="200">
        <f t="shared" si="130"/>
        <v>0</v>
      </c>
      <c r="AE77" s="199">
        <f t="shared" si="6"/>
        <v>2</v>
      </c>
      <c r="AF77" s="201">
        <f t="shared" si="7"/>
        <v>0</v>
      </c>
      <c r="AG77" s="201">
        <f t="shared" si="8"/>
        <v>1</v>
      </c>
      <c r="AH77" s="202">
        <f t="shared" si="9"/>
        <v>0</v>
      </c>
      <c r="AI77" s="205"/>
      <c r="AJ77" s="257" t="s">
        <v>68</v>
      </c>
      <c r="AK77" s="242">
        <f t="shared" ref="AK77:AL77" si="131">SUM(AO77+AM77+AQ77+AS77+AU77+AW77+AY77+BA77+BC77)</f>
        <v>31</v>
      </c>
      <c r="AL77" s="242">
        <f t="shared" si="131"/>
        <v>32</v>
      </c>
      <c r="AM77" s="269">
        <f>SUMIFS($W$2:$W879, $D$2:$D879, "Rare", $E$2:$E879, "Classic", $F$2:F879, "Hunter")</f>
        <v>10</v>
      </c>
      <c r="AN77" s="242">
        <f>COUNTIFS($D$2:$D879, "Rare", $E$2:$E879, "Classic", $F$2:F879, "Hunter" )*2</f>
        <v>10</v>
      </c>
      <c r="AO77" s="270">
        <f>SUMIFS($W$2:$W879, $D$2:$D879, "Rare", $E$2:$E879, "Promo", $F$2:F879, "Hunter")</f>
        <v>0</v>
      </c>
      <c r="AP77" s="243">
        <f>COUNTIFS($D$2:$D879, "Rare", $E$2:$E879, "Promo", $F$2:F879, "Hunter" )*2</f>
        <v>0</v>
      </c>
      <c r="AQ77" s="269">
        <f>SUMIFS($W$2:$W879, $D$2:$D879, "Rare", $E$2:$E879, "Naxx", $F$2:F879, "Hunter")</f>
        <v>0</v>
      </c>
      <c r="AR77" s="242">
        <f>COUNTIFS($D$2:$D879, "Rare", $E$2:$E879, "Naxx", $F$2:F879, "Hunter" )*2</f>
        <v>0</v>
      </c>
      <c r="AS77" s="270">
        <f>SUMIFS($W$2:$W879, $D$2:$D879, "Rare", $E$2:$E879, "GvG", $F$2:F879, "Hunter")</f>
        <v>5</v>
      </c>
      <c r="AT77" s="243">
        <f>COUNTIFS($D$2:$D879, "Rare", $E$2:$E879, "GvG", $F$2:F879, "Hunter" )*2</f>
        <v>6</v>
      </c>
      <c r="AU77" s="269">
        <f>SUMIFS($W$2:$W879, $D$2:$D879, "Rare", $E$2:$E879, "Blackrock", $F$2:F879, "Hunter")</f>
        <v>2</v>
      </c>
      <c r="AV77" s="242">
        <f>COUNTIFS($D$2:$D879, "Rare", $E$2:$E879, "Blackrock", $F$2:F879, "Hunter" )*2</f>
        <v>2</v>
      </c>
      <c r="AW77" s="269">
        <f>SUMIFS($W$2:$W879, $D$2:$D879, "Rare", $E$2:$E879, "TGT", $F$2:F879, "Hunter")</f>
        <v>6</v>
      </c>
      <c r="AX77" s="243">
        <f>COUNTIFS($D$2:$D879, "Rare", $E$2:$E879, "TGT", $F$2:F879, "Hunter" )*2</f>
        <v>6</v>
      </c>
      <c r="AY77" s="269">
        <f>SUMIFS($W$2:$W879, $D$2:$D879, "Rare", $E$2:$E879, "LoE", $F$2:F879, "Hunter")</f>
        <v>2</v>
      </c>
      <c r="AZ77" s="243">
        <f>COUNTIFS($D$2:$D879, "Rare", $E$2:$E879, "LoE", $F$2:F879, "Hunter" )*2</f>
        <v>2</v>
      </c>
      <c r="BA77" s="269">
        <f>SUMIFS($W$2:$W879, $D$2:$D879, "Rare", $E$2:$E879, "TOG", $F$2:F879, "Hunter")</f>
        <v>6</v>
      </c>
      <c r="BB77" s="243">
        <f>COUNTIFS($D$2:$D879, "Rare", $E$2:$E879, "TOG", $F$2:F879, "Hunter" )*2</f>
        <v>6</v>
      </c>
      <c r="BC77" s="269">
        <f>SUMIFS($W$2:$W879, $D$2:$D879, "Rare", $E$2:$E879, "Adv4", $F$2:F879, "Hunter")</f>
        <v>0</v>
      </c>
      <c r="BD77" s="243">
        <f>COUNTIFS($D$2:$D879, "Rare", $E$2:$E879, "Adv4", $F$2:F879, "Hunter" )*2</f>
        <v>0</v>
      </c>
    </row>
    <row r="78" spans="1:56" ht="14.25">
      <c r="A78" s="279"/>
      <c r="B78" s="188">
        <v>3</v>
      </c>
      <c r="C78" s="189" t="s">
        <v>317</v>
      </c>
      <c r="D78" s="190" t="s">
        <v>58</v>
      </c>
      <c r="E78" s="190" t="s">
        <v>58</v>
      </c>
      <c r="F78" s="190" t="s">
        <v>8</v>
      </c>
      <c r="G78" s="191">
        <f>COUNTIFS(Reference!F:F,C78,Reference!G:G,"&lt;="&amp;VLOOKUP($F78,Setup!$C$9:$D$17,2,0))</f>
        <v>2</v>
      </c>
      <c r="H78" s="191">
        <f>COUNTIFS(Reference!B:B,C78,Reference!C:C,"&lt;="&amp;VLOOKUP("Druid",Setup!$C$9:$D$17,2,0))</f>
        <v>0</v>
      </c>
      <c r="I78" s="192">
        <v>1</v>
      </c>
      <c r="J78" s="192">
        <v>1</v>
      </c>
      <c r="K78" s="191" t="s">
        <v>146</v>
      </c>
      <c r="L78" s="191"/>
      <c r="M78" s="191"/>
      <c r="N78" s="191"/>
      <c r="O78" s="193" t="s">
        <v>318</v>
      </c>
      <c r="P78" s="194"/>
      <c r="Q78" s="190" t="s">
        <v>148</v>
      </c>
      <c r="R78" s="173"/>
      <c r="S78" s="195">
        <f>MATCH($D78,Reference!$J$5:$J$9,0)</f>
        <v>1</v>
      </c>
      <c r="T78" s="195">
        <f>MATCH($E78,Reference!$J$26:$J$32,0)</f>
        <v>1</v>
      </c>
      <c r="U78" s="195">
        <f>MATCH($F78,Reference!$J$45:$J$54,0)</f>
        <v>1</v>
      </c>
      <c r="V78" s="196">
        <f>MATCH($K78,Reference!$J$37:$J$39,0)</f>
        <v>2</v>
      </c>
      <c r="W78" s="197">
        <f t="shared" si="0"/>
        <v>2</v>
      </c>
      <c r="X78" s="197">
        <f t="shared" si="1"/>
        <v>1</v>
      </c>
      <c r="Y78" s="198">
        <v>0</v>
      </c>
      <c r="Z78" s="197">
        <f t="shared" si="2"/>
        <v>2</v>
      </c>
      <c r="AA78" s="199" t="b">
        <f t="shared" si="3"/>
        <v>0</v>
      </c>
      <c r="AB78" s="199" t="b">
        <f t="shared" si="4"/>
        <v>0</v>
      </c>
      <c r="AC78" s="200">
        <f t="shared" ref="AC78:AD78" si="132">1-I78</f>
        <v>0</v>
      </c>
      <c r="AD78" s="200">
        <f t="shared" si="132"/>
        <v>0</v>
      </c>
      <c r="AE78" s="199">
        <f t="shared" si="6"/>
        <v>2</v>
      </c>
      <c r="AF78" s="201">
        <f t="shared" si="7"/>
        <v>0</v>
      </c>
      <c r="AG78" s="201">
        <f t="shared" si="8"/>
        <v>1</v>
      </c>
      <c r="AH78" s="202">
        <f t="shared" si="9"/>
        <v>0</v>
      </c>
      <c r="AI78" s="205"/>
      <c r="AJ78" s="258" t="s">
        <v>69</v>
      </c>
      <c r="AK78" s="246">
        <f t="shared" ref="AK78:AL78" si="133">SUM(AO78+AM78+AQ78+AS78+AU78+AW78+AY78+BA78+BC78)</f>
        <v>9</v>
      </c>
      <c r="AL78" s="246">
        <f t="shared" si="133"/>
        <v>18</v>
      </c>
      <c r="AM78" s="272">
        <f>SUMIFS($W$2:$W879, $D$2:$D879, "Epic", $E$2:$E879, "Classic", $F$2:F879, "Hunter")</f>
        <v>1</v>
      </c>
      <c r="AN78" s="246">
        <f>COUNTIFS($D$2:$D879, "Epic", $E$2:$E879, "Classic", $F$2:F879, "Hunter" )*2</f>
        <v>6</v>
      </c>
      <c r="AO78" s="273">
        <f>SUMIFS($W$2:$W879, $D$2:$D879, "Epic", $E$2:$E879, "Promo", $F$2:F879, "Hunter")</f>
        <v>0</v>
      </c>
      <c r="AP78" s="247">
        <f>COUNTIFS($D$2:$D879, "Epic", $E$2:$E879, "Promo", $F$2:F879, "Hunter" )*2</f>
        <v>0</v>
      </c>
      <c r="AQ78" s="272">
        <f>SUMIFS($W$2:$W879, $D$2:$D879, "Epic", $E$2:$E879, "Naxx", $F$2:F879, "Hunter")</f>
        <v>0</v>
      </c>
      <c r="AR78" s="246">
        <f>COUNTIFS($D$2:$D879, "Epic", $E$2:$E879, "Naxx", $F$2:F879, "Hunter" )*2</f>
        <v>0</v>
      </c>
      <c r="AS78" s="273">
        <f>SUMIFS($W$2:$W879, $D$2:$D879, "Epic", $E$2:$E879, "GvG", $F$2:F879, "Hunter")</f>
        <v>3</v>
      </c>
      <c r="AT78" s="247">
        <f>COUNTIFS($D$2:$D879, "Epic", $E$2:$E879, "GvG", $F$2:F879, "Hunter" )*2</f>
        <v>4</v>
      </c>
      <c r="AU78" s="272">
        <f>SUMIFS($W$2:$W879, $D$2:$D879, "Epic", $E$2:$E879, "Blackrock", $F$2:F879, "Hunter")</f>
        <v>0</v>
      </c>
      <c r="AV78" s="246">
        <f>COUNTIFS($D$2:$D879, "Epic", $E$2:$E879, "Blackrock", $F$2:F879, "Hunter" )*2</f>
        <v>0</v>
      </c>
      <c r="AW78" s="272">
        <f>SUMIFS($W$2:$W879, $D$2:$D879, "Epic", $E$2:$E879, "TGT", $F$2:F879, "Hunter")</f>
        <v>4</v>
      </c>
      <c r="AX78" s="247">
        <f>COUNTIFS($D$2:$D879, "Epic", $E$2:$E879, "TGT", $F$2:F879, "Hunter" )*2</f>
        <v>4</v>
      </c>
      <c r="AY78" s="272">
        <f>SUMIFS($W$2:$W879, $D$2:$D879, "Epic", $E$2:$E879, "LoE", $F$2:F879, "Hunter")</f>
        <v>0</v>
      </c>
      <c r="AZ78" s="247">
        <f>COUNTIFS($D$2:$D879, "Epic", $E$2:$E879, "LoE", $F$2:F879, "Hunter" )*2</f>
        <v>0</v>
      </c>
      <c r="BA78" s="272">
        <f>SUMIFS($W$2:$W879, $D$2:$D879, "Epic", $E$2:$E879, "TOG", $F$2:F879, "Hunter")</f>
        <v>1</v>
      </c>
      <c r="BB78" s="247">
        <f>COUNTIFS($D$2:$D879, "Epic", $E$2:$E879, "TOG", $F$2:F879, "Hunter" )*2</f>
        <v>4</v>
      </c>
      <c r="BC78" s="272">
        <f>SUMIFS($W$2:$W879, $D$2:$D879, "Epic", $E$2:$E879, "Adv4", $F$2:F879, "Hunter")</f>
        <v>0</v>
      </c>
      <c r="BD78" s="247">
        <f>COUNTIFS($D$2:$D879, "Epic", $E$2:$E879, "Adv4", $F$2:F879, "Hunter" )*2</f>
        <v>0</v>
      </c>
    </row>
    <row r="79" spans="1:56" ht="14.25">
      <c r="A79" s="279"/>
      <c r="B79" s="217">
        <v>3</v>
      </c>
      <c r="C79" s="218" t="s">
        <v>319</v>
      </c>
      <c r="D79" s="190" t="s">
        <v>58</v>
      </c>
      <c r="E79" s="190" t="s">
        <v>58</v>
      </c>
      <c r="F79" s="190" t="s">
        <v>25</v>
      </c>
      <c r="G79" s="191">
        <f>COUNTIFS(Reference!F:F,C79,Reference!G:G,"&lt;="&amp;VLOOKUP($F79,Setup!$C$9:$D$17,2,0))</f>
        <v>2</v>
      </c>
      <c r="H79" s="191">
        <f>COUNTIFS(Reference!B:B,C79,Reference!C:C,"&lt;="&amp;VLOOKUP("Warlock",Setup!$C$9:$D$17,2,0))</f>
        <v>0</v>
      </c>
      <c r="I79" s="192">
        <v>1</v>
      </c>
      <c r="J79" s="192">
        <v>1</v>
      </c>
      <c r="K79" s="191" t="s">
        <v>146</v>
      </c>
      <c r="L79" s="191"/>
      <c r="M79" s="191"/>
      <c r="N79" s="191"/>
      <c r="O79" s="193" t="s">
        <v>320</v>
      </c>
      <c r="P79" s="194"/>
      <c r="Q79" s="190" t="s">
        <v>148</v>
      </c>
      <c r="R79" s="173"/>
      <c r="S79" s="195">
        <f>MATCH($D79,Reference!$J$5:$J$9,0)</f>
        <v>1</v>
      </c>
      <c r="T79" s="195">
        <f>MATCH($E79,Reference!$J$26:$J$32,0)</f>
        <v>1</v>
      </c>
      <c r="U79" s="195">
        <f>MATCH($F79,Reference!$J$45:$J$54,0)</f>
        <v>8</v>
      </c>
      <c r="V79" s="196">
        <f>MATCH($K79,Reference!$J$37:$J$39,0)</f>
        <v>2</v>
      </c>
      <c r="W79" s="197">
        <f t="shared" si="0"/>
        <v>2</v>
      </c>
      <c r="X79" s="197">
        <f t="shared" si="1"/>
        <v>1</v>
      </c>
      <c r="Y79" s="198">
        <v>0</v>
      </c>
      <c r="Z79" s="197">
        <f t="shared" si="2"/>
        <v>2</v>
      </c>
      <c r="AA79" s="199" t="b">
        <f t="shared" si="3"/>
        <v>0</v>
      </c>
      <c r="AB79" s="199" t="b">
        <f t="shared" si="4"/>
        <v>0</v>
      </c>
      <c r="AC79" s="200">
        <f t="shared" ref="AC79:AD79" si="134">1-I79</f>
        <v>0</v>
      </c>
      <c r="AD79" s="200">
        <f t="shared" si="134"/>
        <v>0</v>
      </c>
      <c r="AE79" s="199">
        <f t="shared" si="6"/>
        <v>2</v>
      </c>
      <c r="AF79" s="201">
        <f t="shared" si="7"/>
        <v>0</v>
      </c>
      <c r="AG79" s="201">
        <f t="shared" si="8"/>
        <v>1</v>
      </c>
      <c r="AH79" s="202">
        <f t="shared" si="9"/>
        <v>0</v>
      </c>
      <c r="AI79" s="205"/>
      <c r="AJ79" s="249" t="s">
        <v>70</v>
      </c>
      <c r="AK79" s="250">
        <f t="shared" ref="AK79:AL79" si="135">SUM(AO79+AM79+AQ79+AS79+AU79+AW79+AY79+BA79+BC79)</f>
        <v>2</v>
      </c>
      <c r="AL79" s="250">
        <f t="shared" si="135"/>
        <v>5</v>
      </c>
      <c r="AM79" s="275">
        <f>SUMIFS($W$2:$W879, $D$2:$D879, "Legendary", $E$2:$E879, "Classic", $F$2:F879, "Hunter")</f>
        <v>0</v>
      </c>
      <c r="AN79" s="275">
        <f>COUNTIFS($D$2:$D879, "Legendary", $E$2:$E879, "Classic", $F$2:F879, "Hunter" )</f>
        <v>1</v>
      </c>
      <c r="AO79" s="276">
        <f>SUMIFS($W$2:$W879, $D$2:$D879, "Legendary", $E$2:$E879, "Promo", $F$2:F879, "Hunter")</f>
        <v>0</v>
      </c>
      <c r="AP79" s="277">
        <f>COUNTIFS($D$2:$D879, "Legendary", $E$2:$E879, "Promo", $F$2:F879, "Hunter" )</f>
        <v>0</v>
      </c>
      <c r="AQ79" s="275">
        <f>SUMIFS($W$2:$W879, $D$2:$D879, "Legendary", $E$2:$E879, "Naxx", $F$2:F879, "Hunter")</f>
        <v>0</v>
      </c>
      <c r="AR79" s="275">
        <f>COUNTIFS($D$2:$D879, "Legendary", $E$2:$E879, "Naxx", $F$2:F879, "Hunter" )</f>
        <v>0</v>
      </c>
      <c r="AS79" s="276">
        <f>SUMIFS($W$2:$W879, $D$2:$D879, "Legendary", $E$2:$E879, "GvG", $F$2:F879, "Hunter")</f>
        <v>0</v>
      </c>
      <c r="AT79" s="277">
        <f>COUNTIFS($D$2:$D879, "Legendary", $E$2:$E879, "GvG", $F$2:F879, "Hunter" )</f>
        <v>1</v>
      </c>
      <c r="AU79" s="275">
        <f>SUMIFS($W$2:$W879, $D$2:$D879, "Legendary", $E$2:$E879, "Blackrock", $F$2:F879, "Hunter")</f>
        <v>0</v>
      </c>
      <c r="AV79" s="275">
        <f>COUNTIFS($D$2:$D879, "Legendary", $E$2:$E879, "Blackrock", $F$2:F879, "Hunter" )</f>
        <v>0</v>
      </c>
      <c r="AW79" s="275">
        <f>SUMIFS($W$2:$W879, $D$2:$D879, "Legendary", $E$2:$E879, "TGT", $F$2:F879, "Hunter")</f>
        <v>1</v>
      </c>
      <c r="AX79" s="277">
        <f>COUNTIFS($D$2:$D879, "Legendary", $E$2:$E879, "TGT", $F$2:F879, "Hunter" )</f>
        <v>2</v>
      </c>
      <c r="AY79" s="275">
        <f>SUMIFS($W$2:$W879, $D$2:$D879, "Legendary", $E$2:$E879, "LoE", $F$2:F879, "Hunter")</f>
        <v>0</v>
      </c>
      <c r="AZ79" s="277">
        <f>COUNTIFS($D$2:$D879, "Legendary", $E$2:$E879, "LoE", $F$2:F879, "Hunter" )</f>
        <v>0</v>
      </c>
      <c r="BA79" s="275">
        <f>SUMIFS($W$2:$W879, $D$2:$D879, "Legendary", $E$2:$E879, "TOG", $F$2:F879, "Hunter")</f>
        <v>1</v>
      </c>
      <c r="BB79" s="277">
        <f>COUNTIFS($D$2:$D879, "Legendary", $E$2:$E879, "TOG", $F$2:F879, "Hunter" )</f>
        <v>1</v>
      </c>
      <c r="BC79" s="275">
        <f>SUMIFS($W$2:$W879, $D$2:$D879, "Legendary", $E$2:$E879, "Adv4", $F$2:F879, "Hunter")</f>
        <v>0</v>
      </c>
      <c r="BD79" s="251">
        <f>COUNTIFS($D$2:$D879, "Legendary", $E$2:$E879, "Adv4", $F$2:F879, "Hunter" )*2</f>
        <v>0</v>
      </c>
    </row>
    <row r="80" spans="1:56" ht="14.25">
      <c r="A80" s="209"/>
      <c r="B80" s="217">
        <v>3</v>
      </c>
      <c r="C80" s="218" t="s">
        <v>321</v>
      </c>
      <c r="D80" s="190" t="s">
        <v>58</v>
      </c>
      <c r="E80" s="190" t="s">
        <v>58</v>
      </c>
      <c r="F80" s="190" t="s">
        <v>18</v>
      </c>
      <c r="G80" s="191">
        <f>COUNTIFS(Reference!F:F,C80,Reference!G:G,"&lt;="&amp;VLOOKUP($F80,Setup!$C$9:$D$17,2,0))</f>
        <v>2</v>
      </c>
      <c r="H80" s="191">
        <f>COUNTIFS(Reference!B:B,C80,Reference!C:C,"&lt;="&amp;VLOOKUP("Priest",Setup!$C$9:$D$17,2,0))</f>
        <v>0</v>
      </c>
      <c r="I80" s="192">
        <v>1</v>
      </c>
      <c r="J80" s="192">
        <v>1</v>
      </c>
      <c r="K80" s="191" t="s">
        <v>146</v>
      </c>
      <c r="L80" s="191"/>
      <c r="M80" s="191"/>
      <c r="N80" s="191"/>
      <c r="O80" s="193" t="s">
        <v>322</v>
      </c>
      <c r="P80" s="194"/>
      <c r="Q80" s="190" t="s">
        <v>148</v>
      </c>
      <c r="R80" s="173"/>
      <c r="S80" s="195">
        <f>MATCH($D80,Reference!$J$5:$J$9,0)</f>
        <v>1</v>
      </c>
      <c r="T80" s="195">
        <f>MATCH($E80,Reference!$J$26:$J$32,0)</f>
        <v>1</v>
      </c>
      <c r="U80" s="195">
        <f>MATCH($F80,Reference!$J$45:$J$54,0)</f>
        <v>5</v>
      </c>
      <c r="V80" s="196">
        <f>MATCH($K80,Reference!$J$37:$J$39,0)</f>
        <v>2</v>
      </c>
      <c r="W80" s="197">
        <f t="shared" si="0"/>
        <v>2</v>
      </c>
      <c r="X80" s="197">
        <f t="shared" si="1"/>
        <v>1</v>
      </c>
      <c r="Y80" s="198">
        <v>0</v>
      </c>
      <c r="Z80" s="197">
        <f t="shared" si="2"/>
        <v>2</v>
      </c>
      <c r="AA80" s="199" t="b">
        <f t="shared" si="3"/>
        <v>0</v>
      </c>
      <c r="AB80" s="199" t="b">
        <f t="shared" si="4"/>
        <v>0</v>
      </c>
      <c r="AC80" s="200">
        <f t="shared" ref="AC80:AD80" si="136">1-I80</f>
        <v>0</v>
      </c>
      <c r="AD80" s="200">
        <f t="shared" si="136"/>
        <v>0</v>
      </c>
      <c r="AE80" s="199">
        <f t="shared" si="6"/>
        <v>2</v>
      </c>
      <c r="AF80" s="201">
        <f t="shared" si="7"/>
        <v>0</v>
      </c>
      <c r="AG80" s="201">
        <f t="shared" si="8"/>
        <v>1</v>
      </c>
      <c r="AH80" s="202">
        <f t="shared" si="9"/>
        <v>0</v>
      </c>
      <c r="AI80" s="205"/>
      <c r="AJ80" s="259" t="s">
        <v>22</v>
      </c>
      <c r="AK80" s="260"/>
      <c r="AL80" s="261"/>
      <c r="AM80" s="260"/>
      <c r="AN80" s="261"/>
      <c r="AO80" s="260"/>
      <c r="AP80" s="261"/>
      <c r="AQ80" s="260"/>
      <c r="AR80" s="261"/>
      <c r="AS80" s="260"/>
      <c r="AT80" s="261"/>
      <c r="AU80" s="260"/>
      <c r="AV80" s="261"/>
      <c r="AW80" s="260"/>
      <c r="AX80" s="261"/>
      <c r="AY80" s="260"/>
      <c r="AZ80" s="261"/>
      <c r="BA80" s="260"/>
      <c r="BB80" s="261"/>
      <c r="BC80" s="260"/>
      <c r="BD80" s="261"/>
    </row>
    <row r="81" spans="1:56" ht="14.25">
      <c r="A81" s="187"/>
      <c r="B81" s="217">
        <v>3</v>
      </c>
      <c r="C81" s="218" t="s">
        <v>323</v>
      </c>
      <c r="D81" s="190" t="s">
        <v>58</v>
      </c>
      <c r="E81" s="190" t="s">
        <v>58</v>
      </c>
      <c r="F81" s="190" t="s">
        <v>115</v>
      </c>
      <c r="G81" s="215">
        <v>2</v>
      </c>
      <c r="H81" s="191">
        <f>COUNTIFS(Reference!D:D,VLOOKUP(C81,Reference!B:D,3,0),Reference!C:C,"&lt;="&amp;VLOOKUP(VLOOKUP(C81,Reference!B:D,3,0),Setup!$C$9:$D$17,2,0),Reference!B:B,C81)</f>
        <v>0</v>
      </c>
      <c r="I81" s="192">
        <v>1</v>
      </c>
      <c r="J81" s="192">
        <v>1</v>
      </c>
      <c r="K81" s="215" t="s">
        <v>182</v>
      </c>
      <c r="L81" s="191"/>
      <c r="M81" s="215">
        <v>3</v>
      </c>
      <c r="N81" s="215">
        <v>2</v>
      </c>
      <c r="O81" s="193" t="s">
        <v>324</v>
      </c>
      <c r="P81" s="194" t="s">
        <v>184</v>
      </c>
      <c r="Q81" s="190" t="s">
        <v>148</v>
      </c>
      <c r="R81" s="173"/>
      <c r="S81" s="195">
        <f>MATCH($D81,Reference!$J$5:$J$9,0)</f>
        <v>1</v>
      </c>
      <c r="T81" s="195">
        <f>MATCH($E81,Reference!$J$26:$J$32,0)</f>
        <v>1</v>
      </c>
      <c r="U81" s="195">
        <f>MATCH($F81,Reference!$J$45:$J$54,0)</f>
        <v>10</v>
      </c>
      <c r="V81" s="196">
        <f>MATCH($K81,Reference!$J$37:$J$39,0)</f>
        <v>3</v>
      </c>
      <c r="W81" s="197">
        <f t="shared" si="0"/>
        <v>2</v>
      </c>
      <c r="X81" s="197">
        <f t="shared" si="1"/>
        <v>1</v>
      </c>
      <c r="Y81" s="198">
        <v>0</v>
      </c>
      <c r="Z81" s="197">
        <f t="shared" si="2"/>
        <v>2</v>
      </c>
      <c r="AA81" s="199" t="b">
        <f t="shared" si="3"/>
        <v>0</v>
      </c>
      <c r="AB81" s="199" t="b">
        <f t="shared" si="4"/>
        <v>0</v>
      </c>
      <c r="AC81" s="200">
        <f t="shared" ref="AC81:AD81" si="137">1-I81</f>
        <v>0</v>
      </c>
      <c r="AD81" s="200">
        <f t="shared" si="137"/>
        <v>0</v>
      </c>
      <c r="AE81" s="199">
        <f t="shared" si="6"/>
        <v>2</v>
      </c>
      <c r="AF81" s="201">
        <f t="shared" si="7"/>
        <v>0</v>
      </c>
      <c r="AG81" s="201">
        <f t="shared" si="8"/>
        <v>1</v>
      </c>
      <c r="AH81" s="202">
        <f t="shared" si="9"/>
        <v>0</v>
      </c>
      <c r="AI81" s="205"/>
      <c r="AJ81" s="262" t="s">
        <v>224</v>
      </c>
      <c r="AK81" s="263">
        <f t="shared" ref="AK81:AP81" si="138">SUM(AK69:AK73)</f>
        <v>52</v>
      </c>
      <c r="AL81" s="264">
        <f t="shared" si="138"/>
        <v>58</v>
      </c>
      <c r="AM81" s="263">
        <f t="shared" si="138"/>
        <v>22</v>
      </c>
      <c r="AN81" s="264">
        <f t="shared" si="138"/>
        <v>25</v>
      </c>
      <c r="AO81" s="263">
        <f t="shared" si="138"/>
        <v>0</v>
      </c>
      <c r="AP81" s="264">
        <f t="shared" si="138"/>
        <v>0</v>
      </c>
      <c r="AQ81" s="263">
        <f>SUM(AQ69:AQ73)</f>
        <v>1</v>
      </c>
      <c r="AR81" s="264">
        <f>SUM(AR69:AR73)</f>
        <v>1</v>
      </c>
      <c r="AS81" s="263">
        <f>SUM(AS69:AS73)</f>
        <v>7</v>
      </c>
      <c r="AT81" s="264">
        <f>SUM(AT69:AT73)</f>
        <v>8</v>
      </c>
      <c r="AU81" s="263">
        <f t="shared" ref="AU81:BD81" si="139">SUM(AU69:AU73)</f>
        <v>2</v>
      </c>
      <c r="AV81" s="264">
        <f t="shared" si="139"/>
        <v>2</v>
      </c>
      <c r="AW81" s="263">
        <f t="shared" si="139"/>
        <v>9</v>
      </c>
      <c r="AX81" s="264">
        <f t="shared" si="139"/>
        <v>10</v>
      </c>
      <c r="AY81" s="263">
        <f t="shared" si="139"/>
        <v>3</v>
      </c>
      <c r="AZ81" s="264">
        <f t="shared" si="139"/>
        <v>3</v>
      </c>
      <c r="BA81" s="263">
        <f t="shared" si="139"/>
        <v>8</v>
      </c>
      <c r="BB81" s="264">
        <f t="shared" si="139"/>
        <v>9</v>
      </c>
      <c r="BC81" s="263">
        <f t="shared" si="139"/>
        <v>0</v>
      </c>
      <c r="BD81" s="264">
        <f t="shared" si="139"/>
        <v>0</v>
      </c>
    </row>
    <row r="82" spans="1:56" ht="14.25">
      <c r="A82" s="209"/>
      <c r="B82" s="217">
        <v>3</v>
      </c>
      <c r="C82" s="218" t="s">
        <v>325</v>
      </c>
      <c r="D82" s="190" t="s">
        <v>58</v>
      </c>
      <c r="E82" s="190" t="s">
        <v>58</v>
      </c>
      <c r="F82" s="190" t="s">
        <v>26</v>
      </c>
      <c r="G82" s="191">
        <f>COUNTIFS(Reference!F:F,C82,Reference!G:G,"&lt;="&amp;VLOOKUP($F82,Setup!$C$9:$D$17,2,0))</f>
        <v>2</v>
      </c>
      <c r="H82" s="191">
        <f>COUNTIFS(Reference!B:B,C82,Reference!C:C,"&lt;="&amp;VLOOKUP("Warrior",Setup!$C$9:$D$17,2,0))</f>
        <v>2</v>
      </c>
      <c r="I82" s="192">
        <v>1</v>
      </c>
      <c r="J82" s="192">
        <v>1</v>
      </c>
      <c r="K82" s="191" t="s">
        <v>146</v>
      </c>
      <c r="L82" s="191"/>
      <c r="M82" s="191"/>
      <c r="N82" s="191"/>
      <c r="O82" s="193" t="s">
        <v>326</v>
      </c>
      <c r="P82" s="194"/>
      <c r="Q82" s="190" t="s">
        <v>148</v>
      </c>
      <c r="R82" s="173"/>
      <c r="S82" s="195">
        <f>MATCH($D82,Reference!$J$5:$J$9,0)</f>
        <v>1</v>
      </c>
      <c r="T82" s="195">
        <f>MATCH($E82,Reference!$J$26:$J$32,0)</f>
        <v>1</v>
      </c>
      <c r="U82" s="195">
        <f>MATCH($F82,Reference!$J$45:$J$54,0)</f>
        <v>9</v>
      </c>
      <c r="V82" s="196">
        <f>MATCH($K82,Reference!$J$37:$J$39,0)</f>
        <v>2</v>
      </c>
      <c r="W82" s="197">
        <f t="shared" si="0"/>
        <v>2</v>
      </c>
      <c r="X82" s="197">
        <f t="shared" si="1"/>
        <v>1</v>
      </c>
      <c r="Y82" s="198">
        <v>0</v>
      </c>
      <c r="Z82" s="197">
        <f t="shared" si="2"/>
        <v>2</v>
      </c>
      <c r="AA82" s="199" t="b">
        <f t="shared" si="3"/>
        <v>0</v>
      </c>
      <c r="AB82" s="199" t="b">
        <f t="shared" si="4"/>
        <v>0</v>
      </c>
      <c r="AC82" s="200">
        <f t="shared" ref="AC82:AD82" si="140">1-I82</f>
        <v>0</v>
      </c>
      <c r="AD82" s="200">
        <f t="shared" si="140"/>
        <v>0</v>
      </c>
      <c r="AE82" s="199">
        <f t="shared" si="6"/>
        <v>2</v>
      </c>
      <c r="AF82" s="201">
        <f t="shared" si="7"/>
        <v>2</v>
      </c>
      <c r="AG82" s="201">
        <f t="shared" si="8"/>
        <v>1</v>
      </c>
      <c r="AH82" s="202">
        <f t="shared" si="9"/>
        <v>0</v>
      </c>
      <c r="AI82" s="205"/>
      <c r="AJ82" s="265" t="s">
        <v>240</v>
      </c>
      <c r="AK82" s="266">
        <f t="shared" ref="AK82:AL82" si="141">SUM(AK75:AK79)</f>
        <v>98</v>
      </c>
      <c r="AL82" s="267">
        <f t="shared" si="141"/>
        <v>111</v>
      </c>
      <c r="AM82" s="266">
        <f t="shared" ref="AM82:AR82" si="142">SUM(AM75:AM79)</f>
        <v>43</v>
      </c>
      <c r="AN82" s="267">
        <f t="shared" si="142"/>
        <v>49</v>
      </c>
      <c r="AO82" s="266">
        <f t="shared" si="142"/>
        <v>0</v>
      </c>
      <c r="AP82" s="267">
        <f t="shared" si="142"/>
        <v>0</v>
      </c>
      <c r="AQ82" s="266">
        <f t="shared" si="142"/>
        <v>2</v>
      </c>
      <c r="AR82" s="267">
        <f t="shared" si="142"/>
        <v>2</v>
      </c>
      <c r="AS82" s="266">
        <f>SUM(AS76:AS79)</f>
        <v>12</v>
      </c>
      <c r="AT82" s="267">
        <f>SUM(AT75:AT79)</f>
        <v>15</v>
      </c>
      <c r="AU82" s="266">
        <f t="shared" ref="AU82:BD82" si="143">SUM(AU75:AU79)</f>
        <v>4</v>
      </c>
      <c r="AV82" s="267">
        <f t="shared" si="143"/>
        <v>4</v>
      </c>
      <c r="AW82" s="266">
        <f t="shared" si="143"/>
        <v>17</v>
      </c>
      <c r="AX82" s="267">
        <f t="shared" si="143"/>
        <v>18</v>
      </c>
      <c r="AY82" s="266">
        <f t="shared" si="143"/>
        <v>6</v>
      </c>
      <c r="AZ82" s="267">
        <f t="shared" si="143"/>
        <v>6</v>
      </c>
      <c r="BA82" s="266">
        <f t="shared" si="143"/>
        <v>14</v>
      </c>
      <c r="BB82" s="267">
        <f t="shared" si="143"/>
        <v>17</v>
      </c>
      <c r="BC82" s="266">
        <f t="shared" si="143"/>
        <v>0</v>
      </c>
      <c r="BD82" s="267">
        <f t="shared" si="143"/>
        <v>0</v>
      </c>
    </row>
    <row r="83" spans="1:56" ht="14.25">
      <c r="A83" s="209"/>
      <c r="B83" s="217">
        <v>3</v>
      </c>
      <c r="C83" s="218" t="s">
        <v>327</v>
      </c>
      <c r="D83" s="190" t="s">
        <v>58</v>
      </c>
      <c r="E83" s="190" t="s">
        <v>58</v>
      </c>
      <c r="F83" s="190" t="s">
        <v>115</v>
      </c>
      <c r="G83" s="215">
        <v>2</v>
      </c>
      <c r="H83" s="191">
        <f>COUNTIFS(Reference!D:D,VLOOKUP(C83,Reference!B:D,3,0),Reference!C:C,"&lt;="&amp;VLOOKUP(VLOOKUP(C83,Reference!B:D,3,0),Setup!$C$9:$D$17,2,0),Reference!B:B,C83)</f>
        <v>0</v>
      </c>
      <c r="I83" s="192">
        <v>1</v>
      </c>
      <c r="J83" s="192">
        <v>1</v>
      </c>
      <c r="K83" s="215" t="s">
        <v>182</v>
      </c>
      <c r="L83" s="191" t="s">
        <v>230</v>
      </c>
      <c r="M83" s="215">
        <v>1</v>
      </c>
      <c r="N83" s="215">
        <v>4</v>
      </c>
      <c r="O83" s="193" t="s">
        <v>192</v>
      </c>
      <c r="P83" s="194" t="s">
        <v>193</v>
      </c>
      <c r="Q83" s="190" t="s">
        <v>148</v>
      </c>
      <c r="R83" s="173"/>
      <c r="S83" s="195">
        <f>MATCH($D83,Reference!$J$5:$J$9,0)</f>
        <v>1</v>
      </c>
      <c r="T83" s="195">
        <f>MATCH($E83,Reference!$J$26:$J$32,0)</f>
        <v>1</v>
      </c>
      <c r="U83" s="195">
        <f>MATCH($F83,Reference!$J$45:$J$54,0)</f>
        <v>10</v>
      </c>
      <c r="V83" s="196">
        <f>MATCH($K83,Reference!$J$37:$J$39,0)</f>
        <v>3</v>
      </c>
      <c r="W83" s="197">
        <f t="shared" si="0"/>
        <v>2</v>
      </c>
      <c r="X83" s="197">
        <f t="shared" si="1"/>
        <v>1</v>
      </c>
      <c r="Y83" s="198">
        <v>0</v>
      </c>
      <c r="Z83" s="197">
        <f t="shared" si="2"/>
        <v>2</v>
      </c>
      <c r="AA83" s="199" t="b">
        <f t="shared" si="3"/>
        <v>0</v>
      </c>
      <c r="AB83" s="199" t="b">
        <f t="shared" si="4"/>
        <v>0</v>
      </c>
      <c r="AC83" s="200">
        <f t="shared" ref="AC83:AD83" si="144">1-I83</f>
        <v>0</v>
      </c>
      <c r="AD83" s="200">
        <f t="shared" si="144"/>
        <v>0</v>
      </c>
      <c r="AE83" s="199">
        <f t="shared" si="6"/>
        <v>2</v>
      </c>
      <c r="AF83" s="201">
        <f t="shared" si="7"/>
        <v>0</v>
      </c>
      <c r="AG83" s="201">
        <f t="shared" si="8"/>
        <v>1</v>
      </c>
      <c r="AH83" s="202">
        <f t="shared" si="9"/>
        <v>0</v>
      </c>
      <c r="AI83" s="205"/>
      <c r="AJ83" s="173"/>
      <c r="AK83" s="173"/>
      <c r="AL83" s="173"/>
      <c r="AM83" s="173"/>
      <c r="AN83" s="173"/>
      <c r="AO83" s="173"/>
      <c r="AP83" s="173"/>
      <c r="AQ83" s="173"/>
      <c r="AR83" s="173"/>
      <c r="AS83" s="173"/>
      <c r="AT83" s="173"/>
      <c r="AU83" s="173"/>
      <c r="AV83" s="173"/>
    </row>
    <row r="84" spans="1:56" ht="14.25">
      <c r="A84" s="209"/>
      <c r="B84" s="217">
        <v>3</v>
      </c>
      <c r="C84" s="218" t="s">
        <v>328</v>
      </c>
      <c r="D84" s="190" t="s">
        <v>58</v>
      </c>
      <c r="E84" s="190" t="s">
        <v>58</v>
      </c>
      <c r="F84" s="190" t="s">
        <v>26</v>
      </c>
      <c r="G84" s="191">
        <f>COUNTIFS(Reference!F:F,C84,Reference!G:G,"&lt;="&amp;VLOOKUP($F84,Setup!$C$9:$D$17,2,0))</f>
        <v>2</v>
      </c>
      <c r="H84" s="191">
        <f>COUNTIFS(Reference!B:B,C84,Reference!C:C,"&lt;="&amp;VLOOKUP("Warrior",Setup!$C$9:$D$17,2,0))</f>
        <v>1</v>
      </c>
      <c r="I84" s="192">
        <v>1</v>
      </c>
      <c r="J84" s="192">
        <v>1</v>
      </c>
      <c r="K84" s="191" t="s">
        <v>182</v>
      </c>
      <c r="L84" s="191"/>
      <c r="M84" s="191">
        <v>2</v>
      </c>
      <c r="N84" s="191">
        <v>3</v>
      </c>
      <c r="O84" s="280" t="s">
        <v>329</v>
      </c>
      <c r="P84" s="281" t="s">
        <v>197</v>
      </c>
      <c r="Q84" s="190" t="s">
        <v>148</v>
      </c>
      <c r="R84" s="173"/>
      <c r="S84" s="195">
        <f>MATCH($D84,Reference!$J$5:$J$9,0)</f>
        <v>1</v>
      </c>
      <c r="T84" s="195">
        <f>MATCH($E84,Reference!$J$26:$J$32,0)</f>
        <v>1</v>
      </c>
      <c r="U84" s="195">
        <f>MATCH($F84,Reference!$J$45:$J$54,0)</f>
        <v>9</v>
      </c>
      <c r="V84" s="196">
        <f>MATCH($K84,Reference!$J$37:$J$39,0)</f>
        <v>3</v>
      </c>
      <c r="W84" s="197">
        <f t="shared" si="0"/>
        <v>2</v>
      </c>
      <c r="X84" s="197">
        <f t="shared" si="1"/>
        <v>1</v>
      </c>
      <c r="Y84" s="198">
        <v>0</v>
      </c>
      <c r="Z84" s="197">
        <f t="shared" si="2"/>
        <v>2</v>
      </c>
      <c r="AA84" s="199" t="b">
        <f t="shared" si="3"/>
        <v>0</v>
      </c>
      <c r="AB84" s="199" t="b">
        <f t="shared" si="4"/>
        <v>0</v>
      </c>
      <c r="AC84" s="200">
        <f t="shared" ref="AC84:AD84" si="145">1-I84</f>
        <v>0</v>
      </c>
      <c r="AD84" s="200">
        <f t="shared" si="145"/>
        <v>0</v>
      </c>
      <c r="AE84" s="199">
        <f t="shared" si="6"/>
        <v>2</v>
      </c>
      <c r="AF84" s="201">
        <f t="shared" si="7"/>
        <v>1</v>
      </c>
      <c r="AG84" s="201">
        <f t="shared" si="8"/>
        <v>1</v>
      </c>
      <c r="AH84" s="202">
        <f t="shared" si="9"/>
        <v>0</v>
      </c>
      <c r="AI84" s="205"/>
    </row>
    <row r="85" spans="1:56">
      <c r="A85" s="211"/>
      <c r="B85" s="217">
        <v>3</v>
      </c>
      <c r="C85" s="218" t="s">
        <v>330</v>
      </c>
      <c r="D85" s="190" t="s">
        <v>58</v>
      </c>
      <c r="E85" s="190" t="s">
        <v>58</v>
      </c>
      <c r="F85" s="190" t="s">
        <v>115</v>
      </c>
      <c r="G85" s="215">
        <v>2</v>
      </c>
      <c r="H85" s="191">
        <f>COUNTIFS(Reference!D:D,VLOOKUP(C85,Reference!B:D,3,0),Reference!C:C,"&lt;="&amp;VLOOKUP(VLOOKUP(C85,Reference!B:D,3,0),Setup!$C$9:$D$17,2,0),Reference!B:B,C85)</f>
        <v>0</v>
      </c>
      <c r="I85" s="192">
        <v>1</v>
      </c>
      <c r="J85" s="192">
        <v>1</v>
      </c>
      <c r="K85" s="215" t="s">
        <v>182</v>
      </c>
      <c r="L85" s="191"/>
      <c r="M85" s="215">
        <v>3</v>
      </c>
      <c r="N85" s="215">
        <v>1</v>
      </c>
      <c r="O85" s="193" t="s">
        <v>231</v>
      </c>
      <c r="P85" s="194" t="s">
        <v>232</v>
      </c>
      <c r="Q85" s="190" t="s">
        <v>148</v>
      </c>
      <c r="R85" s="173"/>
      <c r="S85" s="195">
        <f>MATCH($D85,Reference!$J$5:$J$9,0)</f>
        <v>1</v>
      </c>
      <c r="T85" s="195">
        <f>MATCH($E85,Reference!$J$26:$J$32,0)</f>
        <v>1</v>
      </c>
      <c r="U85" s="195">
        <f>MATCH($F85,Reference!$J$45:$J$54,0)</f>
        <v>10</v>
      </c>
      <c r="V85" s="196">
        <f>MATCH($K85,Reference!$J$37:$J$39,0)</f>
        <v>3</v>
      </c>
      <c r="W85" s="197">
        <f t="shared" si="0"/>
        <v>2</v>
      </c>
      <c r="X85" s="197">
        <f t="shared" si="1"/>
        <v>1</v>
      </c>
      <c r="Y85" s="198">
        <v>0</v>
      </c>
      <c r="Z85" s="197">
        <f t="shared" si="2"/>
        <v>2</v>
      </c>
      <c r="AA85" s="199" t="b">
        <f t="shared" si="3"/>
        <v>0</v>
      </c>
      <c r="AB85" s="199" t="b">
        <f t="shared" si="4"/>
        <v>0</v>
      </c>
      <c r="AC85" s="200">
        <f t="shared" ref="AC85:AD85" si="146">1-I85</f>
        <v>0</v>
      </c>
      <c r="AD85" s="200">
        <f t="shared" si="146"/>
        <v>0</v>
      </c>
      <c r="AE85" s="199">
        <f t="shared" si="6"/>
        <v>2</v>
      </c>
      <c r="AF85" s="201">
        <f t="shared" si="7"/>
        <v>0</v>
      </c>
      <c r="AG85" s="201">
        <f t="shared" si="8"/>
        <v>1</v>
      </c>
      <c r="AH85" s="202">
        <f t="shared" si="9"/>
        <v>0</v>
      </c>
      <c r="AI85" s="205"/>
      <c r="AJ85" s="1134" t="s">
        <v>13</v>
      </c>
      <c r="AK85" s="1102"/>
      <c r="AL85" s="1102"/>
      <c r="AM85" s="1102"/>
      <c r="AN85" s="1102"/>
      <c r="AO85" s="1102"/>
      <c r="AP85" s="1102"/>
      <c r="AQ85" s="1102"/>
      <c r="AR85" s="1102"/>
      <c r="AS85" s="1102"/>
      <c r="AT85" s="1102"/>
      <c r="AU85" s="1102"/>
      <c r="AV85" s="1102"/>
      <c r="AW85" s="1102"/>
      <c r="AX85" s="1102"/>
      <c r="AY85" s="1102"/>
      <c r="AZ85" s="1102"/>
      <c r="BA85" s="1102"/>
      <c r="BB85" s="1102"/>
      <c r="BC85" s="1102"/>
      <c r="BD85" s="1102"/>
    </row>
    <row r="86" spans="1:56" ht="14.25">
      <c r="A86" s="206"/>
      <c r="B86" s="217">
        <v>4</v>
      </c>
      <c r="C86" s="218" t="s">
        <v>331</v>
      </c>
      <c r="D86" s="190" t="s">
        <v>58</v>
      </c>
      <c r="E86" s="190" t="s">
        <v>58</v>
      </c>
      <c r="F86" s="190" t="s">
        <v>16</v>
      </c>
      <c r="G86" s="191">
        <f>COUNTIFS(Reference!F:F,C86,Reference!G:G,"&lt;="&amp;VLOOKUP($F86,Setup!$C$9:$D$17,2,0))</f>
        <v>2</v>
      </c>
      <c r="H86" s="191">
        <f>COUNTIFS(Reference!B:B,C86,Reference!C:C,"&lt;="&amp;VLOOKUP("Paladin",Setup!$C$9:$D$17,2,0))</f>
        <v>0</v>
      </c>
      <c r="I86" s="192">
        <v>1</v>
      </c>
      <c r="J86" s="192">
        <v>1</v>
      </c>
      <c r="K86" s="191" t="s">
        <v>146</v>
      </c>
      <c r="L86" s="191"/>
      <c r="M86" s="191"/>
      <c r="N86" s="191"/>
      <c r="O86" s="193" t="s">
        <v>332</v>
      </c>
      <c r="P86" s="194"/>
      <c r="Q86" s="190" t="s">
        <v>148</v>
      </c>
      <c r="R86" s="173"/>
      <c r="S86" s="195">
        <f>MATCH($D86,Reference!$J$5:$J$9,0)</f>
        <v>1</v>
      </c>
      <c r="T86" s="195">
        <f>MATCH($E86,Reference!$J$26:$J$32,0)</f>
        <v>1</v>
      </c>
      <c r="U86" s="195">
        <f>MATCH($F86,Reference!$J$45:$J$54,0)</f>
        <v>4</v>
      </c>
      <c r="V86" s="196">
        <f>MATCH($K86,Reference!$J$37:$J$39,0)</f>
        <v>2</v>
      </c>
      <c r="W86" s="197">
        <f t="shared" si="0"/>
        <v>2</v>
      </c>
      <c r="X86" s="197">
        <f t="shared" si="1"/>
        <v>1</v>
      </c>
      <c r="Y86" s="198">
        <v>0</v>
      </c>
      <c r="Z86" s="197">
        <f t="shared" si="2"/>
        <v>2</v>
      </c>
      <c r="AA86" s="199" t="b">
        <f t="shared" si="3"/>
        <v>0</v>
      </c>
      <c r="AB86" s="199" t="b">
        <f t="shared" si="4"/>
        <v>0</v>
      </c>
      <c r="AC86" s="200">
        <f t="shared" ref="AC86:AD86" si="147">1-I86</f>
        <v>0</v>
      </c>
      <c r="AD86" s="200">
        <f t="shared" si="147"/>
        <v>0</v>
      </c>
      <c r="AE86" s="199">
        <f t="shared" si="6"/>
        <v>2</v>
      </c>
      <c r="AF86" s="201">
        <f t="shared" si="7"/>
        <v>0</v>
      </c>
      <c r="AG86" s="201">
        <f t="shared" si="8"/>
        <v>1</v>
      </c>
      <c r="AH86" s="202">
        <f t="shared" si="9"/>
        <v>0</v>
      </c>
      <c r="AI86" s="205"/>
      <c r="AJ86" s="224" t="s">
        <v>122</v>
      </c>
      <c r="AK86" s="1133" t="s">
        <v>22</v>
      </c>
      <c r="AL86" s="1102"/>
      <c r="AM86" s="1133" t="s">
        <v>77</v>
      </c>
      <c r="AN86" s="1102"/>
      <c r="AO86" s="1133" t="s">
        <v>78</v>
      </c>
      <c r="AP86" s="1102"/>
      <c r="AQ86" s="1133" t="s">
        <v>79</v>
      </c>
      <c r="AR86" s="1102"/>
      <c r="AS86" s="1133" t="s">
        <v>80</v>
      </c>
      <c r="AT86" s="1102"/>
      <c r="AU86" s="1133" t="s">
        <v>220</v>
      </c>
      <c r="AV86" s="1102"/>
      <c r="AW86" s="1133" t="s">
        <v>82</v>
      </c>
      <c r="AX86" s="1102"/>
      <c r="AY86" s="1133" t="s">
        <v>84</v>
      </c>
      <c r="AZ86" s="1102"/>
      <c r="BA86" s="1133" t="s">
        <v>73</v>
      </c>
      <c r="BB86" s="1102"/>
      <c r="BC86" s="1133" t="s">
        <v>221</v>
      </c>
      <c r="BD86" s="1102"/>
    </row>
    <row r="87" spans="1:56" ht="14.25">
      <c r="A87" s="209"/>
      <c r="B87" s="217">
        <v>4</v>
      </c>
      <c r="C87" s="218" t="s">
        <v>333</v>
      </c>
      <c r="D87" s="190" t="s">
        <v>58</v>
      </c>
      <c r="E87" s="190" t="s">
        <v>58</v>
      </c>
      <c r="F87" s="190" t="s">
        <v>115</v>
      </c>
      <c r="G87" s="215">
        <v>2</v>
      </c>
      <c r="H87" s="191">
        <f>COUNTIFS(Reference!D:D,VLOOKUP(C87,Reference!B:D,3,0),Reference!C:C,"&lt;="&amp;VLOOKUP(VLOOKUP(C87,Reference!B:D,3,0),Setup!$C$9:$D$17,2,0),Reference!B:B,C87)</f>
        <v>0</v>
      </c>
      <c r="I87" s="192">
        <v>1</v>
      </c>
      <c r="J87" s="192">
        <v>1</v>
      </c>
      <c r="K87" s="215" t="s">
        <v>182</v>
      </c>
      <c r="L87" s="191"/>
      <c r="M87" s="215">
        <v>4</v>
      </c>
      <c r="N87" s="215">
        <v>5</v>
      </c>
      <c r="O87" s="193"/>
      <c r="P87" s="194"/>
      <c r="Q87" s="190" t="s">
        <v>148</v>
      </c>
      <c r="R87" s="173"/>
      <c r="S87" s="195">
        <f>MATCH($D87,Reference!$J$5:$J$9,0)</f>
        <v>1</v>
      </c>
      <c r="T87" s="195">
        <f>MATCH($E87,Reference!$J$26:$J$32,0)</f>
        <v>1</v>
      </c>
      <c r="U87" s="195">
        <f>MATCH($F87,Reference!$J$45:$J$54,0)</f>
        <v>10</v>
      </c>
      <c r="V87" s="196">
        <f>MATCH($K87,Reference!$J$37:$J$39,0)</f>
        <v>3</v>
      </c>
      <c r="W87" s="197">
        <f t="shared" si="0"/>
        <v>2</v>
      </c>
      <c r="X87" s="197">
        <f t="shared" si="1"/>
        <v>1</v>
      </c>
      <c r="Y87" s="198">
        <v>0</v>
      </c>
      <c r="Z87" s="197">
        <f t="shared" si="2"/>
        <v>2</v>
      </c>
      <c r="AA87" s="199" t="b">
        <f t="shared" si="3"/>
        <v>0</v>
      </c>
      <c r="AB87" s="199" t="b">
        <f t="shared" si="4"/>
        <v>0</v>
      </c>
      <c r="AC87" s="200">
        <f t="shared" ref="AC87:AD87" si="148">1-I87</f>
        <v>0</v>
      </c>
      <c r="AD87" s="200">
        <f t="shared" si="148"/>
        <v>0</v>
      </c>
      <c r="AE87" s="199">
        <f t="shared" si="6"/>
        <v>2</v>
      </c>
      <c r="AF87" s="201">
        <f t="shared" si="7"/>
        <v>0</v>
      </c>
      <c r="AG87" s="201">
        <f t="shared" si="8"/>
        <v>1</v>
      </c>
      <c r="AH87" s="202">
        <f t="shared" si="9"/>
        <v>0</v>
      </c>
      <c r="AI87" s="205"/>
      <c r="AJ87" s="225" t="s">
        <v>224</v>
      </c>
      <c r="AK87" s="226"/>
      <c r="AL87" s="227"/>
      <c r="AM87" s="226"/>
      <c r="AN87" s="227"/>
      <c r="AO87" s="228"/>
      <c r="AP87" s="227"/>
      <c r="AQ87" s="226"/>
      <c r="AR87" s="227"/>
      <c r="AS87" s="228"/>
      <c r="AT87" s="227"/>
      <c r="AU87" s="226"/>
      <c r="AV87" s="227"/>
      <c r="AW87" s="229"/>
      <c r="AX87" s="230"/>
      <c r="AY87" s="229"/>
      <c r="AZ87" s="230"/>
      <c r="BA87" s="229"/>
      <c r="BB87" s="230"/>
      <c r="BC87" s="229"/>
      <c r="BD87" s="230"/>
    </row>
    <row r="88" spans="1:56" ht="14.25">
      <c r="A88" s="211"/>
      <c r="B88" s="217">
        <v>4</v>
      </c>
      <c r="C88" s="218" t="s">
        <v>334</v>
      </c>
      <c r="D88" s="190" t="s">
        <v>58</v>
      </c>
      <c r="E88" s="190" t="s">
        <v>58</v>
      </c>
      <c r="F88" s="190" t="s">
        <v>16</v>
      </c>
      <c r="G88" s="191">
        <f>COUNTIFS(Reference!F:F,C88,Reference!G:G,"&lt;="&amp;VLOOKUP($F88,Setup!$C$9:$D$17,2,0))</f>
        <v>2</v>
      </c>
      <c r="H88" s="191">
        <f>COUNTIFS(Reference!B:B,C88,Reference!C:C,"&lt;="&amp;VLOOKUP("Paladin",Setup!$C$9:$D$17,2,0))</f>
        <v>0</v>
      </c>
      <c r="I88" s="192">
        <v>1</v>
      </c>
      <c r="J88" s="192">
        <v>1</v>
      </c>
      <c r="K88" s="191" t="s">
        <v>146</v>
      </c>
      <c r="L88" s="191"/>
      <c r="M88" s="191"/>
      <c r="N88" s="191"/>
      <c r="O88" s="193" t="s">
        <v>335</v>
      </c>
      <c r="P88" s="194"/>
      <c r="Q88" s="190" t="s">
        <v>148</v>
      </c>
      <c r="R88" s="173"/>
      <c r="S88" s="195">
        <f>MATCH($D88,Reference!$J$5:$J$9,0)</f>
        <v>1</v>
      </c>
      <c r="T88" s="195">
        <f>MATCH($E88,Reference!$J$26:$J$32,0)</f>
        <v>1</v>
      </c>
      <c r="U88" s="195">
        <f>MATCH($F88,Reference!$J$45:$J$54,0)</f>
        <v>4</v>
      </c>
      <c r="V88" s="196">
        <f>MATCH($K88,Reference!$J$37:$J$39,0)</f>
        <v>2</v>
      </c>
      <c r="W88" s="197">
        <f t="shared" si="0"/>
        <v>2</v>
      </c>
      <c r="X88" s="197">
        <f t="shared" si="1"/>
        <v>1</v>
      </c>
      <c r="Y88" s="198">
        <v>0</v>
      </c>
      <c r="Z88" s="197">
        <f t="shared" si="2"/>
        <v>2</v>
      </c>
      <c r="AA88" s="199" t="b">
        <f t="shared" si="3"/>
        <v>0</v>
      </c>
      <c r="AB88" s="199" t="b">
        <f t="shared" si="4"/>
        <v>0</v>
      </c>
      <c r="AC88" s="200">
        <f t="shared" ref="AC88:AD88" si="149">1-I88</f>
        <v>0</v>
      </c>
      <c r="AD88" s="200">
        <f t="shared" si="149"/>
        <v>0</v>
      </c>
      <c r="AE88" s="199">
        <f t="shared" si="6"/>
        <v>2</v>
      </c>
      <c r="AF88" s="201">
        <f t="shared" si="7"/>
        <v>0</v>
      </c>
      <c r="AG88" s="201">
        <f t="shared" si="8"/>
        <v>1</v>
      </c>
      <c r="AH88" s="202">
        <f t="shared" si="9"/>
        <v>0</v>
      </c>
      <c r="AI88" s="205"/>
      <c r="AJ88" s="231" t="s">
        <v>58</v>
      </c>
      <c r="AK88" s="232">
        <f t="shared" ref="AK88:AL88" si="150">SUM(AO88+AM88+AQ88+AS88+AU88+AW88+AY88+BA88+BC88)</f>
        <v>10</v>
      </c>
      <c r="AL88" s="232">
        <f t="shared" si="150"/>
        <v>10</v>
      </c>
      <c r="AM88" s="191">
        <f>SUMIFS($X$2:$X879, $E$2:$E879, "Basic", $F$2:F879, "Mage")</f>
        <v>10</v>
      </c>
      <c r="AN88" s="191">
        <f>COUNTIFS($E$2:$E879, "Basic", $E$2:$E879, "Basic", $F$2:F879, "Mage" )</f>
        <v>10</v>
      </c>
      <c r="AO88" s="234"/>
      <c r="AP88" s="235"/>
      <c r="AQ88" s="191"/>
      <c r="AR88" s="235"/>
      <c r="AS88" s="234"/>
      <c r="AT88" s="235"/>
      <c r="AU88" s="191"/>
      <c r="AV88" s="235"/>
      <c r="AW88" s="191"/>
      <c r="AX88" s="235"/>
      <c r="AY88" s="191"/>
      <c r="AZ88" s="235"/>
      <c r="BA88" s="191"/>
      <c r="BB88" s="235"/>
      <c r="BC88" s="191"/>
      <c r="BD88" s="235"/>
    </row>
    <row r="89" spans="1:56" ht="14.25">
      <c r="A89" s="187"/>
      <c r="B89" s="188">
        <v>4</v>
      </c>
      <c r="C89" s="189" t="s">
        <v>336</v>
      </c>
      <c r="D89" s="190" t="s">
        <v>58</v>
      </c>
      <c r="E89" s="190" t="s">
        <v>58</v>
      </c>
      <c r="F89" s="190" t="s">
        <v>115</v>
      </c>
      <c r="G89" s="215">
        <v>2</v>
      </c>
      <c r="H89" s="191">
        <f>COUNTIFS(Reference!D:D,VLOOKUP(C89,Reference!B:D,3,0),Reference!C:C,"&lt;="&amp;VLOOKUP(VLOOKUP(C89,Reference!B:D,3,0),Setup!$C$9:$D$17,2,0),Reference!B:B,C89)</f>
        <v>0</v>
      </c>
      <c r="I89" s="192">
        <v>1</v>
      </c>
      <c r="J89" s="192">
        <v>1</v>
      </c>
      <c r="K89" s="215" t="s">
        <v>182</v>
      </c>
      <c r="L89" s="191"/>
      <c r="M89" s="215">
        <v>2</v>
      </c>
      <c r="N89" s="215">
        <v>4</v>
      </c>
      <c r="O89" s="193" t="s">
        <v>337</v>
      </c>
      <c r="P89" s="194" t="s">
        <v>184</v>
      </c>
      <c r="Q89" s="190" t="s">
        <v>148</v>
      </c>
      <c r="R89" s="173"/>
      <c r="S89" s="195">
        <f>MATCH($D89,Reference!$J$5:$J$9,0)</f>
        <v>1</v>
      </c>
      <c r="T89" s="195">
        <f>MATCH($E89,Reference!$J$26:$J$32,0)</f>
        <v>1</v>
      </c>
      <c r="U89" s="195">
        <f>MATCH($F89,Reference!$J$45:$J$54,0)</f>
        <v>10</v>
      </c>
      <c r="V89" s="196">
        <f>MATCH($K89,Reference!$J$37:$J$39,0)</f>
        <v>3</v>
      </c>
      <c r="W89" s="197">
        <f t="shared" si="0"/>
        <v>2</v>
      </c>
      <c r="X89" s="197">
        <f t="shared" si="1"/>
        <v>1</v>
      </c>
      <c r="Y89" s="198">
        <v>0</v>
      </c>
      <c r="Z89" s="197">
        <f t="shared" si="2"/>
        <v>2</v>
      </c>
      <c r="AA89" s="199" t="b">
        <f t="shared" si="3"/>
        <v>0</v>
      </c>
      <c r="AB89" s="199" t="b">
        <f t="shared" si="4"/>
        <v>0</v>
      </c>
      <c r="AC89" s="200">
        <f t="shared" ref="AC89:AD89" si="151">1-I89</f>
        <v>0</v>
      </c>
      <c r="AD89" s="200">
        <f t="shared" si="151"/>
        <v>0</v>
      </c>
      <c r="AE89" s="199">
        <f t="shared" si="6"/>
        <v>2</v>
      </c>
      <c r="AF89" s="201">
        <f t="shared" si="7"/>
        <v>0</v>
      </c>
      <c r="AG89" s="201">
        <f t="shared" si="8"/>
        <v>1</v>
      </c>
      <c r="AH89" s="202">
        <f t="shared" si="9"/>
        <v>0</v>
      </c>
      <c r="AI89" s="205"/>
      <c r="AJ89" s="236" t="s">
        <v>63</v>
      </c>
      <c r="AK89" s="237">
        <f t="shared" ref="AK89:AL89" si="152">SUM(AO89+AM89+AQ89+AS89+AU89+AW89+AY89+BA89+BC89)</f>
        <v>18</v>
      </c>
      <c r="AL89" s="237">
        <f t="shared" si="152"/>
        <v>18</v>
      </c>
      <c r="AM89" s="229">
        <f>SUMIFS($X$2:$X879, $D$2:$D879, "Common", $E$2:$E879, "Classic", $F$2:F879, "Mage")</f>
        <v>6</v>
      </c>
      <c r="AN89" s="229">
        <f>COUNTIFS($D$2:$D879, "Common", $E$2:$E879, "Classic", $F$2:F879, "Mage" )</f>
        <v>6</v>
      </c>
      <c r="AO89" s="268">
        <f>SUMIFS($X$2:$X879, $D$2:$D879, "Common", $E$2:$E879, "Promo", $F$2:F879, "Mage")</f>
        <v>0</v>
      </c>
      <c r="AP89" s="230">
        <f>COUNTIFS($D$2:$D879, "Common", $E$2:$E879, "Promo", $F$2:F879, "Mage" )</f>
        <v>0</v>
      </c>
      <c r="AQ89" s="229">
        <f>SUMIFS($X$2:$X879, $D$2:$D879, "Common", $E$2:$E879, "Naxx", $F$2:F879, "Mage")</f>
        <v>1</v>
      </c>
      <c r="AR89" s="229">
        <f>COUNTIFS($D$2:$D879, "Common", $E$2:$E879, "Naxx", $F$2:F879, "Mage" )</f>
        <v>1</v>
      </c>
      <c r="AS89" s="268">
        <f>SUMIFS($X$2:$X879, $D$2:$D879, "Common", $E$2:$E879, "GvG", $F$2:F879, "Mage")</f>
        <v>2</v>
      </c>
      <c r="AT89" s="230">
        <f>COUNTIFS($D$2:$D879, "Common", $E$2:$E879, "GvG", $F$2:F879, "Mage" )</f>
        <v>2</v>
      </c>
      <c r="AU89" s="229">
        <f>SUMIFS($X$2:$X879, $D$2:$D879, "Common", $E$2:$E879, "Blackrock", $F$2:F879, "Mage")</f>
        <v>1</v>
      </c>
      <c r="AV89" s="229">
        <f>COUNTIFS($D$2:$D879, "Common", $E$2:$E879, "Blackrock", $F$2:F879, "Mage" )</f>
        <v>1</v>
      </c>
      <c r="AW89" s="229">
        <f>SUMIFS($X$2:$X879, $D$2:$D879, "Common", $E$2:$E879, "TGT", $F$2:F879, "Mage")</f>
        <v>3</v>
      </c>
      <c r="AX89" s="230">
        <f>COUNTIFS($D$2:$D879, "Common", $E$2:$E879, "TGT", $F$2:F879, "Mage" )</f>
        <v>3</v>
      </c>
      <c r="AY89" s="229">
        <f>SUMIFS($X$2:$X879, $D$2:$D879, "Common", $E$2:$E879, "LoE", $F$2:F879, "Mage")</f>
        <v>2</v>
      </c>
      <c r="AZ89" s="230">
        <f>COUNTIFS($D$2:$D879, "Common", $E$2:$E879, "LoE", $F$2:F879, "Mage" )</f>
        <v>2</v>
      </c>
      <c r="BA89" s="229">
        <f>SUMIFS($X$2:$X879, $D$2:$D879, "Common", $E$2:$E879, "TOG", $F$2:F879, "Mage")</f>
        <v>3</v>
      </c>
      <c r="BB89" s="230">
        <f>COUNTIFS($D$2:$D879, "Common", $E$2:$E879, "TOG", $F$2:F879, "Mage" )</f>
        <v>3</v>
      </c>
      <c r="BC89" s="229">
        <f>SUMIFS($X$2:$X879, $D$2:$D879, "Common", $E$2:$E879, "Adv4", $F$2:F879, "Mage")</f>
        <v>0</v>
      </c>
      <c r="BD89" s="230">
        <f>COUNTIFS($D$2:$D879, "Common", $E$2:$E879, "Adv4", $F$2:F879, "Mage" )</f>
        <v>0</v>
      </c>
    </row>
    <row r="90" spans="1:56" ht="14.25">
      <c r="A90" s="187"/>
      <c r="B90" s="217">
        <v>4</v>
      </c>
      <c r="C90" s="218" t="s">
        <v>338</v>
      </c>
      <c r="D90" s="190" t="s">
        <v>58</v>
      </c>
      <c r="E90" s="190" t="s">
        <v>58</v>
      </c>
      <c r="F90" s="190" t="s">
        <v>13</v>
      </c>
      <c r="G90" s="191">
        <f>COUNTIFS(Reference!F:F,C90,Reference!G:G,"&lt;="&amp;VLOOKUP($F90,Setup!$C$9:$D$17,2,0))</f>
        <v>2</v>
      </c>
      <c r="H90" s="191">
        <f>COUNTIFS(Reference!B:B,C90,Reference!C:C,"&lt;="&amp;VLOOKUP("Mage",Setup!$C$9:$D$17,2,0))</f>
        <v>0</v>
      </c>
      <c r="I90" s="192">
        <v>1</v>
      </c>
      <c r="J90" s="192">
        <v>1</v>
      </c>
      <c r="K90" s="191" t="s">
        <v>146</v>
      </c>
      <c r="L90" s="191"/>
      <c r="M90" s="191"/>
      <c r="N90" s="191"/>
      <c r="O90" s="193" t="s">
        <v>339</v>
      </c>
      <c r="P90" s="194"/>
      <c r="Q90" s="190" t="s">
        <v>148</v>
      </c>
      <c r="R90" s="173"/>
      <c r="S90" s="195">
        <f>MATCH($D90,Reference!$J$5:$J$9,0)</f>
        <v>1</v>
      </c>
      <c r="T90" s="195">
        <f>MATCH($E90,Reference!$J$26:$J$32,0)</f>
        <v>1</v>
      </c>
      <c r="U90" s="195">
        <f>MATCH($F90,Reference!$J$45:$J$54,0)</f>
        <v>3</v>
      </c>
      <c r="V90" s="196">
        <f>MATCH($K90,Reference!$J$37:$J$39,0)</f>
        <v>2</v>
      </c>
      <c r="W90" s="197">
        <f t="shared" si="0"/>
        <v>2</v>
      </c>
      <c r="X90" s="197">
        <f t="shared" si="1"/>
        <v>1</v>
      </c>
      <c r="Y90" s="198">
        <v>0</v>
      </c>
      <c r="Z90" s="197">
        <f t="shared" si="2"/>
        <v>2</v>
      </c>
      <c r="AA90" s="199" t="b">
        <f t="shared" si="3"/>
        <v>0</v>
      </c>
      <c r="AB90" s="199" t="b">
        <f t="shared" si="4"/>
        <v>0</v>
      </c>
      <c r="AC90" s="200">
        <f t="shared" ref="AC90:AD90" si="153">1-I90</f>
        <v>0</v>
      </c>
      <c r="AD90" s="200">
        <f t="shared" si="153"/>
        <v>0</v>
      </c>
      <c r="AE90" s="199">
        <f t="shared" si="6"/>
        <v>2</v>
      </c>
      <c r="AF90" s="201">
        <f t="shared" si="7"/>
        <v>0</v>
      </c>
      <c r="AG90" s="201">
        <f t="shared" si="8"/>
        <v>1</v>
      </c>
      <c r="AH90" s="202">
        <f t="shared" si="9"/>
        <v>0</v>
      </c>
      <c r="AI90" s="205"/>
      <c r="AJ90" s="241" t="s">
        <v>68</v>
      </c>
      <c r="AK90" s="242">
        <f t="shared" ref="AK90:AL90" si="154">SUM(AO90+AM90+AQ90+AS90+AU90+AW90+AY90+BA90+BC90)</f>
        <v>16</v>
      </c>
      <c r="AL90" s="242">
        <f t="shared" si="154"/>
        <v>16</v>
      </c>
      <c r="AM90" s="269">
        <f>SUMIFS($X$2:$X879, $D$2:$D879, "Rare", $E$2:$E879, "Classic", $F$2:F879, "Mage")</f>
        <v>5</v>
      </c>
      <c r="AN90" s="269">
        <f>COUNTIFS($D$2:$D879, "Rare", $E$2:$E879, "Classic", $F$2:F879, "Mage" )</f>
        <v>5</v>
      </c>
      <c r="AO90" s="270">
        <f>SUMIFS($X$2:$X879, $D$2:$D879, "Rare", $E$2:$E879, "Promo", $F$2:F879, "Mage")</f>
        <v>0</v>
      </c>
      <c r="AP90" s="271">
        <f>COUNTIFS($D$2:$D879, "Rare", $E$2:$E879, "Promo", $F$2:F879, "Mage" )</f>
        <v>0</v>
      </c>
      <c r="AQ90" s="269">
        <f>SUMIFS($X$2:$X879, $D$2:$D879, "Rare", $E$2:$E879, "Naxx", $F$2:F879, "Mage")</f>
        <v>0</v>
      </c>
      <c r="AR90" s="269">
        <f>COUNTIFS($D$2:$D879, "Rare", $E$2:$E879, "Naxx", $F$2:F879, "Mage" )</f>
        <v>0</v>
      </c>
      <c r="AS90" s="270">
        <f>SUMIFS($X$2:$X879, $D$2:$D879, "Rare", $E$2:$E879, "GvG", $F$2:F879, "Mage")</f>
        <v>3</v>
      </c>
      <c r="AT90" s="271">
        <f>COUNTIFS($D$2:$D879, "Rare", $E$2:$E879, "GvG", $F$2:F879, "Mage" )</f>
        <v>3</v>
      </c>
      <c r="AU90" s="269">
        <f>SUMIFS($X$2:$X879, $D$2:$D879, "Rare", $E$2:$E879, "Blackrock", $F$2:F879, "Mage")</f>
        <v>1</v>
      </c>
      <c r="AV90" s="269">
        <f>COUNTIFS($D$2:$D879, "Rare", $E$2:$E879, "Blackrock", $F$2:F879, "Mage" )</f>
        <v>1</v>
      </c>
      <c r="AW90" s="269">
        <f>SUMIFS($X$2:$X879, $D$2:$D879, "Rare", $E$2:$E879, "TGT", $F$2:F879, "Mage")</f>
        <v>3</v>
      </c>
      <c r="AX90" s="271">
        <f>COUNTIFS($D$2:$D879, "Rare", $E$2:$E879, "TGT", $F$2:F879, "Mage" )</f>
        <v>3</v>
      </c>
      <c r="AY90" s="269">
        <f>SUMIFS($X$2:$X879, $D$2:$D879, "Rare", $E$2:$E879, "LoE", $F$2:F879, "Mage")</f>
        <v>1</v>
      </c>
      <c r="AZ90" s="271">
        <f>COUNTIFS($D$2:$D879, "Rare", $E$2:$E879, "LoE", $F$2:F879, "Mage" )</f>
        <v>1</v>
      </c>
      <c r="BA90" s="269">
        <f>SUMIFS($X$2:$X879, $D$2:$D879, "Rare", $E$2:$E879, "TOG", $F$2:F879, "Mage")</f>
        <v>3</v>
      </c>
      <c r="BB90" s="271">
        <f>COUNTIFS($D$2:$D879, "Rare", $E$2:$E879, "TOG", $F$2:F879, "Mage" )</f>
        <v>3</v>
      </c>
      <c r="BC90" s="269">
        <f>SUMIFS($X$2:$X879, $D$2:$D879, "Rare", $E$2:$E879, "Adv4", $F$2:F879, "Mage")</f>
        <v>0</v>
      </c>
      <c r="BD90" s="271">
        <f>COUNTIFS($D$2:$D879, "Rare", $E$2:$E879, "Adv4", $F$2:F879, "Mage" )</f>
        <v>0</v>
      </c>
    </row>
    <row r="91" spans="1:56" ht="14.25">
      <c r="A91" s="211"/>
      <c r="B91" s="188">
        <v>4</v>
      </c>
      <c r="C91" s="189" t="s">
        <v>340</v>
      </c>
      <c r="D91" s="190" t="s">
        <v>58</v>
      </c>
      <c r="E91" s="190" t="s">
        <v>58</v>
      </c>
      <c r="F91" s="190" t="s">
        <v>115</v>
      </c>
      <c r="G91" s="215">
        <v>2</v>
      </c>
      <c r="H91" s="191">
        <f>COUNTIFS(Reference!D:D,VLOOKUP(C91,Reference!B:D,3,0),Reference!C:C,"&lt;="&amp;VLOOKUP(VLOOKUP(C91,Reference!B:D,3,0),Setup!$C$9:$D$17,2,0),Reference!B:B,C91)</f>
        <v>0</v>
      </c>
      <c r="I91" s="192">
        <v>1</v>
      </c>
      <c r="J91" s="192">
        <v>1</v>
      </c>
      <c r="K91" s="215" t="s">
        <v>182</v>
      </c>
      <c r="L91" s="191"/>
      <c r="M91" s="215">
        <v>2</v>
      </c>
      <c r="N91" s="215">
        <v>4</v>
      </c>
      <c r="O91" s="193" t="s">
        <v>277</v>
      </c>
      <c r="P91" s="194" t="s">
        <v>184</v>
      </c>
      <c r="Q91" s="190" t="s">
        <v>148</v>
      </c>
      <c r="R91" s="173"/>
      <c r="S91" s="195">
        <f>MATCH($D91,Reference!$J$5:$J$9,0)</f>
        <v>1</v>
      </c>
      <c r="T91" s="195">
        <f>MATCH($E91,Reference!$J$26:$J$32,0)</f>
        <v>1</v>
      </c>
      <c r="U91" s="195">
        <f>MATCH($F91,Reference!$J$45:$J$54,0)</f>
        <v>10</v>
      </c>
      <c r="V91" s="196">
        <f>MATCH($K91,Reference!$J$37:$J$39,0)</f>
        <v>3</v>
      </c>
      <c r="W91" s="197">
        <f t="shared" si="0"/>
        <v>2</v>
      </c>
      <c r="X91" s="197">
        <f t="shared" si="1"/>
        <v>1</v>
      </c>
      <c r="Y91" s="198">
        <v>0</v>
      </c>
      <c r="Z91" s="197">
        <f t="shared" si="2"/>
        <v>2</v>
      </c>
      <c r="AA91" s="199" t="b">
        <f t="shared" si="3"/>
        <v>0</v>
      </c>
      <c r="AB91" s="199" t="b">
        <f t="shared" si="4"/>
        <v>0</v>
      </c>
      <c r="AC91" s="200">
        <f t="shared" ref="AC91:AD91" si="155">1-I91</f>
        <v>0</v>
      </c>
      <c r="AD91" s="200">
        <f t="shared" si="155"/>
        <v>0</v>
      </c>
      <c r="AE91" s="199">
        <f t="shared" si="6"/>
        <v>2</v>
      </c>
      <c r="AF91" s="201">
        <f t="shared" si="7"/>
        <v>0</v>
      </c>
      <c r="AG91" s="201">
        <f t="shared" si="8"/>
        <v>1</v>
      </c>
      <c r="AH91" s="202">
        <f t="shared" si="9"/>
        <v>0</v>
      </c>
      <c r="AI91" s="205"/>
      <c r="AJ91" s="245" t="s">
        <v>69</v>
      </c>
      <c r="AK91" s="246">
        <f t="shared" ref="AK91:AL91" si="156">SUM(AO91+AM91+AQ91+AS91+AU91+AW91+AY91+BA91+BC91)</f>
        <v>6</v>
      </c>
      <c r="AL91" s="246">
        <f t="shared" si="156"/>
        <v>9</v>
      </c>
      <c r="AM91" s="272">
        <f>SUMIFS($X$2:$X879, $D$2:$D879, "Epic", $E$2:$E879, "Classic", $F$2:F879, "Mage")</f>
        <v>3</v>
      </c>
      <c r="AN91" s="272">
        <f>COUNTIFS($D$2:$D879, "Epic", $E$2:$E879, "Classic", $F$2:F879, "Mage" )</f>
        <v>3</v>
      </c>
      <c r="AO91" s="273">
        <f>SUMIFS($X$2:$X879, $D$2:$D879, "Epic", $E$2:$E879, "Promo", $F$2:F879, "Mage")</f>
        <v>0</v>
      </c>
      <c r="AP91" s="274">
        <f>COUNTIFS($D$2:$D879, "Epic", $E$2:$E879, "Promo", $F$2:F879, "Mage" )</f>
        <v>0</v>
      </c>
      <c r="AQ91" s="272">
        <f>SUMIFS($X$2:$X879, $D$2:$D879, "Epic", $E$2:$E879, "Naxx", $F$2:F879, "Mage")</f>
        <v>0</v>
      </c>
      <c r="AR91" s="272">
        <f>COUNTIFS($D$2:$D879, "Epic", $E$2:$E879, "Naxx", $F$2:F879, "Mage" )</f>
        <v>0</v>
      </c>
      <c r="AS91" s="273">
        <f>SUMIFS($X$2:$X879, $D$2:$D879, "Epic", $E$2:$E879, "GvG", $F$2:F879, "Mage")</f>
        <v>1</v>
      </c>
      <c r="AT91" s="274">
        <f>COUNTIFS($D$2:$D879, "Epic", $E$2:$E879, "GvG", $F$2:F879, "Mage" )</f>
        <v>2</v>
      </c>
      <c r="AU91" s="272">
        <f>SUMIFS($X$2:$X879, $D$2:$D879, "Epic", $E$2:$E879, "Blackrock", $F$2:F879, "Mage")</f>
        <v>0</v>
      </c>
      <c r="AV91" s="272">
        <f>COUNTIFS($D$2:$D879, "Epic", $E$2:$E879, "Blackrock", $F$2:F879, "Mage" )</f>
        <v>0</v>
      </c>
      <c r="AW91" s="272">
        <f>SUMIFS($X$2:$X879, $D$2:$D879, "Epic", $E$2:$E879, "TGT", $F$2:F879, "Mage")</f>
        <v>2</v>
      </c>
      <c r="AX91" s="274">
        <f>COUNTIFS($D$2:$D879, "Epic", $E$2:$E879, "TGT", $F$2:F879, "Mage" )</f>
        <v>2</v>
      </c>
      <c r="AY91" s="272">
        <f>SUMIFS($X$2:$X879, $D$2:$D879, "Epic", $E$2:$E879, "LoE", $F$2:F879, "Mage")</f>
        <v>0</v>
      </c>
      <c r="AZ91" s="274">
        <f>COUNTIFS($D$2:$D879, "Epic", $E$2:$E879, "LoE", $F$2:F879, "Mage" )</f>
        <v>0</v>
      </c>
      <c r="BA91" s="272">
        <f>SUMIFS($X$2:$X879, $D$2:$D879, "Epic", $E$2:$E879, "TOG", $F$2:F879, "Mage")</f>
        <v>0</v>
      </c>
      <c r="BB91" s="274">
        <f>COUNTIFS($D$2:$D879, "Epic", $E$2:$E879, "TOG", $F$2:F879, "Mage" )</f>
        <v>2</v>
      </c>
      <c r="BC91" s="272">
        <f>SUMIFS($X$2:$X879, $D$2:$D879, "Epic", $E$2:$E879, "Adv4", $F$2:F879, "Mage")</f>
        <v>0</v>
      </c>
      <c r="BD91" s="274">
        <f>COUNTIFS($D$2:$D879, "Epic", $E$2:$E879, "Adv4", $F$2:F879, "Mage" )</f>
        <v>0</v>
      </c>
    </row>
    <row r="92" spans="1:56" ht="14.25">
      <c r="A92" s="240"/>
      <c r="B92" s="217">
        <v>4</v>
      </c>
      <c r="C92" s="218" t="s">
        <v>341</v>
      </c>
      <c r="D92" s="190" t="s">
        <v>58</v>
      </c>
      <c r="E92" s="190" t="s">
        <v>58</v>
      </c>
      <c r="F92" s="190" t="s">
        <v>16</v>
      </c>
      <c r="G92" s="191">
        <f>COUNTIFS(Reference!F:F,C92,Reference!G:G,"&lt;="&amp;VLOOKUP($F92,Setup!$C$9:$D$17,2,0))</f>
        <v>2</v>
      </c>
      <c r="H92" s="191">
        <f>COUNTIFS(Reference!B:B,C92,Reference!C:C,"&lt;="&amp;VLOOKUP("Paladin",Setup!$C$9:$D$17,2,0))</f>
        <v>0</v>
      </c>
      <c r="I92" s="192">
        <v>1</v>
      </c>
      <c r="J92" s="192">
        <v>1</v>
      </c>
      <c r="K92" s="191" t="s">
        <v>146</v>
      </c>
      <c r="L92" s="191"/>
      <c r="M92" s="191"/>
      <c r="N92" s="191"/>
      <c r="O92" s="193" t="s">
        <v>342</v>
      </c>
      <c r="P92" s="194"/>
      <c r="Q92" s="190" t="s">
        <v>148</v>
      </c>
      <c r="R92" s="173"/>
      <c r="S92" s="195">
        <f>MATCH($D92,Reference!$J$5:$J$9,0)</f>
        <v>1</v>
      </c>
      <c r="T92" s="195">
        <f>MATCH($E92,Reference!$J$26:$J$32,0)</f>
        <v>1</v>
      </c>
      <c r="U92" s="195">
        <f>MATCH($F92,Reference!$J$45:$J$54,0)</f>
        <v>4</v>
      </c>
      <c r="V92" s="196">
        <f>MATCH($K92,Reference!$J$37:$J$39,0)</f>
        <v>2</v>
      </c>
      <c r="W92" s="197">
        <f t="shared" si="0"/>
        <v>2</v>
      </c>
      <c r="X92" s="197">
        <f t="shared" si="1"/>
        <v>1</v>
      </c>
      <c r="Y92" s="198">
        <v>0</v>
      </c>
      <c r="Z92" s="197">
        <f t="shared" si="2"/>
        <v>2</v>
      </c>
      <c r="AA92" s="199" t="b">
        <f t="shared" si="3"/>
        <v>0</v>
      </c>
      <c r="AB92" s="199" t="b">
        <f t="shared" si="4"/>
        <v>0</v>
      </c>
      <c r="AC92" s="200">
        <f t="shared" ref="AC92:AD92" si="157">1-I92</f>
        <v>0</v>
      </c>
      <c r="AD92" s="200">
        <f t="shared" si="157"/>
        <v>0</v>
      </c>
      <c r="AE92" s="199">
        <f t="shared" si="6"/>
        <v>2</v>
      </c>
      <c r="AF92" s="201">
        <f t="shared" si="7"/>
        <v>0</v>
      </c>
      <c r="AG92" s="201">
        <f t="shared" si="8"/>
        <v>1</v>
      </c>
      <c r="AH92" s="202">
        <f t="shared" si="9"/>
        <v>0</v>
      </c>
      <c r="AI92" s="205"/>
      <c r="AJ92" s="249" t="s">
        <v>70</v>
      </c>
      <c r="AK92" s="250">
        <f t="shared" ref="AK92:AL92" si="158">SUM(AO92+AM92+AQ92+AS92+AU92+AW92+AY92+BA92+BC92)</f>
        <v>2</v>
      </c>
      <c r="AL92" s="250">
        <f t="shared" si="158"/>
        <v>4</v>
      </c>
      <c r="AM92" s="275">
        <f>SUMIFS($X$2:$X879, $D$2:$D879, "Legendary", $E$2:$E879, "Classic", $F$2:F879, "Mage")</f>
        <v>1</v>
      </c>
      <c r="AN92" s="275">
        <f>COUNTIFS($D$2:$D879, "Legendary", $E$2:$E879, "Classic", $F$2:F879, "Mage" )</f>
        <v>1</v>
      </c>
      <c r="AO92" s="276">
        <f>SUMIFS($X$2:$X879, $D$2:$D879, "Legendary", $E$2:$E879, "Promo", $F$2:F879, "Mage")</f>
        <v>0</v>
      </c>
      <c r="AP92" s="277">
        <f>COUNTIFS($D$2:$D879, "Legendary", $E$2:$E879, "Promo", $F$2:F879, "Mage" )</f>
        <v>0</v>
      </c>
      <c r="AQ92" s="275">
        <f>SUMIFS($X$2:$X879, $D$2:$D879, "Legendary", $E$2:$E879, "Naxx", $F$2:F879, "Mage")</f>
        <v>0</v>
      </c>
      <c r="AR92" s="275">
        <f>COUNTIFS($D$2:$D879, "Legendary", $E$2:$E879, "Naxx", $F$2:F879, "Mage" )</f>
        <v>0</v>
      </c>
      <c r="AS92" s="276">
        <f>SUMIFS($X$2:$X879, $D$2:$D879, "Legendary", $E$2:$E879, "GvG", $F$2:F879, "Mage")</f>
        <v>0</v>
      </c>
      <c r="AT92" s="277">
        <f>COUNTIFS($D$2:$D879, "Legendary", $E$2:$E879, "GvG", $F$2:F879, "Mage" )</f>
        <v>1</v>
      </c>
      <c r="AU92" s="275">
        <f>SUMIFS($X$2:$X879, $D$2:$D879, "Legendary", $E$2:$E879, "Blackrock", $F$2:F879, "Mage")</f>
        <v>0</v>
      </c>
      <c r="AV92" s="275">
        <f>COUNTIFS($D$2:$D879, "Legendary", $E$2:$E879, "Blackrock", $F$2:F879, "Mage" )</f>
        <v>0</v>
      </c>
      <c r="AW92" s="275">
        <f>SUMIFS($X$2:$X879, $D$2:$D879, "Legendary", $E$2:$E879, "TGT", $F$2:F879, "Mage")</f>
        <v>1</v>
      </c>
      <c r="AX92" s="277">
        <f>COUNTIFS($D$2:$D879, "Legendary", $E$2:$E879, "TGT", $F$2:F879, "Mage" )</f>
        <v>1</v>
      </c>
      <c r="AY92" s="275">
        <f>SUMIFS($X$2:$X879, $D$2:$D879, "Legendary", $E$2:$E879, "LoE", $F$2:F879, "Mage")</f>
        <v>0</v>
      </c>
      <c r="AZ92" s="277">
        <f>COUNTIFS($D$2:$D879, "Legendary", $E$2:$E879, "LoE", $F$2:F879, "Mage" )</f>
        <v>0</v>
      </c>
      <c r="BA92" s="275">
        <f>SUMIFS($X$2:$X879, $D$2:$D879, "Legendary", $E$2:$E879, "TOG", $F$2:F879, "Mage")</f>
        <v>0</v>
      </c>
      <c r="BB92" s="277">
        <f>COUNTIFS($D$2:$D879, "Legendary", $E$2:$E879, "TOG", $F$2:F879, "Mage" )</f>
        <v>1</v>
      </c>
      <c r="BC92" s="275">
        <f>SUMIFS($X$2:$X879, $D$2:$D879, "Legendary", $E$2:$E879, "Adv4", $F$2:F879, "Mage")</f>
        <v>0</v>
      </c>
      <c r="BD92" s="277">
        <f>COUNTIFS($D$2:$D879, "Legendary", $E$2:$E879, "Adv4", $F$2:F879, "Mage" )</f>
        <v>0</v>
      </c>
    </row>
    <row r="93" spans="1:56" ht="14.25">
      <c r="A93" s="240"/>
      <c r="B93" s="217">
        <v>4</v>
      </c>
      <c r="C93" s="218" t="s">
        <v>343</v>
      </c>
      <c r="D93" s="190" t="s">
        <v>58</v>
      </c>
      <c r="E93" s="190" t="s">
        <v>58</v>
      </c>
      <c r="F93" s="190" t="s">
        <v>25</v>
      </c>
      <c r="G93" s="191">
        <f>COUNTIFS(Reference!F:F,C93,Reference!G:G,"&lt;="&amp;VLOOKUP($F93,Setup!$C$9:$D$17,2,0))</f>
        <v>2</v>
      </c>
      <c r="H93" s="191">
        <f>COUNTIFS(Reference!B:B,C93,Reference!C:C,"&lt;="&amp;VLOOKUP("Warlock",Setup!$C$9:$D$17,2,0))</f>
        <v>0</v>
      </c>
      <c r="I93" s="192">
        <v>1</v>
      </c>
      <c r="J93" s="192">
        <v>1</v>
      </c>
      <c r="K93" s="191" t="s">
        <v>146</v>
      </c>
      <c r="L93" s="191"/>
      <c r="M93" s="191"/>
      <c r="N93" s="191"/>
      <c r="O93" s="193" t="s">
        <v>344</v>
      </c>
      <c r="P93" s="194"/>
      <c r="Q93" s="190" t="s">
        <v>148</v>
      </c>
      <c r="R93" s="173"/>
      <c r="S93" s="195">
        <f>MATCH($D93,Reference!$J$5:$J$9,0)</f>
        <v>1</v>
      </c>
      <c r="T93" s="195">
        <f>MATCH($E93,Reference!$J$26:$J$32,0)</f>
        <v>1</v>
      </c>
      <c r="U93" s="195">
        <f>MATCH($F93,Reference!$J$45:$J$54,0)</f>
        <v>8</v>
      </c>
      <c r="V93" s="196">
        <f>MATCH($K93,Reference!$J$37:$J$39,0)</f>
        <v>2</v>
      </c>
      <c r="W93" s="197">
        <f t="shared" si="0"/>
        <v>2</v>
      </c>
      <c r="X93" s="197">
        <f t="shared" si="1"/>
        <v>1</v>
      </c>
      <c r="Y93" s="198">
        <v>0</v>
      </c>
      <c r="Z93" s="197">
        <f t="shared" si="2"/>
        <v>2</v>
      </c>
      <c r="AA93" s="199" t="b">
        <f t="shared" si="3"/>
        <v>0</v>
      </c>
      <c r="AB93" s="199" t="b">
        <f t="shared" si="4"/>
        <v>0</v>
      </c>
      <c r="AC93" s="200">
        <f t="shared" ref="AC93:AD93" si="159">1-I93</f>
        <v>0</v>
      </c>
      <c r="AD93" s="200">
        <f t="shared" si="159"/>
        <v>0</v>
      </c>
      <c r="AE93" s="199">
        <f t="shared" si="6"/>
        <v>2</v>
      </c>
      <c r="AF93" s="201">
        <f t="shared" si="7"/>
        <v>0</v>
      </c>
      <c r="AG93" s="201">
        <f t="shared" si="8"/>
        <v>1</v>
      </c>
      <c r="AH93" s="202">
        <f t="shared" si="9"/>
        <v>0</v>
      </c>
      <c r="AI93" s="205"/>
      <c r="AJ93" s="253" t="s">
        <v>240</v>
      </c>
      <c r="AK93" s="229"/>
      <c r="AL93" s="230"/>
      <c r="AM93" s="229"/>
      <c r="AN93" s="230"/>
      <c r="AO93" s="254"/>
      <c r="AP93" s="255"/>
      <c r="AQ93" s="229"/>
      <c r="AR93" s="230"/>
      <c r="AS93" s="254"/>
      <c r="AT93" s="255"/>
      <c r="AU93" s="229"/>
      <c r="AV93" s="230"/>
      <c r="AW93" s="229"/>
      <c r="AX93" s="230"/>
      <c r="AY93" s="229"/>
      <c r="AZ93" s="230"/>
      <c r="BA93" s="229"/>
      <c r="BB93" s="230"/>
      <c r="BC93" s="229"/>
      <c r="BD93" s="230"/>
    </row>
    <row r="94" spans="1:56" ht="14.25">
      <c r="A94" s="209"/>
      <c r="B94" s="217">
        <v>4</v>
      </c>
      <c r="C94" s="218" t="s">
        <v>345</v>
      </c>
      <c r="D94" s="190" t="s">
        <v>58</v>
      </c>
      <c r="E94" s="190" t="s">
        <v>58</v>
      </c>
      <c r="F94" s="190" t="s">
        <v>11</v>
      </c>
      <c r="G94" s="191">
        <f>COUNTIFS(Reference!F:F,C94,Reference!G:G,"&lt;="&amp;VLOOKUP($F94,Setup!$C$9:$D$17,2,0))</f>
        <v>2</v>
      </c>
      <c r="H94" s="191">
        <f>COUNTIFS(Reference!B:B,C94,Reference!C:C,"&lt;="&amp;VLOOKUP("Hunter",Setup!$C$9:$D$17,2,0))</f>
        <v>1</v>
      </c>
      <c r="I94" s="192">
        <v>1</v>
      </c>
      <c r="J94" s="192">
        <v>1</v>
      </c>
      <c r="K94" s="191" t="s">
        <v>182</v>
      </c>
      <c r="L94" s="191"/>
      <c r="M94" s="191">
        <v>4</v>
      </c>
      <c r="N94" s="191">
        <v>3</v>
      </c>
      <c r="O94" s="193" t="s">
        <v>346</v>
      </c>
      <c r="P94" s="194" t="s">
        <v>184</v>
      </c>
      <c r="Q94" s="190" t="s">
        <v>148</v>
      </c>
      <c r="R94" s="173"/>
      <c r="S94" s="195">
        <f>MATCH($D94,Reference!$J$5:$J$9,0)</f>
        <v>1</v>
      </c>
      <c r="T94" s="195">
        <f>MATCH($E94,Reference!$J$26:$J$32,0)</f>
        <v>1</v>
      </c>
      <c r="U94" s="195">
        <f>MATCH($F94,Reference!$J$45:$J$54,0)</f>
        <v>2</v>
      </c>
      <c r="V94" s="196">
        <f>MATCH($K94,Reference!$J$37:$J$39,0)</f>
        <v>3</v>
      </c>
      <c r="W94" s="197">
        <f t="shared" si="0"/>
        <v>2</v>
      </c>
      <c r="X94" s="197">
        <f t="shared" si="1"/>
        <v>1</v>
      </c>
      <c r="Y94" s="198">
        <v>0</v>
      </c>
      <c r="Z94" s="197">
        <f t="shared" si="2"/>
        <v>2</v>
      </c>
      <c r="AA94" s="199" t="b">
        <f t="shared" si="3"/>
        <v>0</v>
      </c>
      <c r="AB94" s="199" t="b">
        <f t="shared" si="4"/>
        <v>0</v>
      </c>
      <c r="AC94" s="200">
        <f t="shared" ref="AC94:AD94" si="160">1-I94</f>
        <v>0</v>
      </c>
      <c r="AD94" s="200">
        <f t="shared" si="160"/>
        <v>0</v>
      </c>
      <c r="AE94" s="199">
        <f t="shared" si="6"/>
        <v>2</v>
      </c>
      <c r="AF94" s="201">
        <f t="shared" si="7"/>
        <v>1</v>
      </c>
      <c r="AG94" s="201">
        <f t="shared" si="8"/>
        <v>1</v>
      </c>
      <c r="AH94" s="202">
        <f t="shared" si="9"/>
        <v>0</v>
      </c>
      <c r="AI94" s="205"/>
      <c r="AJ94" s="231" t="s">
        <v>58</v>
      </c>
      <c r="AK94" s="232">
        <f t="shared" ref="AK94:AL94" si="161">SUM(AO94+AM94+AQ94+AS94+AU94+AW94+AY94+BA94+BC94)</f>
        <v>20</v>
      </c>
      <c r="AL94" s="232">
        <f t="shared" si="161"/>
        <v>20</v>
      </c>
      <c r="AM94" s="191">
        <f>SUMIFS($W$2:$W879, $E$2:$E879, "Basic", $F$2:F879, "Mage")</f>
        <v>20</v>
      </c>
      <c r="AN94" s="232">
        <f>COUNTIFS($E$2:$E879, "Basic", $F$2:F879, "Mage" )*2</f>
        <v>20</v>
      </c>
      <c r="AO94" s="234"/>
      <c r="AP94" s="235"/>
      <c r="AQ94" s="191"/>
      <c r="AR94" s="191"/>
      <c r="AS94" s="234"/>
      <c r="AT94" s="235"/>
      <c r="AU94" s="191"/>
      <c r="AV94" s="191"/>
      <c r="AW94" s="191"/>
      <c r="AX94" s="235"/>
      <c r="AY94" s="191"/>
      <c r="AZ94" s="235"/>
      <c r="BA94" s="191"/>
      <c r="BB94" s="235"/>
      <c r="BC94" s="191"/>
      <c r="BD94" s="235"/>
    </row>
    <row r="95" spans="1:56" ht="14.25">
      <c r="A95" s="187"/>
      <c r="B95" s="217">
        <v>4</v>
      </c>
      <c r="C95" s="218" t="s">
        <v>347</v>
      </c>
      <c r="D95" s="190" t="s">
        <v>58</v>
      </c>
      <c r="E95" s="190" t="s">
        <v>58</v>
      </c>
      <c r="F95" s="190" t="s">
        <v>26</v>
      </c>
      <c r="G95" s="191">
        <f>COUNTIFS(Reference!F:F,C95,Reference!G:G,"&lt;="&amp;VLOOKUP($F95,Setup!$C$9:$D$17,2,0))</f>
        <v>2</v>
      </c>
      <c r="H95" s="191">
        <f>COUNTIFS(Reference!B:B,C95,Reference!C:C,"&lt;="&amp;VLOOKUP("Warrior",Setup!$C$9:$D$17,2,0))</f>
        <v>0</v>
      </c>
      <c r="I95" s="192">
        <v>1</v>
      </c>
      <c r="J95" s="192">
        <v>1</v>
      </c>
      <c r="K95" s="191" t="s">
        <v>182</v>
      </c>
      <c r="L95" s="191"/>
      <c r="M95" s="191">
        <v>4</v>
      </c>
      <c r="N95" s="191">
        <v>3</v>
      </c>
      <c r="O95" s="193" t="s">
        <v>231</v>
      </c>
      <c r="P95" s="194" t="s">
        <v>232</v>
      </c>
      <c r="Q95" s="190" t="s">
        <v>148</v>
      </c>
      <c r="R95" s="173"/>
      <c r="S95" s="195">
        <f>MATCH($D95,Reference!$J$5:$J$9,0)</f>
        <v>1</v>
      </c>
      <c r="T95" s="195">
        <f>MATCH($E95,Reference!$J$26:$J$32,0)</f>
        <v>1</v>
      </c>
      <c r="U95" s="195">
        <f>MATCH($F95,Reference!$J$45:$J$54,0)</f>
        <v>9</v>
      </c>
      <c r="V95" s="196">
        <f>MATCH($K95,Reference!$J$37:$J$39,0)</f>
        <v>3</v>
      </c>
      <c r="W95" s="197">
        <f t="shared" si="0"/>
        <v>2</v>
      </c>
      <c r="X95" s="197">
        <f t="shared" si="1"/>
        <v>1</v>
      </c>
      <c r="Y95" s="198">
        <v>0</v>
      </c>
      <c r="Z95" s="197">
        <f t="shared" si="2"/>
        <v>2</v>
      </c>
      <c r="AA95" s="199" t="b">
        <f t="shared" si="3"/>
        <v>0</v>
      </c>
      <c r="AB95" s="199" t="b">
        <f t="shared" si="4"/>
        <v>0</v>
      </c>
      <c r="AC95" s="200">
        <f t="shared" ref="AC95:AD95" si="162">1-I95</f>
        <v>0</v>
      </c>
      <c r="AD95" s="200">
        <f t="shared" si="162"/>
        <v>0</v>
      </c>
      <c r="AE95" s="199">
        <f t="shared" si="6"/>
        <v>2</v>
      </c>
      <c r="AF95" s="201">
        <f t="shared" si="7"/>
        <v>0</v>
      </c>
      <c r="AG95" s="201">
        <f t="shared" si="8"/>
        <v>1</v>
      </c>
      <c r="AH95" s="202">
        <f t="shared" si="9"/>
        <v>0</v>
      </c>
      <c r="AI95" s="205"/>
      <c r="AJ95" s="256" t="s">
        <v>63</v>
      </c>
      <c r="AK95" s="237">
        <f t="shared" ref="AK95:AL95" si="163">SUM(AO95+AM95+AQ95+AS95+AU95+AW95+AY95+BA95+BC95)</f>
        <v>36</v>
      </c>
      <c r="AL95" s="237">
        <f t="shared" si="163"/>
        <v>36</v>
      </c>
      <c r="AM95" s="229">
        <f>SUMIFS($W$2:$W879, $D$2:$D879, "Common", $E$2:$E879, "Classic", $F$2:F879, "Mage")</f>
        <v>12</v>
      </c>
      <c r="AN95" s="237">
        <f>COUNTIFS($D$2:$D879, "Common", $E$2:$E879, "Classic", $F$2:F879, "Mage" )*2</f>
        <v>12</v>
      </c>
      <c r="AO95" s="268">
        <f>SUMIFS($W$2:$W879, $D$2:$D879, "Common", $E$2:$E879, "Promo", $F$2:F879, "Mage")</f>
        <v>0</v>
      </c>
      <c r="AP95" s="238">
        <f>COUNTIFS($D$2:$D879, "Common", $E$2:$E879, "Promo", $F$2:F879, "Mage" )*2</f>
        <v>0</v>
      </c>
      <c r="AQ95" s="229">
        <f>SUMIFS($W$2:$W879, $D$2:$D879, "Common", $E$2:$E879, "Naxx", $F$2:F879, "Mage")</f>
        <v>2</v>
      </c>
      <c r="AR95" s="237">
        <f>COUNTIFS($D$2:$D879, "Common", $E$2:$E879, "Naxx", $F$2:F879, "Mage" )*2</f>
        <v>2</v>
      </c>
      <c r="AS95" s="268">
        <f>SUMIFS($W$2:$W879, $D$2:$D879, "Common", $E$2:$E879, "GvG", $F$2:F879, "Mage")</f>
        <v>4</v>
      </c>
      <c r="AT95" s="238">
        <f>COUNTIFS($D$2:$D879, "Common", $E$2:$E879, "GvG", $F$2:F879, "Mage" )*2</f>
        <v>4</v>
      </c>
      <c r="AU95" s="229">
        <f>SUMIFS($W$2:$W879, $D$2:$D879, "Common", $E$2:$E879, "Blackrock", $F$2:F879, "Mage")</f>
        <v>2</v>
      </c>
      <c r="AV95" s="237">
        <f>COUNTIFS($D$2:$D879, "Common", $E$2:$E879, "Blackrock", $F$2:F879, "Mage" )*2</f>
        <v>2</v>
      </c>
      <c r="AW95" s="229">
        <f>SUMIFS($W$2:$W879, $D$2:$D879, "Common", $E$2:$E879, "TGT", $F$2:F879, "Mage")</f>
        <v>6</v>
      </c>
      <c r="AX95" s="238">
        <f>COUNTIFS($D$2:$D879, "Common", $E$2:$E879, "TGT", $F$2:F879, "Mage" )*2</f>
        <v>6</v>
      </c>
      <c r="AY95" s="229">
        <f>SUMIFS($W$2:$W879, $D$2:$D879, "Common", $E$2:$E879, "LoE", $F$2:F879, "Mage")</f>
        <v>4</v>
      </c>
      <c r="AZ95" s="238">
        <f>COUNTIFS($D$2:$D879, "Common", $E$2:$E879, "LoE", $F$2:F879, "Mage" )*2</f>
        <v>4</v>
      </c>
      <c r="BA95" s="229">
        <f>SUMIFS($W$2:$W879, $D$2:$D879, "Common", $E$2:$E879, "TOG", $F$2:F879, "Mage")</f>
        <v>6</v>
      </c>
      <c r="BB95" s="238">
        <f>COUNTIFS($D$2:$D879, "Common", $E$2:$E879, "TOG", $F$2:F879, "Mage" )*2</f>
        <v>6</v>
      </c>
      <c r="BC95" s="229">
        <f>SUMIFS($W$2:$W879, $D$2:$D879, "Common", $E$2:$E879, "Adv4", $F$2:F879, "Mage")</f>
        <v>0</v>
      </c>
      <c r="BD95" s="238">
        <f>COUNTIFS($D$2:$D879, "Common", $E$2:$E879, "Adv4", $F$2:F879, "Mage" )*2</f>
        <v>0</v>
      </c>
    </row>
    <row r="96" spans="1:56" ht="14.25">
      <c r="A96" s="187"/>
      <c r="B96" s="217">
        <v>4</v>
      </c>
      <c r="C96" s="218" t="s">
        <v>348</v>
      </c>
      <c r="D96" s="190" t="s">
        <v>58</v>
      </c>
      <c r="E96" s="190" t="s">
        <v>58</v>
      </c>
      <c r="F96" s="190" t="s">
        <v>11</v>
      </c>
      <c r="G96" s="191">
        <f>COUNTIFS(Reference!F:F,C96,Reference!G:G,"&lt;="&amp;VLOOKUP($F96,Setup!$C$9:$D$17,2,0))</f>
        <v>2</v>
      </c>
      <c r="H96" s="191">
        <f>COUNTIFS(Reference!B:B,C96,Reference!C:C,"&lt;="&amp;VLOOKUP("Hunter",Setup!$C$9:$D$17,2,0))</f>
        <v>0</v>
      </c>
      <c r="I96" s="192">
        <v>1</v>
      </c>
      <c r="J96" s="192">
        <v>1</v>
      </c>
      <c r="K96" s="190" t="s">
        <v>146</v>
      </c>
      <c r="L96" s="190"/>
      <c r="M96" s="190"/>
      <c r="N96" s="210"/>
      <c r="O96" s="193" t="s">
        <v>349</v>
      </c>
      <c r="P96" s="194"/>
      <c r="Q96" s="190" t="s">
        <v>148</v>
      </c>
      <c r="R96" s="173"/>
      <c r="S96" s="195">
        <f>MATCH($D96,Reference!$J$5:$J$9,0)</f>
        <v>1</v>
      </c>
      <c r="T96" s="195">
        <f>MATCH($E96,Reference!$J$26:$J$32,0)</f>
        <v>1</v>
      </c>
      <c r="U96" s="195">
        <f>MATCH($F96,Reference!$J$45:$J$54,0)</f>
        <v>2</v>
      </c>
      <c r="V96" s="196">
        <f>MATCH($K96,Reference!$J$37:$J$39,0)</f>
        <v>2</v>
      </c>
      <c r="W96" s="197">
        <f t="shared" si="0"/>
        <v>2</v>
      </c>
      <c r="X96" s="197">
        <f t="shared" si="1"/>
        <v>1</v>
      </c>
      <c r="Y96" s="198">
        <v>0</v>
      </c>
      <c r="Z96" s="197">
        <f t="shared" si="2"/>
        <v>2</v>
      </c>
      <c r="AA96" s="199" t="b">
        <f t="shared" si="3"/>
        <v>0</v>
      </c>
      <c r="AB96" s="199" t="b">
        <f t="shared" si="4"/>
        <v>0</v>
      </c>
      <c r="AC96" s="200">
        <f t="shared" ref="AC96:AD96" si="164">1-I96</f>
        <v>0</v>
      </c>
      <c r="AD96" s="200">
        <f t="shared" si="164"/>
        <v>0</v>
      </c>
      <c r="AE96" s="199">
        <f t="shared" si="6"/>
        <v>2</v>
      </c>
      <c r="AF96" s="201">
        <f t="shared" si="7"/>
        <v>0</v>
      </c>
      <c r="AG96" s="201">
        <f t="shared" si="8"/>
        <v>1</v>
      </c>
      <c r="AH96" s="202">
        <f t="shared" si="9"/>
        <v>0</v>
      </c>
      <c r="AI96" s="205"/>
      <c r="AJ96" s="257" t="s">
        <v>68</v>
      </c>
      <c r="AK96" s="242">
        <f t="shared" ref="AK96:AL96" si="165">SUM(AO96+AM96+AQ96+AS96+AU96+AW96+AY96+BA96+BC96)</f>
        <v>31</v>
      </c>
      <c r="AL96" s="242">
        <f t="shared" si="165"/>
        <v>32</v>
      </c>
      <c r="AM96" s="269">
        <f>SUMIFS($W$2:$W879, $D$2:$D879, "Rare", $E$2:$E879, "Classic", $F$2:F879, "Mage")</f>
        <v>10</v>
      </c>
      <c r="AN96" s="242">
        <f>COUNTIFS($D$2:$D879, "Rare", $E$2:$E879, "Classic", $F$2:F879, "Mage" )*2</f>
        <v>10</v>
      </c>
      <c r="AO96" s="270">
        <f>SUMIFS($W$2:$W879, $D$2:$D879, "Rare", $E$2:$E879, "Promo", $F$2:F879, "Mage")</f>
        <v>0</v>
      </c>
      <c r="AP96" s="243">
        <f>COUNTIFS($D$2:$D879, "Rare", $E$2:$E879, "Promo", $F$2:F879, "Mage" )*2</f>
        <v>0</v>
      </c>
      <c r="AQ96" s="269">
        <f>SUMIFS($W$2:$W879, $D$2:$D879, "Rare", $E$2:$E879, "Naxx", $F$2:F879, "Mage")</f>
        <v>0</v>
      </c>
      <c r="AR96" s="242">
        <f>COUNTIFS($D$2:$D879, "Rare", $E$2:$E879, "Naxx", $F$2:F879, "Mage" )*2</f>
        <v>0</v>
      </c>
      <c r="AS96" s="270">
        <f>SUMIFS($W$2:$W879, $D$2:$D879, "Rare", $E$2:$E879, "GvG", $F$2:F879, "Mage")</f>
        <v>5</v>
      </c>
      <c r="AT96" s="243">
        <f>COUNTIFS($D$2:$D879, "Rare", $E$2:$E879, "GvG", $F$2:F879, "Mage" )*2</f>
        <v>6</v>
      </c>
      <c r="AU96" s="269">
        <f>SUMIFS($W$2:$W879, $D$2:$D879, "Rare", $E$2:$E879, "Blackrock", $F$2:F879, "Mage")</f>
        <v>2</v>
      </c>
      <c r="AV96" s="242">
        <f>COUNTIFS($D$2:$D879, "Rare", $E$2:$E879, "Blackrock", $F$2:F879, "Mage" )*2</f>
        <v>2</v>
      </c>
      <c r="AW96" s="269">
        <f>SUMIFS($W$2:$W879, $D$2:$D879, "Rare", $E$2:$E879, "TGT", $F$2:F879, "Mage")</f>
        <v>6</v>
      </c>
      <c r="AX96" s="243">
        <f>COUNTIFS($D$2:$D879, "Rare", $E$2:$E879, "TGT", $F$2:F879, "Mage" )*2</f>
        <v>6</v>
      </c>
      <c r="AY96" s="269">
        <f>SUMIFS($W$2:$W879, $D$2:$D879, "Rare", $E$2:$E879, "LoE", $F$2:F879, "Mage")</f>
        <v>2</v>
      </c>
      <c r="AZ96" s="243">
        <f>COUNTIFS($D$2:$D879, "Rare", $E$2:$E879, "LoE", $F$2:F879, "Mage" )*2</f>
        <v>2</v>
      </c>
      <c r="BA96" s="269">
        <f>SUMIFS($W$2:$W879, $D$2:$D879, "Rare", $E$2:$E879, "TOG", $F$2:F879, "Mage")</f>
        <v>6</v>
      </c>
      <c r="BB96" s="243">
        <f>COUNTIFS($D$2:$D879, "Rare", $E$2:$E879, "TOG", $F$2:F879, "Mage" )*2</f>
        <v>6</v>
      </c>
      <c r="BC96" s="269">
        <f>SUMIFS($W$2:$W879, $D$2:$D879, "Rare", $E$2:$E879, "Adv4", $F$2:F879, "Mage")</f>
        <v>0</v>
      </c>
      <c r="BD96" s="243">
        <f>COUNTIFS($D$2:$D879, "Rare", $E$2:$E879, "Adv4", $F$2:F879, "Mage" )*2</f>
        <v>0</v>
      </c>
    </row>
    <row r="97" spans="1:56" ht="14.25">
      <c r="A97" s="187"/>
      <c r="B97" s="188">
        <v>4</v>
      </c>
      <c r="C97" s="189" t="s">
        <v>350</v>
      </c>
      <c r="D97" s="190" t="s">
        <v>58</v>
      </c>
      <c r="E97" s="190" t="s">
        <v>58</v>
      </c>
      <c r="F97" s="190" t="s">
        <v>115</v>
      </c>
      <c r="G97" s="215">
        <v>2</v>
      </c>
      <c r="H97" s="191">
        <f>COUNTIFS(Reference!D:D,VLOOKUP(C97,Reference!B:D,3,0),Reference!C:C,"&lt;="&amp;VLOOKUP(VLOOKUP(C97,Reference!B:D,3,0),Setup!$C$9:$D$17,2,0),Reference!B:B,C97)</f>
        <v>0</v>
      </c>
      <c r="I97" s="192">
        <v>1</v>
      </c>
      <c r="J97" s="192">
        <v>1</v>
      </c>
      <c r="K97" s="215" t="s">
        <v>182</v>
      </c>
      <c r="L97" s="191" t="s">
        <v>230</v>
      </c>
      <c r="M97" s="215">
        <v>2</v>
      </c>
      <c r="N97" s="215">
        <v>7</v>
      </c>
      <c r="O97" s="193"/>
      <c r="P97" s="194"/>
      <c r="Q97" s="190" t="s">
        <v>148</v>
      </c>
      <c r="R97" s="173"/>
      <c r="S97" s="195">
        <f>MATCH($D97,Reference!$J$5:$J$9,0)</f>
        <v>1</v>
      </c>
      <c r="T97" s="195">
        <f>MATCH($E97,Reference!$J$26:$J$32,0)</f>
        <v>1</v>
      </c>
      <c r="U97" s="195">
        <f>MATCH($F97,Reference!$J$45:$J$54,0)</f>
        <v>10</v>
      </c>
      <c r="V97" s="196">
        <f>MATCH($K97,Reference!$J$37:$J$39,0)</f>
        <v>3</v>
      </c>
      <c r="W97" s="197">
        <f t="shared" si="0"/>
        <v>2</v>
      </c>
      <c r="X97" s="197">
        <f t="shared" si="1"/>
        <v>1</v>
      </c>
      <c r="Y97" s="198">
        <v>0</v>
      </c>
      <c r="Z97" s="197">
        <f t="shared" si="2"/>
        <v>2</v>
      </c>
      <c r="AA97" s="199" t="b">
        <f t="shared" si="3"/>
        <v>0</v>
      </c>
      <c r="AB97" s="199" t="b">
        <f t="shared" si="4"/>
        <v>0</v>
      </c>
      <c r="AC97" s="200">
        <f t="shared" ref="AC97:AD97" si="166">1-I97</f>
        <v>0</v>
      </c>
      <c r="AD97" s="200">
        <f t="shared" si="166"/>
        <v>0</v>
      </c>
      <c r="AE97" s="199">
        <f t="shared" si="6"/>
        <v>2</v>
      </c>
      <c r="AF97" s="201">
        <f t="shared" si="7"/>
        <v>0</v>
      </c>
      <c r="AG97" s="201">
        <f t="shared" si="8"/>
        <v>1</v>
      </c>
      <c r="AH97" s="202">
        <f t="shared" si="9"/>
        <v>0</v>
      </c>
      <c r="AI97" s="205"/>
      <c r="AJ97" s="258" t="s">
        <v>69</v>
      </c>
      <c r="AK97" s="246">
        <f t="shared" ref="AK97:AL97" si="167">SUM(AO97+AM97+AQ97+AS97+AU97+AW97+AY97+BA97+BC97)</f>
        <v>9</v>
      </c>
      <c r="AL97" s="246">
        <f t="shared" si="167"/>
        <v>18</v>
      </c>
      <c r="AM97" s="272">
        <f>SUMIFS($W$2:$W879, $D$2:$D879, "Epic", $E$2:$E879, "Classic", $F$2:F879, "Mage")</f>
        <v>6</v>
      </c>
      <c r="AN97" s="246">
        <f>COUNTIFS($D$2:$D879, "Epic", $E$2:$E879, "Classic", $F$2:F879, "Mage" )*2</f>
        <v>6</v>
      </c>
      <c r="AO97" s="273">
        <f>SUMIFS($W$2:$W879, $D$2:$D879, "Epic", $E$2:$E879, "Promo", $F$2:F879, "Mage")</f>
        <v>0</v>
      </c>
      <c r="AP97" s="247">
        <f>COUNTIFS($D$2:$D879, "Epic", $E$2:$E879, "Promo", $F$2:F879, "Mage" )*2</f>
        <v>0</v>
      </c>
      <c r="AQ97" s="272">
        <f>SUMIFS($W$2:$W879, $D$2:$D879, "Epic", $E$2:$E879, "Naxx", $F$2:F879, "Mage")</f>
        <v>0</v>
      </c>
      <c r="AR97" s="246">
        <f>COUNTIFS($D$2:$D879, "Epic", $E$2:$E879, "Naxx", $F$2:F879, "Mage" )*2</f>
        <v>0</v>
      </c>
      <c r="AS97" s="273">
        <f>SUMIFS($W$2:$W879, $D$2:$D879, "Epic", $E$2:$E879, "GvG", $F$2:F879, "Mage")</f>
        <v>1</v>
      </c>
      <c r="AT97" s="247">
        <f>COUNTIFS($D$2:$D879, "Epic", $E$2:$E879, "GvG", $F$2:F879, "Mage" )*2</f>
        <v>4</v>
      </c>
      <c r="AU97" s="272">
        <f>SUMIFS($W$2:$W879, $D$2:$D879, "Epic", $E$2:$E879, "Blackrock", $F$2:F879, "Mage")</f>
        <v>0</v>
      </c>
      <c r="AV97" s="246">
        <f>COUNTIFS($D$2:$D879, "Epic", $E$2:$E879, "Blackrock", $F$2:F879, "Mage" )*2</f>
        <v>0</v>
      </c>
      <c r="AW97" s="272">
        <f>SUMIFS($W$2:$W879, $D$2:$D879, "Epic", $E$2:$E879, "TGT", $F$2:F879, "Mage")</f>
        <v>2</v>
      </c>
      <c r="AX97" s="247">
        <f>COUNTIFS($D$2:$D879, "Epic", $E$2:$E879, "TGT", $F$2:F879, "Mage" )*2</f>
        <v>4</v>
      </c>
      <c r="AY97" s="272">
        <f>SUMIFS($W$2:$W879, $D$2:$D879, "Epic", $E$2:$E879, "LoE", $F$2:F879, "Mage")</f>
        <v>0</v>
      </c>
      <c r="AZ97" s="247">
        <f>COUNTIFS($D$2:$D879, "Epic", $E$2:$E879, "LoE", $F$2:F879, "Mage" )*2</f>
        <v>0</v>
      </c>
      <c r="BA97" s="272">
        <f>SUMIFS($W$2:$W879, $D$2:$D879, "Epic", $E$2:$E879, "TOG", $F$2:F879, "Mage")</f>
        <v>0</v>
      </c>
      <c r="BB97" s="247">
        <f>COUNTIFS($D$2:$D879, "Epic", $E$2:$E879, "TOG", $F$2:F879, "Mage" )*2</f>
        <v>4</v>
      </c>
      <c r="BC97" s="272">
        <f>SUMIFS($W$2:$W879, $D$2:$D879, "Epic", $E$2:$E879, "Adv4", $F$2:F879, "Mage")</f>
        <v>0</v>
      </c>
      <c r="BD97" s="247">
        <f>COUNTIFS($D$2:$D879, "Epic", $E$2:$E879, "Adv4", $F$2:F879, "Mage" )*2</f>
        <v>0</v>
      </c>
    </row>
    <row r="98" spans="1:56" ht="14.25">
      <c r="A98" s="209"/>
      <c r="B98" s="188">
        <v>4</v>
      </c>
      <c r="C98" s="189" t="s">
        <v>351</v>
      </c>
      <c r="D98" s="190" t="s">
        <v>58</v>
      </c>
      <c r="E98" s="190" t="s">
        <v>58</v>
      </c>
      <c r="F98" s="190" t="s">
        <v>115</v>
      </c>
      <c r="G98" s="215">
        <v>2</v>
      </c>
      <c r="H98" s="191">
        <f>COUNTIFS(Reference!D:D,VLOOKUP(C98,Reference!B:D,3,0),Reference!C:C,"&lt;="&amp;VLOOKUP(VLOOKUP(C98,Reference!B:D,3,0),Setup!$C$9:$D$17,2,0),Reference!B:B,C98)</f>
        <v>0</v>
      </c>
      <c r="I98" s="192">
        <v>1</v>
      </c>
      <c r="J98" s="192">
        <v>1</v>
      </c>
      <c r="K98" s="215" t="s">
        <v>182</v>
      </c>
      <c r="L98" s="191"/>
      <c r="M98" s="215">
        <v>4</v>
      </c>
      <c r="N98" s="215">
        <v>4</v>
      </c>
      <c r="O98" s="193" t="s">
        <v>267</v>
      </c>
      <c r="P98" s="194" t="s">
        <v>268</v>
      </c>
      <c r="Q98" s="190" t="s">
        <v>148</v>
      </c>
      <c r="R98" s="173"/>
      <c r="S98" s="195">
        <f>MATCH($D98,Reference!$J$5:$J$9,0)</f>
        <v>1</v>
      </c>
      <c r="T98" s="195">
        <f>MATCH($E98,Reference!$J$26:$J$32,0)</f>
        <v>1</v>
      </c>
      <c r="U98" s="195">
        <f>MATCH($F98,Reference!$J$45:$J$54,0)</f>
        <v>10</v>
      </c>
      <c r="V98" s="196">
        <f>MATCH($K98,Reference!$J$37:$J$39,0)</f>
        <v>3</v>
      </c>
      <c r="W98" s="197">
        <f t="shared" si="0"/>
        <v>2</v>
      </c>
      <c r="X98" s="197">
        <f t="shared" si="1"/>
        <v>1</v>
      </c>
      <c r="Y98" s="198">
        <v>0</v>
      </c>
      <c r="Z98" s="197">
        <f t="shared" si="2"/>
        <v>2</v>
      </c>
      <c r="AA98" s="199" t="b">
        <f t="shared" si="3"/>
        <v>0</v>
      </c>
      <c r="AB98" s="199" t="b">
        <f t="shared" si="4"/>
        <v>0</v>
      </c>
      <c r="AC98" s="200">
        <f t="shared" ref="AC98:AD98" si="168">1-I98</f>
        <v>0</v>
      </c>
      <c r="AD98" s="200">
        <f t="shared" si="168"/>
        <v>0</v>
      </c>
      <c r="AE98" s="199">
        <f t="shared" si="6"/>
        <v>2</v>
      </c>
      <c r="AF98" s="201">
        <f t="shared" si="7"/>
        <v>0</v>
      </c>
      <c r="AG98" s="201">
        <f t="shared" si="8"/>
        <v>1</v>
      </c>
      <c r="AH98" s="202">
        <f t="shared" si="9"/>
        <v>0</v>
      </c>
      <c r="AI98" s="205"/>
      <c r="AJ98" s="249" t="s">
        <v>70</v>
      </c>
      <c r="AK98" s="250">
        <f t="shared" ref="AK98:AL98" si="169">SUM(AO98+AM98+AQ98+AS98+AU98+AW98+AY98+BA98+BC98)</f>
        <v>2</v>
      </c>
      <c r="AL98" s="250">
        <f t="shared" si="169"/>
        <v>4</v>
      </c>
      <c r="AM98" s="275">
        <f>SUMIFS($W$2:$W879, $D$2:$D879, "Legendary", $E$2:$E879, "Classic", $F$2:F879, "Mage")</f>
        <v>1</v>
      </c>
      <c r="AN98" s="275">
        <f>COUNTIFS($D$2:$D879, "Legendary", $E$2:$E879, "Classic", $F$2:F879, "Mage" )</f>
        <v>1</v>
      </c>
      <c r="AO98" s="276">
        <f>SUMIFS($W$2:$W879, $D$2:$D879, "Legendary", $E$2:$E879, "Promo", $F$2:F879, "Mage")</f>
        <v>0</v>
      </c>
      <c r="AP98" s="277">
        <f>COUNTIFS($D$2:$D879, "Legendary", $E$2:$E879, "Promo", $F$2:F879, "Mage" )</f>
        <v>0</v>
      </c>
      <c r="AQ98" s="275">
        <f>SUMIFS($W$2:$W879, $D$2:$D879, "Legendary", $E$2:$E879, "Naxx", $F$2:F879, "Mage")</f>
        <v>0</v>
      </c>
      <c r="AR98" s="275">
        <f>COUNTIFS($D$2:$D879, "Legendary", $E$2:$E879, "Naxx", $F$2:F879, "Mage" )</f>
        <v>0</v>
      </c>
      <c r="AS98" s="276">
        <f>SUMIFS($W$2:$W879, $D$2:$D879, "Legendary", $E$2:$E879, "GvG", $F$2:F879, "Mage")</f>
        <v>0</v>
      </c>
      <c r="AT98" s="277">
        <f>COUNTIFS($D$2:$D879, "Legendary", $E$2:$E879, "GvG", $F$2:F879, "Mage" )</f>
        <v>1</v>
      </c>
      <c r="AU98" s="275">
        <f>SUMIFS($W$2:$W879, $D$2:$D879, "Legendary", $E$2:$E879, "Blackrock", $F$2:F879, "Mage")</f>
        <v>0</v>
      </c>
      <c r="AV98" s="275">
        <f>COUNTIFS($D$2:$D879, "Legendary", $E$2:$E879, "Blackrock", $F$2:F879, "Mage" )</f>
        <v>0</v>
      </c>
      <c r="AW98" s="275">
        <f>SUMIFS($W$2:$W879, $D$2:$D879, "Legendary", $E$2:$E879, "TGT", $F$2:F879, "Mage")</f>
        <v>1</v>
      </c>
      <c r="AX98" s="277">
        <f>COUNTIFS($D$2:$D879, "Legendary", $E$2:$E879, "TGT", $F$2:F879, "Mage" )</f>
        <v>1</v>
      </c>
      <c r="AY98" s="275">
        <f>SUMIFS($W$2:$W879, $D$2:$D879, "Legendary", $E$2:$E879, "LoE", $F$2:F879, "Mage")</f>
        <v>0</v>
      </c>
      <c r="AZ98" s="277">
        <f>COUNTIFS($D$2:$D879, "Legendary", $E$2:$E879, "LoE", $F$2:F879, "Mage" )</f>
        <v>0</v>
      </c>
      <c r="BA98" s="275">
        <f>SUMIFS($W$2:$W879, $D$2:$D879, "Legendary", $E$2:$E879, "TOG", $F$2:F879, "Mage")</f>
        <v>0</v>
      </c>
      <c r="BB98" s="277">
        <f>COUNTIFS($D$2:$D879, "Legendary", $E$2:$E879, "TOG", $F$2:F879, "Mage" )</f>
        <v>1</v>
      </c>
      <c r="BC98" s="275">
        <f>SUMIFS($W$2:$W879, $D$2:$D879, "Legendary", $E$2:$E879, "Adv4", $F$2:F879, "Mage")</f>
        <v>0</v>
      </c>
      <c r="BD98" s="251">
        <f>COUNTIFS($D$2:$D879, "Legendary", $E$2:$E879, "Adv4", $F$2:F879, "Mage" )*2</f>
        <v>0</v>
      </c>
    </row>
    <row r="99" spans="1:56" ht="14.25">
      <c r="A99" s="279"/>
      <c r="B99" s="217">
        <v>4</v>
      </c>
      <c r="C99" s="218" t="s">
        <v>352</v>
      </c>
      <c r="D99" s="190" t="s">
        <v>58</v>
      </c>
      <c r="E99" s="190" t="s">
        <v>58</v>
      </c>
      <c r="F99" s="190" t="s">
        <v>13</v>
      </c>
      <c r="G99" s="191">
        <f>COUNTIFS(Reference!F:F,C99,Reference!G:G,"&lt;="&amp;VLOOKUP($F99,Setup!$C$9:$D$17,2,0))</f>
        <v>2</v>
      </c>
      <c r="H99" s="191">
        <f>COUNTIFS(Reference!B:B,C99,Reference!C:C,"&lt;="&amp;VLOOKUP("Mage",Setup!$C$9:$D$17,2,0))</f>
        <v>0</v>
      </c>
      <c r="I99" s="192">
        <v>1</v>
      </c>
      <c r="J99" s="192">
        <v>1</v>
      </c>
      <c r="K99" s="191" t="s">
        <v>146</v>
      </c>
      <c r="L99" s="191"/>
      <c r="M99" s="191"/>
      <c r="N99" s="191"/>
      <c r="O99" s="193" t="s">
        <v>353</v>
      </c>
      <c r="P99" s="194"/>
      <c r="Q99" s="190" t="s">
        <v>148</v>
      </c>
      <c r="R99" s="173"/>
      <c r="S99" s="195">
        <f>MATCH($D99,Reference!$J$5:$J$9,0)</f>
        <v>1</v>
      </c>
      <c r="T99" s="195">
        <f>MATCH($E99,Reference!$J$26:$J$32,0)</f>
        <v>1</v>
      </c>
      <c r="U99" s="195">
        <f>MATCH($F99,Reference!$J$45:$J$54,0)</f>
        <v>3</v>
      </c>
      <c r="V99" s="196">
        <f>MATCH($K99,Reference!$J$37:$J$39,0)</f>
        <v>2</v>
      </c>
      <c r="W99" s="197">
        <f t="shared" si="0"/>
        <v>2</v>
      </c>
      <c r="X99" s="197">
        <f t="shared" si="1"/>
        <v>1</v>
      </c>
      <c r="Y99" s="198">
        <v>0</v>
      </c>
      <c r="Z99" s="197">
        <f t="shared" si="2"/>
        <v>2</v>
      </c>
      <c r="AA99" s="199" t="b">
        <f t="shared" si="3"/>
        <v>0</v>
      </c>
      <c r="AB99" s="199" t="b">
        <f t="shared" si="4"/>
        <v>0</v>
      </c>
      <c r="AC99" s="200">
        <f t="shared" ref="AC99:AD99" si="170">1-I99</f>
        <v>0</v>
      </c>
      <c r="AD99" s="200">
        <f t="shared" si="170"/>
        <v>0</v>
      </c>
      <c r="AE99" s="199">
        <f t="shared" si="6"/>
        <v>2</v>
      </c>
      <c r="AF99" s="201">
        <f t="shared" si="7"/>
        <v>0</v>
      </c>
      <c r="AG99" s="201">
        <f t="shared" si="8"/>
        <v>1</v>
      </c>
      <c r="AH99" s="202">
        <f t="shared" si="9"/>
        <v>0</v>
      </c>
      <c r="AI99" s="205"/>
      <c r="AJ99" s="259" t="s">
        <v>22</v>
      </c>
      <c r="AK99" s="260"/>
      <c r="AL99" s="261"/>
      <c r="AM99" s="260"/>
      <c r="AN99" s="261"/>
      <c r="AO99" s="260"/>
      <c r="AP99" s="261"/>
      <c r="AQ99" s="260"/>
      <c r="AR99" s="261"/>
      <c r="AS99" s="260"/>
      <c r="AT99" s="261"/>
      <c r="AU99" s="260"/>
      <c r="AV99" s="261"/>
      <c r="AW99" s="260"/>
      <c r="AX99" s="261"/>
      <c r="AY99" s="260"/>
      <c r="AZ99" s="261"/>
      <c r="BA99" s="260"/>
      <c r="BB99" s="261"/>
      <c r="BC99" s="260"/>
      <c r="BD99" s="261"/>
    </row>
    <row r="100" spans="1:56" ht="14.25">
      <c r="A100" s="211"/>
      <c r="B100" s="188">
        <v>4</v>
      </c>
      <c r="C100" s="189" t="s">
        <v>354</v>
      </c>
      <c r="D100" s="190" t="s">
        <v>58</v>
      </c>
      <c r="E100" s="190" t="s">
        <v>58</v>
      </c>
      <c r="F100" s="190" t="s">
        <v>115</v>
      </c>
      <c r="G100" s="215">
        <v>2</v>
      </c>
      <c r="H100" s="191">
        <f>COUNTIFS(Reference!D:D,VLOOKUP(C100,Reference!B:D,3,0),Reference!C:C,"&lt;="&amp;VLOOKUP(VLOOKUP(C100,Reference!B:D,3,0),Setup!$C$9:$D$17,2,0),Reference!B:B,C100)</f>
        <v>0</v>
      </c>
      <c r="I100" s="192">
        <v>1</v>
      </c>
      <c r="J100" s="192">
        <v>1</v>
      </c>
      <c r="K100" s="215" t="s">
        <v>182</v>
      </c>
      <c r="L100" s="191"/>
      <c r="M100" s="215">
        <v>3</v>
      </c>
      <c r="N100" s="215">
        <v>5</v>
      </c>
      <c r="O100" s="193" t="s">
        <v>192</v>
      </c>
      <c r="P100" s="194" t="s">
        <v>193</v>
      </c>
      <c r="Q100" s="190" t="s">
        <v>148</v>
      </c>
      <c r="R100" s="173"/>
      <c r="S100" s="195">
        <f>MATCH($D100,Reference!$J$5:$J$9,0)</f>
        <v>1</v>
      </c>
      <c r="T100" s="195">
        <f>MATCH($E100,Reference!$J$26:$J$32,0)</f>
        <v>1</v>
      </c>
      <c r="U100" s="195">
        <f>MATCH($F100,Reference!$J$45:$J$54,0)</f>
        <v>10</v>
      </c>
      <c r="V100" s="196">
        <f>MATCH($K100,Reference!$J$37:$J$39,0)</f>
        <v>3</v>
      </c>
      <c r="W100" s="197">
        <f t="shared" si="0"/>
        <v>2</v>
      </c>
      <c r="X100" s="197">
        <f t="shared" si="1"/>
        <v>1</v>
      </c>
      <c r="Y100" s="198">
        <v>0</v>
      </c>
      <c r="Z100" s="197">
        <f t="shared" si="2"/>
        <v>2</v>
      </c>
      <c r="AA100" s="199" t="b">
        <f t="shared" si="3"/>
        <v>0</v>
      </c>
      <c r="AB100" s="199" t="b">
        <f t="shared" si="4"/>
        <v>0</v>
      </c>
      <c r="AC100" s="200">
        <f t="shared" ref="AC100:AD100" si="171">1-I100</f>
        <v>0</v>
      </c>
      <c r="AD100" s="200">
        <f t="shared" si="171"/>
        <v>0</v>
      </c>
      <c r="AE100" s="199">
        <f t="shared" si="6"/>
        <v>2</v>
      </c>
      <c r="AF100" s="201">
        <f t="shared" si="7"/>
        <v>0</v>
      </c>
      <c r="AG100" s="201">
        <f t="shared" si="8"/>
        <v>1</v>
      </c>
      <c r="AH100" s="202">
        <f t="shared" si="9"/>
        <v>0</v>
      </c>
      <c r="AI100" s="205"/>
      <c r="AJ100" s="262" t="s">
        <v>224</v>
      </c>
      <c r="AK100" s="263">
        <f t="shared" ref="AK100:AP100" si="172">SUM(AK88:AK92)</f>
        <v>52</v>
      </c>
      <c r="AL100" s="264">
        <f t="shared" si="172"/>
        <v>57</v>
      </c>
      <c r="AM100" s="263">
        <f t="shared" si="172"/>
        <v>25</v>
      </c>
      <c r="AN100" s="264">
        <f t="shared" si="172"/>
        <v>25</v>
      </c>
      <c r="AO100" s="263">
        <f t="shared" si="172"/>
        <v>0</v>
      </c>
      <c r="AP100" s="264">
        <f t="shared" si="172"/>
        <v>0</v>
      </c>
      <c r="AQ100" s="263">
        <f>SUM(AQ88:AQ92)</f>
        <v>1</v>
      </c>
      <c r="AR100" s="264">
        <f>SUM(AR88:AR92)</f>
        <v>1</v>
      </c>
      <c r="AS100" s="263">
        <f>SUM(AS88:AS92)</f>
        <v>6</v>
      </c>
      <c r="AT100" s="264">
        <f>SUM(AT88:AT92)</f>
        <v>8</v>
      </c>
      <c r="AU100" s="263">
        <f t="shared" ref="AU100:BD100" si="173">SUM(AU88:AU92)</f>
        <v>2</v>
      </c>
      <c r="AV100" s="264">
        <f t="shared" si="173"/>
        <v>2</v>
      </c>
      <c r="AW100" s="263">
        <f t="shared" si="173"/>
        <v>9</v>
      </c>
      <c r="AX100" s="264">
        <f t="shared" si="173"/>
        <v>9</v>
      </c>
      <c r="AY100" s="263">
        <f t="shared" si="173"/>
        <v>3</v>
      </c>
      <c r="AZ100" s="264">
        <f t="shared" si="173"/>
        <v>3</v>
      </c>
      <c r="BA100" s="263">
        <f t="shared" si="173"/>
        <v>6</v>
      </c>
      <c r="BB100" s="264">
        <f t="shared" si="173"/>
        <v>9</v>
      </c>
      <c r="BC100" s="263">
        <f t="shared" si="173"/>
        <v>0</v>
      </c>
      <c r="BD100" s="264">
        <f t="shared" si="173"/>
        <v>0</v>
      </c>
    </row>
    <row r="101" spans="1:56" ht="14.25">
      <c r="A101" s="187"/>
      <c r="B101" s="188">
        <v>4</v>
      </c>
      <c r="C101" s="189" t="s">
        <v>355</v>
      </c>
      <c r="D101" s="190" t="s">
        <v>58</v>
      </c>
      <c r="E101" s="190" t="s">
        <v>58</v>
      </c>
      <c r="F101" s="190" t="s">
        <v>115</v>
      </c>
      <c r="G101" s="215">
        <v>2</v>
      </c>
      <c r="H101" s="191">
        <f>COUNTIFS(Reference!D:D,VLOOKUP(C101,Reference!B:D,3,0),Reference!C:C,"&lt;="&amp;VLOOKUP(VLOOKUP(C101,Reference!B:D,3,0),Setup!$C$9:$D$17,2,0),Reference!B:B,C101)</f>
        <v>0</v>
      </c>
      <c r="I101" s="192">
        <v>1</v>
      </c>
      <c r="J101" s="192">
        <v>1</v>
      </c>
      <c r="K101" s="215" t="s">
        <v>182</v>
      </c>
      <c r="L101" s="191"/>
      <c r="M101" s="215">
        <v>2</v>
      </c>
      <c r="N101" s="215">
        <v>5</v>
      </c>
      <c r="O101" s="193" t="s">
        <v>231</v>
      </c>
      <c r="P101" s="194" t="s">
        <v>232</v>
      </c>
      <c r="Q101" s="190" t="s">
        <v>148</v>
      </c>
      <c r="R101" s="173"/>
      <c r="S101" s="195">
        <f>MATCH($D101,Reference!$J$5:$J$9,0)</f>
        <v>1</v>
      </c>
      <c r="T101" s="195">
        <f>MATCH($E101,Reference!$J$26:$J$32,0)</f>
        <v>1</v>
      </c>
      <c r="U101" s="195">
        <f>MATCH($F101,Reference!$J$45:$J$54,0)</f>
        <v>10</v>
      </c>
      <c r="V101" s="196">
        <f>MATCH($K101,Reference!$J$37:$J$39,0)</f>
        <v>3</v>
      </c>
      <c r="W101" s="197">
        <f t="shared" si="0"/>
        <v>2</v>
      </c>
      <c r="X101" s="197">
        <f t="shared" si="1"/>
        <v>1</v>
      </c>
      <c r="Y101" s="198">
        <v>0</v>
      </c>
      <c r="Z101" s="197">
        <f t="shared" si="2"/>
        <v>2</v>
      </c>
      <c r="AA101" s="199" t="b">
        <f t="shared" si="3"/>
        <v>0</v>
      </c>
      <c r="AB101" s="199" t="b">
        <f t="shared" si="4"/>
        <v>0</v>
      </c>
      <c r="AC101" s="200">
        <f t="shared" ref="AC101:AD101" si="174">1-I101</f>
        <v>0</v>
      </c>
      <c r="AD101" s="200">
        <f t="shared" si="174"/>
        <v>0</v>
      </c>
      <c r="AE101" s="199">
        <f t="shared" si="6"/>
        <v>2</v>
      </c>
      <c r="AF101" s="201">
        <f t="shared" si="7"/>
        <v>0</v>
      </c>
      <c r="AG101" s="201">
        <f t="shared" si="8"/>
        <v>1</v>
      </c>
      <c r="AH101" s="202">
        <f t="shared" si="9"/>
        <v>0</v>
      </c>
      <c r="AI101" s="205"/>
      <c r="AJ101" s="265" t="s">
        <v>240</v>
      </c>
      <c r="AK101" s="266">
        <f t="shared" ref="AK101:AL101" si="175">SUM(AK94:AK98)</f>
        <v>98</v>
      </c>
      <c r="AL101" s="267">
        <f t="shared" si="175"/>
        <v>110</v>
      </c>
      <c r="AM101" s="266">
        <f t="shared" ref="AM101:AR101" si="176">SUM(AM94:AM98)</f>
        <v>49</v>
      </c>
      <c r="AN101" s="267">
        <f t="shared" si="176"/>
        <v>49</v>
      </c>
      <c r="AO101" s="266">
        <f t="shared" si="176"/>
        <v>0</v>
      </c>
      <c r="AP101" s="267">
        <f t="shared" si="176"/>
        <v>0</v>
      </c>
      <c r="AQ101" s="266">
        <f t="shared" si="176"/>
        <v>2</v>
      </c>
      <c r="AR101" s="267">
        <f t="shared" si="176"/>
        <v>2</v>
      </c>
      <c r="AS101" s="266">
        <f>SUM(AS95:AS98)</f>
        <v>10</v>
      </c>
      <c r="AT101" s="267">
        <f>SUM(AT94:AT98)</f>
        <v>15</v>
      </c>
      <c r="AU101" s="266">
        <f t="shared" ref="AU101:BD101" si="177">SUM(AU94:AU98)</f>
        <v>4</v>
      </c>
      <c r="AV101" s="267">
        <f t="shared" si="177"/>
        <v>4</v>
      </c>
      <c r="AW101" s="266">
        <f t="shared" si="177"/>
        <v>15</v>
      </c>
      <c r="AX101" s="267">
        <f t="shared" si="177"/>
        <v>17</v>
      </c>
      <c r="AY101" s="266">
        <f t="shared" si="177"/>
        <v>6</v>
      </c>
      <c r="AZ101" s="267">
        <f t="shared" si="177"/>
        <v>6</v>
      </c>
      <c r="BA101" s="266">
        <f t="shared" si="177"/>
        <v>12</v>
      </c>
      <c r="BB101" s="267">
        <f t="shared" si="177"/>
        <v>17</v>
      </c>
      <c r="BC101" s="266">
        <f t="shared" si="177"/>
        <v>0</v>
      </c>
      <c r="BD101" s="267">
        <f t="shared" si="177"/>
        <v>0</v>
      </c>
    </row>
    <row r="102" spans="1:56" ht="14.25">
      <c r="A102" s="187"/>
      <c r="B102" s="217">
        <v>4</v>
      </c>
      <c r="C102" s="218" t="s">
        <v>356</v>
      </c>
      <c r="D102" s="190" t="s">
        <v>58</v>
      </c>
      <c r="E102" s="190" t="s">
        <v>58</v>
      </c>
      <c r="F102" s="190" t="s">
        <v>8</v>
      </c>
      <c r="G102" s="191">
        <f>COUNTIFS(Reference!F:F,C102,Reference!G:G,"&lt;="&amp;VLOOKUP($F102,Setup!$C$9:$D$17,2,0))</f>
        <v>2</v>
      </c>
      <c r="H102" s="191">
        <f>COUNTIFS(Reference!B:B,C102,Reference!C:C,"&lt;="&amp;VLOOKUP("Druid",Setup!$C$9:$D$17,2,0))</f>
        <v>0</v>
      </c>
      <c r="I102" s="192">
        <v>1</v>
      </c>
      <c r="J102" s="192">
        <v>1</v>
      </c>
      <c r="K102" s="191" t="s">
        <v>146</v>
      </c>
      <c r="L102" s="191"/>
      <c r="M102" s="191"/>
      <c r="N102" s="191"/>
      <c r="O102" s="193" t="s">
        <v>357</v>
      </c>
      <c r="P102" s="194"/>
      <c r="Q102" s="190" t="s">
        <v>148</v>
      </c>
      <c r="R102" s="173"/>
      <c r="S102" s="195">
        <f>MATCH($D102,Reference!$J$5:$J$9,0)</f>
        <v>1</v>
      </c>
      <c r="T102" s="195">
        <f>MATCH($E102,Reference!$J$26:$J$32,0)</f>
        <v>1</v>
      </c>
      <c r="U102" s="195">
        <f>MATCH($F102,Reference!$J$45:$J$54,0)</f>
        <v>1</v>
      </c>
      <c r="V102" s="196">
        <f>MATCH($K102,Reference!$J$37:$J$39,0)</f>
        <v>2</v>
      </c>
      <c r="W102" s="197">
        <f t="shared" si="0"/>
        <v>2</v>
      </c>
      <c r="X102" s="197">
        <f t="shared" si="1"/>
        <v>1</v>
      </c>
      <c r="Y102" s="198">
        <v>0</v>
      </c>
      <c r="Z102" s="197">
        <f t="shared" si="2"/>
        <v>2</v>
      </c>
      <c r="AA102" s="199" t="b">
        <f t="shared" si="3"/>
        <v>0</v>
      </c>
      <c r="AB102" s="199" t="b">
        <f t="shared" si="4"/>
        <v>0</v>
      </c>
      <c r="AC102" s="200">
        <f t="shared" ref="AC102:AD102" si="178">1-I102</f>
        <v>0</v>
      </c>
      <c r="AD102" s="200">
        <f t="shared" si="178"/>
        <v>0</v>
      </c>
      <c r="AE102" s="199">
        <f t="shared" si="6"/>
        <v>2</v>
      </c>
      <c r="AF102" s="201">
        <f t="shared" si="7"/>
        <v>0</v>
      </c>
      <c r="AG102" s="201">
        <f t="shared" si="8"/>
        <v>1</v>
      </c>
      <c r="AH102" s="202">
        <f t="shared" si="9"/>
        <v>0</v>
      </c>
      <c r="AI102" s="205"/>
      <c r="AJ102" s="173"/>
      <c r="AK102" s="173"/>
      <c r="AL102" s="173"/>
      <c r="AM102" s="173"/>
      <c r="AN102" s="173"/>
      <c r="AO102" s="173"/>
      <c r="AP102" s="173"/>
      <c r="AQ102" s="173"/>
      <c r="AR102" s="173"/>
      <c r="AS102" s="173"/>
      <c r="AT102" s="173"/>
      <c r="AU102" s="173"/>
      <c r="AV102" s="173"/>
    </row>
    <row r="103" spans="1:56" ht="14.25">
      <c r="A103" s="211"/>
      <c r="B103" s="188">
        <v>4</v>
      </c>
      <c r="C103" s="189" t="s">
        <v>358</v>
      </c>
      <c r="D103" s="190" t="s">
        <v>58</v>
      </c>
      <c r="E103" s="190" t="s">
        <v>58</v>
      </c>
      <c r="F103" s="190" t="s">
        <v>16</v>
      </c>
      <c r="G103" s="191">
        <f>COUNTIFS(Reference!F:F,C103,Reference!G:G,"&lt;="&amp;VLOOKUP($F103,Setup!$C$9:$D$17,2,0))</f>
        <v>2</v>
      </c>
      <c r="H103" s="191">
        <f>COUNTIFS(Reference!B:B,C103,Reference!C:C,"&lt;="&amp;VLOOKUP("Paladin",Setup!$C$9:$D$17,2,0))</f>
        <v>0</v>
      </c>
      <c r="I103" s="192">
        <v>1</v>
      </c>
      <c r="J103" s="192">
        <v>1</v>
      </c>
      <c r="K103" s="191" t="s">
        <v>207</v>
      </c>
      <c r="L103" s="191"/>
      <c r="M103" s="191">
        <v>4</v>
      </c>
      <c r="N103" s="191">
        <v>2</v>
      </c>
      <c r="O103" s="193" t="s">
        <v>359</v>
      </c>
      <c r="P103" s="194"/>
      <c r="Q103" s="190" t="s">
        <v>148</v>
      </c>
      <c r="R103" s="173"/>
      <c r="S103" s="195">
        <f>MATCH($D103,Reference!$J$5:$J$9,0)</f>
        <v>1</v>
      </c>
      <c r="T103" s="195">
        <f>MATCH($E103,Reference!$J$26:$J$32,0)</f>
        <v>1</v>
      </c>
      <c r="U103" s="195">
        <f>MATCH($F103,Reference!$J$45:$J$54,0)</f>
        <v>4</v>
      </c>
      <c r="V103" s="196">
        <f>MATCH($K103,Reference!$J$37:$J$39,0)</f>
        <v>1</v>
      </c>
      <c r="W103" s="197">
        <f t="shared" si="0"/>
        <v>2</v>
      </c>
      <c r="X103" s="197">
        <f t="shared" si="1"/>
        <v>1</v>
      </c>
      <c r="Y103" s="198">
        <v>0</v>
      </c>
      <c r="Z103" s="197">
        <f t="shared" si="2"/>
        <v>2</v>
      </c>
      <c r="AA103" s="199" t="b">
        <f t="shared" si="3"/>
        <v>0</v>
      </c>
      <c r="AB103" s="199" t="b">
        <f t="shared" si="4"/>
        <v>0</v>
      </c>
      <c r="AC103" s="200">
        <f t="shared" ref="AC103:AD103" si="179">1-I103</f>
        <v>0</v>
      </c>
      <c r="AD103" s="200">
        <f t="shared" si="179"/>
        <v>0</v>
      </c>
      <c r="AE103" s="199">
        <f t="shared" si="6"/>
        <v>2</v>
      </c>
      <c r="AF103" s="201">
        <f t="shared" si="7"/>
        <v>0</v>
      </c>
      <c r="AG103" s="201">
        <f t="shared" si="8"/>
        <v>1</v>
      </c>
      <c r="AH103" s="202">
        <f t="shared" si="9"/>
        <v>0</v>
      </c>
      <c r="AI103" s="205"/>
      <c r="AJ103" s="173"/>
      <c r="AK103" s="173"/>
      <c r="AL103" s="173"/>
      <c r="AM103" s="173"/>
      <c r="AN103" s="173"/>
      <c r="AO103" s="173"/>
      <c r="AP103" s="173"/>
      <c r="AQ103" s="173"/>
      <c r="AR103" s="173"/>
      <c r="AS103" s="173"/>
      <c r="AT103" s="173"/>
      <c r="AU103" s="173"/>
      <c r="AV103" s="173"/>
    </row>
    <row r="104" spans="1:56">
      <c r="A104" s="187"/>
      <c r="B104" s="188">
        <v>4</v>
      </c>
      <c r="C104" s="189" t="s">
        <v>360</v>
      </c>
      <c r="D104" s="190" t="s">
        <v>58</v>
      </c>
      <c r="E104" s="190" t="s">
        <v>58</v>
      </c>
      <c r="F104" s="190" t="s">
        <v>13</v>
      </c>
      <c r="G104" s="191">
        <f>COUNTIFS(Reference!F:F,C104,Reference!G:G,"&lt;="&amp;VLOOKUP($F104,Setup!$C$9:$D$17,2,0))</f>
        <v>2</v>
      </c>
      <c r="H104" s="191">
        <f>COUNTIFS(Reference!B:B,C104,Reference!C:C,"&lt;="&amp;VLOOKUP("Mage",Setup!$C$9:$D$17,2,0))</f>
        <v>0</v>
      </c>
      <c r="I104" s="192">
        <v>1</v>
      </c>
      <c r="J104" s="192">
        <v>1</v>
      </c>
      <c r="K104" s="191" t="s">
        <v>182</v>
      </c>
      <c r="L104" s="191"/>
      <c r="M104" s="191">
        <v>3</v>
      </c>
      <c r="N104" s="191">
        <v>6</v>
      </c>
      <c r="O104" s="193" t="s">
        <v>361</v>
      </c>
      <c r="P104" s="194"/>
      <c r="Q104" s="190" t="s">
        <v>148</v>
      </c>
      <c r="R104" s="173"/>
      <c r="S104" s="195">
        <f>MATCH($D104,Reference!$J$5:$J$9,0)</f>
        <v>1</v>
      </c>
      <c r="T104" s="195">
        <f>MATCH($E104,Reference!$J$26:$J$32,0)</f>
        <v>1</v>
      </c>
      <c r="U104" s="195">
        <f>MATCH($F104,Reference!$J$45:$J$54,0)</f>
        <v>3</v>
      </c>
      <c r="V104" s="196">
        <f>MATCH($K104,Reference!$J$37:$J$39,0)</f>
        <v>3</v>
      </c>
      <c r="W104" s="197">
        <f t="shared" si="0"/>
        <v>2</v>
      </c>
      <c r="X104" s="197">
        <f t="shared" si="1"/>
        <v>1</v>
      </c>
      <c r="Y104" s="198">
        <v>0</v>
      </c>
      <c r="Z104" s="197">
        <f t="shared" si="2"/>
        <v>2</v>
      </c>
      <c r="AA104" s="199" t="b">
        <f t="shared" si="3"/>
        <v>0</v>
      </c>
      <c r="AB104" s="199" t="b">
        <f t="shared" si="4"/>
        <v>0</v>
      </c>
      <c r="AC104" s="200">
        <f t="shared" ref="AC104:AD104" si="180">1-I104</f>
        <v>0</v>
      </c>
      <c r="AD104" s="200">
        <f t="shared" si="180"/>
        <v>0</v>
      </c>
      <c r="AE104" s="199">
        <f t="shared" si="6"/>
        <v>2</v>
      </c>
      <c r="AF104" s="201">
        <f t="shared" si="7"/>
        <v>0</v>
      </c>
      <c r="AG104" s="201">
        <f t="shared" si="8"/>
        <v>1</v>
      </c>
      <c r="AH104" s="202">
        <f t="shared" si="9"/>
        <v>0</v>
      </c>
      <c r="AI104" s="205"/>
      <c r="AJ104" s="1134" t="s">
        <v>16</v>
      </c>
      <c r="AK104" s="1102"/>
      <c r="AL104" s="1102"/>
      <c r="AM104" s="1102"/>
      <c r="AN104" s="1102"/>
      <c r="AO104" s="1102"/>
      <c r="AP104" s="1102"/>
      <c r="AQ104" s="1102"/>
      <c r="AR104" s="1102"/>
      <c r="AS104" s="1102"/>
      <c r="AT104" s="1102"/>
      <c r="AU104" s="1102"/>
      <c r="AV104" s="1102"/>
      <c r="AW104" s="1102"/>
      <c r="AX104" s="1102"/>
      <c r="AY104" s="1102"/>
      <c r="AZ104" s="1102"/>
      <c r="BA104" s="1102"/>
      <c r="BB104" s="1102"/>
      <c r="BC104" s="1102"/>
      <c r="BD104" s="1102"/>
    </row>
    <row r="105" spans="1:56" ht="14.25">
      <c r="A105" s="187"/>
      <c r="B105" s="217">
        <v>4</v>
      </c>
      <c r="C105" s="218" t="s">
        <v>362</v>
      </c>
      <c r="D105" s="190" t="s">
        <v>58</v>
      </c>
      <c r="E105" s="190" t="s">
        <v>58</v>
      </c>
      <c r="F105" s="190" t="s">
        <v>21</v>
      </c>
      <c r="G105" s="191">
        <f>COUNTIFS(Reference!F:F,C105,Reference!G:G,"&lt;="&amp;VLOOKUP($F105,Setup!$C$9:$D$17,2,0))</f>
        <v>2</v>
      </c>
      <c r="H105" s="191">
        <f>COUNTIFS(Reference!B:B,C105,Reference!C:C,"&lt;="&amp;VLOOKUP("Shaman",Setup!$C$9:$D$17,2,0))</f>
        <v>0</v>
      </c>
      <c r="I105" s="192">
        <v>1</v>
      </c>
      <c r="J105" s="192">
        <v>1</v>
      </c>
      <c r="K105" s="191" t="s">
        <v>182</v>
      </c>
      <c r="L105" s="191"/>
      <c r="M105" s="191">
        <v>3</v>
      </c>
      <c r="N105" s="191">
        <v>3</v>
      </c>
      <c r="O105" s="193" t="s">
        <v>363</v>
      </c>
      <c r="P105" s="194" t="s">
        <v>275</v>
      </c>
      <c r="Q105" s="190" t="s">
        <v>148</v>
      </c>
      <c r="R105" s="173"/>
      <c r="S105" s="195">
        <f>MATCH($D105,Reference!$J$5:$J$9,0)</f>
        <v>1</v>
      </c>
      <c r="T105" s="195">
        <f>MATCH($E105,Reference!$J$26:$J$32,0)</f>
        <v>1</v>
      </c>
      <c r="U105" s="195">
        <f>MATCH($F105,Reference!$J$45:$J$54,0)</f>
        <v>7</v>
      </c>
      <c r="V105" s="196">
        <f>MATCH($K105,Reference!$J$37:$J$39,0)</f>
        <v>3</v>
      </c>
      <c r="W105" s="197">
        <f t="shared" si="0"/>
        <v>2</v>
      </c>
      <c r="X105" s="197">
        <f t="shared" si="1"/>
        <v>1</v>
      </c>
      <c r="Y105" s="198">
        <v>0</v>
      </c>
      <c r="Z105" s="197">
        <f t="shared" si="2"/>
        <v>2</v>
      </c>
      <c r="AA105" s="199" t="b">
        <f t="shared" si="3"/>
        <v>0</v>
      </c>
      <c r="AB105" s="199" t="b">
        <f t="shared" si="4"/>
        <v>0</v>
      </c>
      <c r="AC105" s="200">
        <f t="shared" ref="AC105:AD105" si="181">1-I105</f>
        <v>0</v>
      </c>
      <c r="AD105" s="200">
        <f t="shared" si="181"/>
        <v>0</v>
      </c>
      <c r="AE105" s="199">
        <f t="shared" si="6"/>
        <v>2</v>
      </c>
      <c r="AF105" s="201">
        <f t="shared" si="7"/>
        <v>0</v>
      </c>
      <c r="AG105" s="201">
        <f t="shared" si="8"/>
        <v>1</v>
      </c>
      <c r="AH105" s="202">
        <f t="shared" si="9"/>
        <v>0</v>
      </c>
      <c r="AI105" s="205"/>
      <c r="AJ105" s="224" t="s">
        <v>122</v>
      </c>
      <c r="AK105" s="1133" t="s">
        <v>22</v>
      </c>
      <c r="AL105" s="1102"/>
      <c r="AM105" s="1133" t="s">
        <v>77</v>
      </c>
      <c r="AN105" s="1102"/>
      <c r="AO105" s="1133" t="s">
        <v>78</v>
      </c>
      <c r="AP105" s="1102"/>
      <c r="AQ105" s="1133" t="s">
        <v>79</v>
      </c>
      <c r="AR105" s="1102"/>
      <c r="AS105" s="1133" t="s">
        <v>80</v>
      </c>
      <c r="AT105" s="1102"/>
      <c r="AU105" s="1133" t="s">
        <v>220</v>
      </c>
      <c r="AV105" s="1102"/>
      <c r="AW105" s="1133" t="s">
        <v>82</v>
      </c>
      <c r="AX105" s="1102"/>
      <c r="AY105" s="1133" t="s">
        <v>84</v>
      </c>
      <c r="AZ105" s="1102"/>
      <c r="BA105" s="1133" t="s">
        <v>73</v>
      </c>
      <c r="BB105" s="1102"/>
      <c r="BC105" s="1133" t="s">
        <v>221</v>
      </c>
      <c r="BD105" s="1102"/>
    </row>
    <row r="106" spans="1:56" ht="14.25">
      <c r="A106" s="187"/>
      <c r="B106" s="188">
        <v>5</v>
      </c>
      <c r="C106" s="189" t="s">
        <v>364</v>
      </c>
      <c r="D106" s="190" t="s">
        <v>58</v>
      </c>
      <c r="E106" s="190" t="s">
        <v>58</v>
      </c>
      <c r="F106" s="190" t="s">
        <v>26</v>
      </c>
      <c r="G106" s="191">
        <f>COUNTIFS(Reference!F:F,C106,Reference!G:G,"&lt;="&amp;VLOOKUP($F106,Setup!$C$9:$D$17,2,0))</f>
        <v>2</v>
      </c>
      <c r="H106" s="191">
        <f>COUNTIFS(Reference!B:B,C106,Reference!C:C,"&lt;="&amp;VLOOKUP("Warrior",Setup!$C$9:$D$17,2,0))</f>
        <v>0</v>
      </c>
      <c r="I106" s="192">
        <v>1</v>
      </c>
      <c r="J106" s="192">
        <v>1</v>
      </c>
      <c r="K106" s="191" t="s">
        <v>207</v>
      </c>
      <c r="L106" s="191"/>
      <c r="M106" s="191">
        <v>5</v>
      </c>
      <c r="N106" s="191">
        <v>2</v>
      </c>
      <c r="O106" s="193"/>
      <c r="P106" s="194"/>
      <c r="Q106" s="190" t="s">
        <v>148</v>
      </c>
      <c r="R106" s="173"/>
      <c r="S106" s="195">
        <f>MATCH($D106,Reference!$J$5:$J$9,0)</f>
        <v>1</v>
      </c>
      <c r="T106" s="195">
        <f>MATCH($E106,Reference!$J$26:$J$32,0)</f>
        <v>1</v>
      </c>
      <c r="U106" s="195">
        <f>MATCH($F106,Reference!$J$45:$J$54,0)</f>
        <v>9</v>
      </c>
      <c r="V106" s="196">
        <f>MATCH($K106,Reference!$J$37:$J$39,0)</f>
        <v>1</v>
      </c>
      <c r="W106" s="197">
        <f t="shared" si="0"/>
        <v>2</v>
      </c>
      <c r="X106" s="197">
        <f t="shared" si="1"/>
        <v>1</v>
      </c>
      <c r="Y106" s="198">
        <v>0</v>
      </c>
      <c r="Z106" s="197">
        <f t="shared" si="2"/>
        <v>2</v>
      </c>
      <c r="AA106" s="199" t="b">
        <f t="shared" si="3"/>
        <v>0</v>
      </c>
      <c r="AB106" s="199" t="b">
        <f t="shared" si="4"/>
        <v>0</v>
      </c>
      <c r="AC106" s="200">
        <f t="shared" ref="AC106:AD106" si="182">1-I106</f>
        <v>0</v>
      </c>
      <c r="AD106" s="200">
        <f t="shared" si="182"/>
        <v>0</v>
      </c>
      <c r="AE106" s="199">
        <f t="shared" si="6"/>
        <v>2</v>
      </c>
      <c r="AF106" s="201">
        <f t="shared" si="7"/>
        <v>0</v>
      </c>
      <c r="AG106" s="201">
        <f t="shared" si="8"/>
        <v>1</v>
      </c>
      <c r="AH106" s="202">
        <f t="shared" si="9"/>
        <v>0</v>
      </c>
      <c r="AI106" s="205"/>
      <c r="AJ106" s="225" t="s">
        <v>224</v>
      </c>
      <c r="AK106" s="226"/>
      <c r="AL106" s="227"/>
      <c r="AM106" s="226"/>
      <c r="AN106" s="227"/>
      <c r="AO106" s="228"/>
      <c r="AP106" s="227"/>
      <c r="AQ106" s="226"/>
      <c r="AR106" s="227"/>
      <c r="AS106" s="228"/>
      <c r="AT106" s="227"/>
      <c r="AU106" s="226"/>
      <c r="AV106" s="227"/>
      <c r="AW106" s="229"/>
      <c r="AX106" s="230"/>
      <c r="AY106" s="229"/>
      <c r="AZ106" s="230"/>
      <c r="BA106" s="229"/>
      <c r="BB106" s="230"/>
      <c r="BC106" s="229"/>
      <c r="BD106" s="230"/>
    </row>
    <row r="107" spans="1:56" ht="14.25">
      <c r="A107" s="187"/>
      <c r="B107" s="217">
        <v>5</v>
      </c>
      <c r="C107" s="218" t="s">
        <v>365</v>
      </c>
      <c r="D107" s="190" t="s">
        <v>58</v>
      </c>
      <c r="E107" s="190" t="s">
        <v>58</v>
      </c>
      <c r="F107" s="190" t="s">
        <v>20</v>
      </c>
      <c r="G107" s="191">
        <f>COUNTIFS(Reference!F:F,C107,Reference!G:G,"&lt;="&amp;VLOOKUP($F107,Setup!$C$9:$D$17,2,0))</f>
        <v>2</v>
      </c>
      <c r="H107" s="191">
        <f>COUNTIFS(Reference!B:B,C107,Reference!C:C,"&lt;="&amp;VLOOKUP("Rogue",Setup!$C$9:$D$17,2,0))</f>
        <v>0</v>
      </c>
      <c r="I107" s="192">
        <v>1</v>
      </c>
      <c r="J107" s="192">
        <v>1</v>
      </c>
      <c r="K107" s="191" t="s">
        <v>207</v>
      </c>
      <c r="L107" s="191"/>
      <c r="M107" s="191">
        <v>3</v>
      </c>
      <c r="N107" s="191">
        <v>4</v>
      </c>
      <c r="O107" s="193"/>
      <c r="P107" s="194"/>
      <c r="Q107" s="190" t="s">
        <v>148</v>
      </c>
      <c r="R107" s="278"/>
      <c r="S107" s="195">
        <f>MATCH($D107,Reference!$J$5:$J$9,0)</f>
        <v>1</v>
      </c>
      <c r="T107" s="195">
        <f>MATCH($E107,Reference!$J$26:$J$32,0)</f>
        <v>1</v>
      </c>
      <c r="U107" s="195">
        <f>MATCH($F107,Reference!$J$45:$J$54,0)</f>
        <v>6</v>
      </c>
      <c r="V107" s="196">
        <f>MATCH($K107,Reference!$J$37:$J$39,0)</f>
        <v>1</v>
      </c>
      <c r="W107" s="197">
        <f t="shared" si="0"/>
        <v>2</v>
      </c>
      <c r="X107" s="197">
        <f t="shared" si="1"/>
        <v>1</v>
      </c>
      <c r="Y107" s="198">
        <v>0</v>
      </c>
      <c r="Z107" s="197">
        <f t="shared" si="2"/>
        <v>2</v>
      </c>
      <c r="AA107" s="199" t="b">
        <f t="shared" si="3"/>
        <v>0</v>
      </c>
      <c r="AB107" s="199" t="b">
        <f t="shared" si="4"/>
        <v>0</v>
      </c>
      <c r="AC107" s="200">
        <f t="shared" ref="AC107:AD107" si="183">1-I107</f>
        <v>0</v>
      </c>
      <c r="AD107" s="200">
        <f t="shared" si="183"/>
        <v>0</v>
      </c>
      <c r="AE107" s="199">
        <f t="shared" si="6"/>
        <v>2</v>
      </c>
      <c r="AF107" s="201">
        <f t="shared" si="7"/>
        <v>0</v>
      </c>
      <c r="AG107" s="201">
        <f t="shared" si="8"/>
        <v>1</v>
      </c>
      <c r="AH107" s="202">
        <f t="shared" si="9"/>
        <v>0</v>
      </c>
      <c r="AI107" s="205"/>
      <c r="AJ107" s="231" t="s">
        <v>58</v>
      </c>
      <c r="AK107" s="232">
        <f t="shared" ref="AK107:AL107" si="184">SUM(AO107+AM107+AQ107+AS107+AU107+AW107+AY107+BA107+BC107)</f>
        <v>10</v>
      </c>
      <c r="AL107" s="232">
        <f t="shared" si="184"/>
        <v>10</v>
      </c>
      <c r="AM107" s="191">
        <f>SUMIFS($X$2:$X879, $E$2:$E879, "Basic", $F$2:F879, "Paladin")</f>
        <v>10</v>
      </c>
      <c r="AN107" s="191">
        <f>COUNTIFS($E$2:$E879, "Basic", $E$2:$E879, "Basic", $F$2:F879, "Paladin" )</f>
        <v>10</v>
      </c>
      <c r="AO107" s="234"/>
      <c r="AP107" s="235"/>
      <c r="AQ107" s="191"/>
      <c r="AR107" s="235"/>
      <c r="AS107" s="234"/>
      <c r="AT107" s="235"/>
      <c r="AU107" s="191"/>
      <c r="AV107" s="235"/>
      <c r="AW107" s="191"/>
      <c r="AX107" s="235"/>
      <c r="AY107" s="191"/>
      <c r="AZ107" s="235"/>
      <c r="BA107" s="191"/>
      <c r="BB107" s="235"/>
      <c r="BC107" s="191"/>
      <c r="BD107" s="235"/>
    </row>
    <row r="108" spans="1:56" ht="14.25">
      <c r="A108" s="240"/>
      <c r="B108" s="217">
        <v>5</v>
      </c>
      <c r="C108" s="218" t="s">
        <v>366</v>
      </c>
      <c r="D108" s="190" t="s">
        <v>58</v>
      </c>
      <c r="E108" s="190" t="s">
        <v>58</v>
      </c>
      <c r="F108" s="190" t="s">
        <v>20</v>
      </c>
      <c r="G108" s="191">
        <f>COUNTIFS(Reference!F:F,C108,Reference!G:G,"&lt;="&amp;VLOOKUP($F108,Setup!$C$9:$D$17,2,0))</f>
        <v>2</v>
      </c>
      <c r="H108" s="191">
        <f>COUNTIFS(Reference!B:B,C108,Reference!C:C,"&lt;="&amp;VLOOKUP("Rogue",Setup!$C$9:$D$17,2,0))</f>
        <v>0</v>
      </c>
      <c r="I108" s="192">
        <v>1</v>
      </c>
      <c r="J108" s="192">
        <v>1</v>
      </c>
      <c r="K108" s="191" t="s">
        <v>146</v>
      </c>
      <c r="L108" s="191"/>
      <c r="M108" s="191"/>
      <c r="N108" s="191"/>
      <c r="O108" s="193" t="s">
        <v>367</v>
      </c>
      <c r="P108" s="194"/>
      <c r="Q108" s="190" t="s">
        <v>148</v>
      </c>
      <c r="R108" s="173"/>
      <c r="S108" s="195">
        <f>MATCH($D108,Reference!$J$5:$J$9,0)</f>
        <v>1</v>
      </c>
      <c r="T108" s="195">
        <f>MATCH($E108,Reference!$J$26:$J$32,0)</f>
        <v>1</v>
      </c>
      <c r="U108" s="195">
        <f>MATCH($F108,Reference!$J$45:$J$54,0)</f>
        <v>6</v>
      </c>
      <c r="V108" s="196">
        <f>MATCH($K108,Reference!$J$37:$J$39,0)</f>
        <v>2</v>
      </c>
      <c r="W108" s="197">
        <f t="shared" si="0"/>
        <v>2</v>
      </c>
      <c r="X108" s="197">
        <f t="shared" si="1"/>
        <v>1</v>
      </c>
      <c r="Y108" s="198">
        <v>0</v>
      </c>
      <c r="Z108" s="197">
        <f t="shared" si="2"/>
        <v>2</v>
      </c>
      <c r="AA108" s="199" t="b">
        <f t="shared" si="3"/>
        <v>0</v>
      </c>
      <c r="AB108" s="199" t="b">
        <f t="shared" si="4"/>
        <v>0</v>
      </c>
      <c r="AC108" s="200">
        <f t="shared" ref="AC108:AD108" si="185">1-I108</f>
        <v>0</v>
      </c>
      <c r="AD108" s="200">
        <f t="shared" si="185"/>
        <v>0</v>
      </c>
      <c r="AE108" s="199">
        <f t="shared" si="6"/>
        <v>2</v>
      </c>
      <c r="AF108" s="201">
        <f t="shared" si="7"/>
        <v>0</v>
      </c>
      <c r="AG108" s="201">
        <f t="shared" si="8"/>
        <v>1</v>
      </c>
      <c r="AH108" s="202">
        <f t="shared" si="9"/>
        <v>0</v>
      </c>
      <c r="AI108" s="205"/>
      <c r="AJ108" s="236" t="s">
        <v>63</v>
      </c>
      <c r="AK108" s="237">
        <f t="shared" ref="AK108:AL108" si="186">SUM(AO108+AM108+AQ108+AS108+AU108+AW108+AY108+BA108+BC108)</f>
        <v>18</v>
      </c>
      <c r="AL108" s="237">
        <f t="shared" si="186"/>
        <v>18</v>
      </c>
      <c r="AM108" s="229">
        <f>SUMIFS($X$2:$X879, $D$2:$D879, "Common", $E$2:$E879, "Classic", $F$2:F879, "Paladin")</f>
        <v>6</v>
      </c>
      <c r="AN108" s="229">
        <f>COUNTIFS($D$2:$D879, "Common", $E$2:$E879, "Classic", $F$2:F879, "Paladin" )</f>
        <v>6</v>
      </c>
      <c r="AO108" s="268">
        <f>SUMIFS($X$2:$X879, $D$2:$D879, "Common", $E$2:$E879, "Promo", $F$2:F879, "Paladin")</f>
        <v>0</v>
      </c>
      <c r="AP108" s="230">
        <f>COUNTIFS($D$2:$D879, "Common", $E$2:$E879, "Promo", $F$2:F879, "Paladin" )</f>
        <v>0</v>
      </c>
      <c r="AQ108" s="229">
        <f>SUMIFS($X$2:$X879, $D$2:$D879, "Common", $E$2:$E879, "Naxx", $F$2:F879, "Paladin")</f>
        <v>1</v>
      </c>
      <c r="AR108" s="229">
        <f>COUNTIFS($D$2:$D879, "Common", $E$2:$E879, "Naxx", $F$2:F879, "Paladin" )</f>
        <v>1</v>
      </c>
      <c r="AS108" s="268">
        <f>SUMIFS($X$2:$X879, $D$2:$D879, "Common", $E$2:$E879, "GvG", $F$2:F879, "Paladin")</f>
        <v>2</v>
      </c>
      <c r="AT108" s="230">
        <f>COUNTIFS($D$2:$D879, "Common", $E$2:$E879, "GvG", $F$2:F879, "Paladin" )</f>
        <v>2</v>
      </c>
      <c r="AU108" s="229">
        <f>SUMIFS($X$2:$X879, $D$2:$D879, "Common", $E$2:$E879, "Blackrock", $F$2:F879, "Paladin")</f>
        <v>1</v>
      </c>
      <c r="AV108" s="229">
        <f>COUNTIFS($D$2:$D879, "Common", $E$2:$E879, "Blackrock", $F$2:F879, "Paladin" )</f>
        <v>1</v>
      </c>
      <c r="AW108" s="229">
        <f>SUMIFS($X$2:$X879, $D$2:$D879, "Common", $E$2:$E879, "TGT", $F$2:F879, "Paladin")</f>
        <v>3</v>
      </c>
      <c r="AX108" s="230">
        <f>COUNTIFS($D$2:$D879, "Common", $E$2:$E879, "TGT", $F$2:F879, "Paladin" )</f>
        <v>3</v>
      </c>
      <c r="AY108" s="229">
        <f>SUMIFS($X$2:$X879, $D$2:$D879, "Common", $E$2:$E879, "LoE", $F$2:F879, "Paladin")</f>
        <v>2</v>
      </c>
      <c r="AZ108" s="230">
        <f>COUNTIFS($D$2:$D879, "Common", $E$2:$E879, "LoE", $F$2:F879, "Paladin" )</f>
        <v>2</v>
      </c>
      <c r="BA108" s="229">
        <f>SUMIFS($X$2:$X879, $D$2:$D879, "Common", $E$2:$E879, "TOG", $F$2:F879, "Paladin")</f>
        <v>3</v>
      </c>
      <c r="BB108" s="230">
        <f>COUNTIFS($D$2:$D879, "Common", $E$2:$E879, "TOG", $F$2:F879, "Paladin" )</f>
        <v>3</v>
      </c>
      <c r="BC108" s="229">
        <f>SUMIFS($X$2:$X879, $D$2:$D879, "Common", $E$2:$E879, "Adv4", $F$2:F879, "Paladin")</f>
        <v>0</v>
      </c>
      <c r="BD108" s="230">
        <f>COUNTIFS($D$2:$D879, "Common", $E$2:$E879, "Adv4", $F$2:F879, "Paladin" )</f>
        <v>0</v>
      </c>
    </row>
    <row r="109" spans="1:56" ht="14.25">
      <c r="A109" s="211"/>
      <c r="B109" s="217">
        <v>5</v>
      </c>
      <c r="C109" s="218" t="s">
        <v>368</v>
      </c>
      <c r="D109" s="190" t="s">
        <v>58</v>
      </c>
      <c r="E109" s="190" t="s">
        <v>58</v>
      </c>
      <c r="F109" s="190" t="s">
        <v>21</v>
      </c>
      <c r="G109" s="191">
        <f>COUNTIFS(Reference!F:F,C109,Reference!G:G,"&lt;="&amp;VLOOKUP($F109,Setup!$C$9:$D$17,2,0))</f>
        <v>2</v>
      </c>
      <c r="H109" s="191">
        <f>COUNTIFS(Reference!B:B,C109,Reference!C:C,"&lt;="&amp;VLOOKUP("Shaman",Setup!$C$9:$D$17,2,0))</f>
        <v>0</v>
      </c>
      <c r="I109" s="192">
        <v>1</v>
      </c>
      <c r="J109" s="192">
        <v>1</v>
      </c>
      <c r="K109" s="191" t="s">
        <v>146</v>
      </c>
      <c r="L109" s="191"/>
      <c r="M109" s="191"/>
      <c r="N109" s="191"/>
      <c r="O109" s="193" t="s">
        <v>369</v>
      </c>
      <c r="P109" s="194"/>
      <c r="Q109" s="190" t="s">
        <v>148</v>
      </c>
      <c r="R109" s="173"/>
      <c r="S109" s="195">
        <f>MATCH($D109,Reference!$J$5:$J$9,0)</f>
        <v>1</v>
      </c>
      <c r="T109" s="195">
        <f>MATCH($E109,Reference!$J$26:$J$32,0)</f>
        <v>1</v>
      </c>
      <c r="U109" s="195">
        <f>MATCH($F109,Reference!$J$45:$J$54,0)</f>
        <v>7</v>
      </c>
      <c r="V109" s="196">
        <f>MATCH($K109,Reference!$J$37:$J$39,0)</f>
        <v>2</v>
      </c>
      <c r="W109" s="197">
        <f t="shared" si="0"/>
        <v>2</v>
      </c>
      <c r="X109" s="197">
        <f t="shared" si="1"/>
        <v>1</v>
      </c>
      <c r="Y109" s="198">
        <v>0</v>
      </c>
      <c r="Z109" s="197">
        <f t="shared" si="2"/>
        <v>2</v>
      </c>
      <c r="AA109" s="199" t="b">
        <f t="shared" si="3"/>
        <v>0</v>
      </c>
      <c r="AB109" s="199" t="b">
        <f t="shared" si="4"/>
        <v>0</v>
      </c>
      <c r="AC109" s="200">
        <f t="shared" ref="AC109:AD109" si="187">1-I109</f>
        <v>0</v>
      </c>
      <c r="AD109" s="200">
        <f t="shared" si="187"/>
        <v>0</v>
      </c>
      <c r="AE109" s="199">
        <f t="shared" si="6"/>
        <v>2</v>
      </c>
      <c r="AF109" s="201">
        <f t="shared" si="7"/>
        <v>0</v>
      </c>
      <c r="AG109" s="201">
        <f t="shared" si="8"/>
        <v>1</v>
      </c>
      <c r="AH109" s="202">
        <f t="shared" si="9"/>
        <v>0</v>
      </c>
      <c r="AI109" s="205"/>
      <c r="AJ109" s="241" t="s">
        <v>68</v>
      </c>
      <c r="AK109" s="242">
        <f t="shared" ref="AK109:AL109" si="188">SUM(AO109+AM109+AQ109+AS109+AU109+AW109+AY109+BA109+BC109)</f>
        <v>14</v>
      </c>
      <c r="AL109" s="242">
        <f t="shared" si="188"/>
        <v>16</v>
      </c>
      <c r="AM109" s="269">
        <f>SUMIFS($X$2:$X879, $D$2:$D879, "Rare", $E$2:$E879, "Classic", $F$2:F879, "Paladin")</f>
        <v>5</v>
      </c>
      <c r="AN109" s="269">
        <f>COUNTIFS($D$2:$D879, "Rare", $E$2:$E879, "Classic", $F$2:F879, "Paladin" )</f>
        <v>5</v>
      </c>
      <c r="AO109" s="270">
        <f>SUMIFS($X$2:$X879, $D$2:$D879, "Rare", $E$2:$E879, "Promo", $F$2:F879, "Paladin")</f>
        <v>0</v>
      </c>
      <c r="AP109" s="271">
        <f>COUNTIFS($D$2:$D879, "Rare", $E$2:$E879, "Promo", $F$2:F879, "Paladin" )</f>
        <v>0</v>
      </c>
      <c r="AQ109" s="269">
        <f>SUMIFS($X$2:$X879, $D$2:$D879, "Rare", $E$2:$E879, "Naxx", $F$2:F879, "Paladin")</f>
        <v>0</v>
      </c>
      <c r="AR109" s="269">
        <f>COUNTIFS($D$2:$D879, "Rare", $E$2:$E879, "Naxx", $F$2:F879, "Paladin" )</f>
        <v>0</v>
      </c>
      <c r="AS109" s="270">
        <f>SUMIFS($X$2:$X879, $D$2:$D879, "Rare", $E$2:$E879, "GvG", $F$2:F879, "Paladin")</f>
        <v>3</v>
      </c>
      <c r="AT109" s="271">
        <f>COUNTIFS($D$2:$D879, "Rare", $E$2:$E879, "GvG", $F$2:F879, "Paladin" )</f>
        <v>3</v>
      </c>
      <c r="AU109" s="269">
        <f>SUMIFS($X$2:$X879, $D$2:$D879, "Rare", $E$2:$E879, "Blackrock", $F$2:F879, "Paladin")</f>
        <v>1</v>
      </c>
      <c r="AV109" s="269">
        <f>COUNTIFS($D$2:$D879, "Rare", $E$2:$E879, "Blackrock", $F$2:F879, "Paladin" )</f>
        <v>1</v>
      </c>
      <c r="AW109" s="269">
        <f>SUMIFS($X$2:$X879, $D$2:$D879, "Rare", $E$2:$E879, "TGT", $F$2:F879, "Paladin")</f>
        <v>3</v>
      </c>
      <c r="AX109" s="271">
        <f>COUNTIFS($D$2:$D879, "Rare", $E$2:$E879, "TGT", $F$2:F879, "Paladin" )</f>
        <v>3</v>
      </c>
      <c r="AY109" s="269">
        <f>SUMIFS($X$2:$X879, $D$2:$D879, "Rare", $E$2:$E879, "LoE", $F$2:F879, "Paladin")</f>
        <v>1</v>
      </c>
      <c r="AZ109" s="271">
        <f>COUNTIFS($D$2:$D879, "Rare", $E$2:$E879, "LoE", $F$2:F879, "Paladin" )</f>
        <v>1</v>
      </c>
      <c r="BA109" s="269">
        <f>SUMIFS($X$2:$X879, $D$2:$D879, "Rare", $E$2:$E879, "TOG", $F$2:F879, "Paladin")</f>
        <v>1</v>
      </c>
      <c r="BB109" s="271">
        <f>COUNTIFS($D$2:$D879, "Rare", $E$2:$E879, "TOG", $F$2:F879, "Paladin" )</f>
        <v>3</v>
      </c>
      <c r="BC109" s="269">
        <f>SUMIFS($X$2:$X879, $D$2:$D879, "Rare", $E$2:$E879, "Adv4", $F$2:F879, "Paladin")</f>
        <v>0</v>
      </c>
      <c r="BD109" s="271">
        <f>COUNTIFS($D$2:$D879, "Rare", $E$2:$E879, "Adv4", $F$2:F879, "Paladin" )</f>
        <v>0</v>
      </c>
    </row>
    <row r="110" spans="1:56" ht="14.25">
      <c r="A110" s="187"/>
      <c r="B110" s="188">
        <v>5</v>
      </c>
      <c r="C110" s="189" t="s">
        <v>370</v>
      </c>
      <c r="D110" s="190" t="s">
        <v>58</v>
      </c>
      <c r="E110" s="190" t="s">
        <v>58</v>
      </c>
      <c r="F110" s="190" t="s">
        <v>115</v>
      </c>
      <c r="G110" s="215">
        <v>2</v>
      </c>
      <c r="H110" s="191">
        <f>COUNTIFS(Reference!D:D,VLOOKUP(C110,Reference!B:D,3,0),Reference!C:C,"&lt;="&amp;VLOOKUP(VLOOKUP(C110,Reference!B:D,3,0),Setup!$C$9:$D$17,2,0),Reference!B:B,C110)</f>
        <v>0</v>
      </c>
      <c r="I110" s="192">
        <v>1</v>
      </c>
      <c r="J110" s="192">
        <v>1</v>
      </c>
      <c r="K110" s="215" t="s">
        <v>182</v>
      </c>
      <c r="L110" s="191"/>
      <c r="M110" s="215">
        <v>5</v>
      </c>
      <c r="N110" s="215">
        <v>4</v>
      </c>
      <c r="O110" s="193" t="s">
        <v>192</v>
      </c>
      <c r="P110" s="194" t="s">
        <v>193</v>
      </c>
      <c r="Q110" s="190" t="s">
        <v>148</v>
      </c>
      <c r="R110" s="173"/>
      <c r="S110" s="195">
        <f>MATCH($D110,Reference!$J$5:$J$9,0)</f>
        <v>1</v>
      </c>
      <c r="T110" s="195">
        <f>MATCH($E110,Reference!$J$26:$J$32,0)</f>
        <v>1</v>
      </c>
      <c r="U110" s="195">
        <f>MATCH($F110,Reference!$J$45:$J$54,0)</f>
        <v>10</v>
      </c>
      <c r="V110" s="196">
        <f>MATCH($K110,Reference!$J$37:$J$39,0)</f>
        <v>3</v>
      </c>
      <c r="W110" s="197">
        <f t="shared" si="0"/>
        <v>2</v>
      </c>
      <c r="X110" s="197">
        <f t="shared" si="1"/>
        <v>1</v>
      </c>
      <c r="Y110" s="198">
        <v>0</v>
      </c>
      <c r="Z110" s="197">
        <f t="shared" si="2"/>
        <v>2</v>
      </c>
      <c r="AA110" s="199" t="b">
        <f t="shared" si="3"/>
        <v>0</v>
      </c>
      <c r="AB110" s="199" t="b">
        <f t="shared" si="4"/>
        <v>0</v>
      </c>
      <c r="AC110" s="200">
        <f t="shared" ref="AC110:AD110" si="189">1-I110</f>
        <v>0</v>
      </c>
      <c r="AD110" s="200">
        <f t="shared" si="189"/>
        <v>0</v>
      </c>
      <c r="AE110" s="199">
        <f t="shared" si="6"/>
        <v>2</v>
      </c>
      <c r="AF110" s="201">
        <f t="shared" si="7"/>
        <v>0</v>
      </c>
      <c r="AG110" s="201">
        <f t="shared" si="8"/>
        <v>1</v>
      </c>
      <c r="AH110" s="202">
        <f t="shared" si="9"/>
        <v>0</v>
      </c>
      <c r="AI110" s="205"/>
      <c r="AJ110" s="245" t="s">
        <v>69</v>
      </c>
      <c r="AK110" s="246">
        <f t="shared" ref="AK110:AL110" si="190">SUM(AO110+AM110+AQ110+AS110+AU110+AW110+AY110+BA110+BC110)</f>
        <v>6</v>
      </c>
      <c r="AL110" s="246">
        <f t="shared" si="190"/>
        <v>9</v>
      </c>
      <c r="AM110" s="272">
        <f>SUMIFS($X$2:$X879, $D$2:$D879, "Epic", $E$2:$E879, "Classic", $F$2:F879, "Paladin")</f>
        <v>1</v>
      </c>
      <c r="AN110" s="272">
        <f>COUNTIFS($D$2:$D879, "Epic", $E$2:$E879, "Classic", $F$2:F879, "Paladin" )</f>
        <v>3</v>
      </c>
      <c r="AO110" s="273">
        <f>SUMIFS($X$2:$X879, $D$2:$D879, "Epic", $E$2:$E879, "Promo", $F$2:F879, "Paladin")</f>
        <v>0</v>
      </c>
      <c r="AP110" s="274">
        <f>COUNTIFS($D$2:$D879, "Epic", $E$2:$E879, "Promo", $F$2:F879, "Paladin" )</f>
        <v>0</v>
      </c>
      <c r="AQ110" s="272">
        <f>SUMIFS($X$2:$X879, $D$2:$D879, "Epic", $E$2:$E879, "Naxx", $F$2:F879, "Paladin")</f>
        <v>0</v>
      </c>
      <c r="AR110" s="272">
        <f>COUNTIFS($D$2:$D879, "Epic", $E$2:$E879, "Naxx", $F$2:F879, "Paladin" )</f>
        <v>0</v>
      </c>
      <c r="AS110" s="273">
        <f>SUMIFS($X$2:$X879, $D$2:$D879, "Epic", $E$2:$E879, "GvG", $F$2:F879, "Paladin")</f>
        <v>2</v>
      </c>
      <c r="AT110" s="274">
        <f>COUNTIFS($D$2:$D879, "Epic", $E$2:$E879, "GvG", $F$2:F879, "Paladin" )</f>
        <v>2</v>
      </c>
      <c r="AU110" s="272">
        <f>SUMIFS($X$2:$X879, $D$2:$D879, "Epic", $E$2:$E879, "Blackrock", $F$2:F879, "Paladin")</f>
        <v>0</v>
      </c>
      <c r="AV110" s="272">
        <f>COUNTIFS($D$2:$D879, "Epic", $E$2:$E879, "Blackrock", $F$2:F879, "Paladin" )</f>
        <v>0</v>
      </c>
      <c r="AW110" s="272">
        <f>SUMIFS($X$2:$X879, $D$2:$D879, "Epic", $E$2:$E879, "TGT", $F$2:F879, "Paladin")</f>
        <v>2</v>
      </c>
      <c r="AX110" s="274">
        <f>COUNTIFS($D$2:$D879, "Epic", $E$2:$E879, "TGT", $F$2:F879, "Paladin" )</f>
        <v>2</v>
      </c>
      <c r="AY110" s="272">
        <f>SUMIFS($X$2:$X879, $D$2:$D879, "Epic", $E$2:$E879, "LoE", $F$2:F879, "Paladin")</f>
        <v>0</v>
      </c>
      <c r="AZ110" s="274">
        <f>COUNTIFS($D$2:$D879, "Epic", $E$2:$E879, "LoE", $F$2:F879, "Paladin" )</f>
        <v>0</v>
      </c>
      <c r="BA110" s="272">
        <f>SUMIFS($X$2:$X879, $D$2:$D879, "Epic", $E$2:$E879, "TOG", $F$2:F879, "Paladin")</f>
        <v>1</v>
      </c>
      <c r="BB110" s="274">
        <f>COUNTIFS($D$2:$D879, "Epic", $E$2:$E879, "TOG", $F$2:F879, "Paladin" )</f>
        <v>2</v>
      </c>
      <c r="BC110" s="272">
        <f>SUMIFS($X$2:$X879, $D$2:$D879, "Epic", $E$2:$E879, "Adv4", $F$2:F879, "Paladin")</f>
        <v>0</v>
      </c>
      <c r="BD110" s="274">
        <f>COUNTIFS($D$2:$D879, "Epic", $E$2:$E879, "Adv4", $F$2:F879, "Paladin" )</f>
        <v>0</v>
      </c>
    </row>
    <row r="111" spans="1:56" ht="14.25">
      <c r="A111" s="187"/>
      <c r="B111" s="188">
        <v>5</v>
      </c>
      <c r="C111" s="189" t="s">
        <v>371</v>
      </c>
      <c r="D111" s="190" t="s">
        <v>58</v>
      </c>
      <c r="E111" s="190" t="s">
        <v>58</v>
      </c>
      <c r="F111" s="190" t="s">
        <v>115</v>
      </c>
      <c r="G111" s="215">
        <v>2</v>
      </c>
      <c r="H111" s="191">
        <f>COUNTIFS(Reference!D:D,VLOOKUP(C111,Reference!B:D,3,0),Reference!C:C,"&lt;="&amp;VLOOKUP(VLOOKUP(C111,Reference!B:D,3,0),Setup!$C$9:$D$17,2,0),Reference!B:B,C111)</f>
        <v>0</v>
      </c>
      <c r="I111" s="192">
        <v>1</v>
      </c>
      <c r="J111" s="192">
        <v>1</v>
      </c>
      <c r="K111" s="215" t="s">
        <v>182</v>
      </c>
      <c r="L111" s="191"/>
      <c r="M111" s="215">
        <v>4</v>
      </c>
      <c r="N111" s="215">
        <v>5</v>
      </c>
      <c r="O111" s="193" t="s">
        <v>372</v>
      </c>
      <c r="P111" s="194" t="s">
        <v>275</v>
      </c>
      <c r="Q111" s="190" t="s">
        <v>148</v>
      </c>
      <c r="R111" s="173"/>
      <c r="S111" s="195">
        <f>MATCH($D111,Reference!$J$5:$J$9,0)</f>
        <v>1</v>
      </c>
      <c r="T111" s="195">
        <f>MATCH($E111,Reference!$J$26:$J$32,0)</f>
        <v>1</v>
      </c>
      <c r="U111" s="195">
        <f>MATCH($F111,Reference!$J$45:$J$54,0)</f>
        <v>10</v>
      </c>
      <c r="V111" s="196">
        <f>MATCH($K111,Reference!$J$37:$J$39,0)</f>
        <v>3</v>
      </c>
      <c r="W111" s="197">
        <f t="shared" si="0"/>
        <v>2</v>
      </c>
      <c r="X111" s="197">
        <f t="shared" si="1"/>
        <v>1</v>
      </c>
      <c r="Y111" s="198">
        <v>0</v>
      </c>
      <c r="Z111" s="197">
        <f t="shared" si="2"/>
        <v>2</v>
      </c>
      <c r="AA111" s="199" t="b">
        <f t="shared" si="3"/>
        <v>0</v>
      </c>
      <c r="AB111" s="199" t="b">
        <f t="shared" si="4"/>
        <v>0</v>
      </c>
      <c r="AC111" s="200">
        <f t="shared" ref="AC111:AD111" si="191">1-I111</f>
        <v>0</v>
      </c>
      <c r="AD111" s="200">
        <f t="shared" si="191"/>
        <v>0</v>
      </c>
      <c r="AE111" s="199">
        <f t="shared" si="6"/>
        <v>2</v>
      </c>
      <c r="AF111" s="201">
        <f t="shared" si="7"/>
        <v>0</v>
      </c>
      <c r="AG111" s="201">
        <f t="shared" si="8"/>
        <v>1</v>
      </c>
      <c r="AH111" s="202">
        <f t="shared" si="9"/>
        <v>0</v>
      </c>
      <c r="AI111" s="205"/>
      <c r="AJ111" s="249" t="s">
        <v>70</v>
      </c>
      <c r="AK111" s="250">
        <f t="shared" ref="AK111:AL111" si="192">SUM(AO111+AM111+AQ111+AS111+AU111+AW111+AY111+BA111+BC111)</f>
        <v>2</v>
      </c>
      <c r="AL111" s="250">
        <f t="shared" si="192"/>
        <v>4</v>
      </c>
      <c r="AM111" s="275">
        <f>SUMIFS($X$2:$X879, $D$2:$D879, "Legendary", $E$2:$E879, "Classic", $F$2:F879, "Paladin")</f>
        <v>1</v>
      </c>
      <c r="AN111" s="275">
        <f>COUNTIFS($D$2:$D879, "Legendary", $E$2:$E879, "Classic", $F$2:F879, "Paladin" )</f>
        <v>1</v>
      </c>
      <c r="AO111" s="276">
        <f>SUMIFS($X$2:$X879, $D$2:$D879, "Legendary", $E$2:$E879, "Promo", $F$2:F879, "Paladin")</f>
        <v>0</v>
      </c>
      <c r="AP111" s="277">
        <f>COUNTIFS($D$2:$D879, "Legendary", $E$2:$E879, "Promo", $F$2:F879, "Paladin" )</f>
        <v>0</v>
      </c>
      <c r="AQ111" s="275">
        <f>SUMIFS($X$2:$X879, $D$2:$D879, "Legendary", $E$2:$E879, "Naxx", $F$2:F879, "Paladin")</f>
        <v>0</v>
      </c>
      <c r="AR111" s="275">
        <f>COUNTIFS($D$2:$D879, "Legendary", $E$2:$E879, "Naxx", $F$2:F879, "Paladin" )</f>
        <v>0</v>
      </c>
      <c r="AS111" s="276">
        <f>SUMIFS($X$2:$X879, $D$2:$D879, "Legendary", $E$2:$E879, "GvG", $F$2:F879, "Paladin")</f>
        <v>0</v>
      </c>
      <c r="AT111" s="277">
        <f>COUNTIFS($D$2:$D879, "Legendary", $E$2:$E879, "GvG", $F$2:F879, "Paladin" )</f>
        <v>1</v>
      </c>
      <c r="AU111" s="275">
        <f>SUMIFS($X$2:$X879, $D$2:$D879, "Legendary", $E$2:$E879, "Blackrock", $F$2:F879, "Paladin")</f>
        <v>0</v>
      </c>
      <c r="AV111" s="275">
        <f>COUNTIFS($D$2:$D879, "Legendary", $E$2:$E879, "Blackrock", $F$2:F879, "Paladin" )</f>
        <v>0</v>
      </c>
      <c r="AW111" s="275">
        <f>SUMIFS($X$2:$X879, $D$2:$D879, "Legendary", $E$2:$E879, "TGT", $F$2:F879, "Paladin")</f>
        <v>1</v>
      </c>
      <c r="AX111" s="277">
        <f>COUNTIFS($D$2:$D879, "Legendary", $E$2:$E879, "TGT", $F$2:F879, "Paladin" )</f>
        <v>1</v>
      </c>
      <c r="AY111" s="275">
        <f>SUMIFS($X$2:$X879, $D$2:$D879, "Legendary", $E$2:$E879, "LoE", $F$2:F879, "Paladin")</f>
        <v>0</v>
      </c>
      <c r="AZ111" s="277">
        <f>COUNTIFS($D$2:$D879, "Legendary", $E$2:$E879, "LoE", $F$2:F879, "Paladin" )</f>
        <v>0</v>
      </c>
      <c r="BA111" s="275">
        <f>SUMIFS($X$2:$X879, $D$2:$D879, "Legendary", $E$2:$E879, "TOG", $F$2:F879, "Paladin")</f>
        <v>0</v>
      </c>
      <c r="BB111" s="277">
        <f>COUNTIFS($D$2:$D879, "Legendary", $E$2:$E879, "TOG", $F$2:F879, "Paladin" )</f>
        <v>1</v>
      </c>
      <c r="BC111" s="275">
        <f>SUMIFS($X$2:$X879, $D$2:$D879, "Legendary", $E$2:$E879, "Adv4", $F$2:F879, "Paladin")</f>
        <v>0</v>
      </c>
      <c r="BD111" s="277">
        <f>COUNTIFS($D$2:$D879, "Legendary", $E$2:$E879, "Adv4", $F$2:F879, "Paladin" )</f>
        <v>0</v>
      </c>
    </row>
    <row r="112" spans="1:56" ht="14.25">
      <c r="A112" s="187"/>
      <c r="B112" s="188">
        <v>5</v>
      </c>
      <c r="C112" s="189" t="s">
        <v>373</v>
      </c>
      <c r="D112" s="190" t="s">
        <v>58</v>
      </c>
      <c r="E112" s="190" t="s">
        <v>58</v>
      </c>
      <c r="F112" s="190" t="s">
        <v>115</v>
      </c>
      <c r="G112" s="215">
        <v>2</v>
      </c>
      <c r="H112" s="191">
        <f>COUNTIFS(Reference!D:D,VLOOKUP(C112,Reference!B:D,3,0),Reference!C:C,"&lt;="&amp;VLOOKUP(VLOOKUP(C112,Reference!B:D,3,0),Setup!$C$9:$D$17,2,0),Reference!B:B,C112)</f>
        <v>0</v>
      </c>
      <c r="I112" s="192">
        <v>1</v>
      </c>
      <c r="J112" s="192">
        <v>1</v>
      </c>
      <c r="K112" s="215" t="s">
        <v>182</v>
      </c>
      <c r="L112" s="191"/>
      <c r="M112" s="215">
        <v>4</v>
      </c>
      <c r="N112" s="215">
        <v>4</v>
      </c>
      <c r="O112" s="193" t="s">
        <v>374</v>
      </c>
      <c r="P112" s="194" t="s">
        <v>275</v>
      </c>
      <c r="Q112" s="190" t="s">
        <v>148</v>
      </c>
      <c r="R112" s="173"/>
      <c r="S112" s="195">
        <f>MATCH($D112,Reference!$J$5:$J$9,0)</f>
        <v>1</v>
      </c>
      <c r="T112" s="195">
        <f>MATCH($E112,Reference!$J$26:$J$32,0)</f>
        <v>1</v>
      </c>
      <c r="U112" s="195">
        <f>MATCH($F112,Reference!$J$45:$J$54,0)</f>
        <v>10</v>
      </c>
      <c r="V112" s="196">
        <f>MATCH($K112,Reference!$J$37:$J$39,0)</f>
        <v>3</v>
      </c>
      <c r="W112" s="197">
        <f t="shared" si="0"/>
        <v>2</v>
      </c>
      <c r="X112" s="197">
        <f t="shared" si="1"/>
        <v>1</v>
      </c>
      <c r="Y112" s="198">
        <v>0</v>
      </c>
      <c r="Z112" s="197">
        <f t="shared" si="2"/>
        <v>2</v>
      </c>
      <c r="AA112" s="199" t="b">
        <f t="shared" si="3"/>
        <v>0</v>
      </c>
      <c r="AB112" s="199" t="b">
        <f t="shared" si="4"/>
        <v>0</v>
      </c>
      <c r="AC112" s="200">
        <f t="shared" ref="AC112:AD112" si="193">1-I112</f>
        <v>0</v>
      </c>
      <c r="AD112" s="200">
        <f t="shared" si="193"/>
        <v>0</v>
      </c>
      <c r="AE112" s="199">
        <f t="shared" si="6"/>
        <v>2</v>
      </c>
      <c r="AF112" s="201">
        <f t="shared" si="7"/>
        <v>0</v>
      </c>
      <c r="AG112" s="201">
        <f t="shared" si="8"/>
        <v>1</v>
      </c>
      <c r="AH112" s="202">
        <f t="shared" si="9"/>
        <v>0</v>
      </c>
      <c r="AI112" s="205"/>
      <c r="AJ112" s="253" t="s">
        <v>240</v>
      </c>
      <c r="AK112" s="229"/>
      <c r="AL112" s="230"/>
      <c r="AM112" s="229"/>
      <c r="AN112" s="230"/>
      <c r="AO112" s="254"/>
      <c r="AP112" s="255"/>
      <c r="AQ112" s="229"/>
      <c r="AR112" s="230"/>
      <c r="AS112" s="254"/>
      <c r="AT112" s="255"/>
      <c r="AU112" s="229"/>
      <c r="AV112" s="230"/>
      <c r="AW112" s="229"/>
      <c r="AX112" s="230"/>
      <c r="AY112" s="229"/>
      <c r="AZ112" s="230"/>
      <c r="BA112" s="229"/>
      <c r="BB112" s="230"/>
      <c r="BC112" s="229"/>
      <c r="BD112" s="230"/>
    </row>
    <row r="113" spans="1:56" ht="14.25">
      <c r="A113" s="209"/>
      <c r="B113" s="188">
        <v>5</v>
      </c>
      <c r="C113" s="189" t="s">
        <v>375</v>
      </c>
      <c r="D113" s="190" t="s">
        <v>58</v>
      </c>
      <c r="E113" s="190" t="s">
        <v>58</v>
      </c>
      <c r="F113" s="190" t="s">
        <v>115</v>
      </c>
      <c r="G113" s="215">
        <v>2</v>
      </c>
      <c r="H113" s="191">
        <f>COUNTIFS(Reference!D:D,VLOOKUP(C113,Reference!B:D,3,0),Reference!C:C,"&lt;="&amp;VLOOKUP(VLOOKUP(C113,Reference!B:D,3,0),Setup!$C$9:$D$17,2,0),Reference!B:B,C113)</f>
        <v>0</v>
      </c>
      <c r="I113" s="192">
        <v>1</v>
      </c>
      <c r="J113" s="192">
        <v>1</v>
      </c>
      <c r="K113" s="215" t="s">
        <v>182</v>
      </c>
      <c r="L113" s="191"/>
      <c r="M113" s="215">
        <v>2</v>
      </c>
      <c r="N113" s="215">
        <v>7</v>
      </c>
      <c r="O113" s="193" t="s">
        <v>376</v>
      </c>
      <c r="P113" s="194" t="s">
        <v>377</v>
      </c>
      <c r="Q113" s="190" t="s">
        <v>148</v>
      </c>
      <c r="R113" s="173"/>
      <c r="S113" s="195">
        <f>MATCH($D113,Reference!$J$5:$J$9,0)</f>
        <v>1</v>
      </c>
      <c r="T113" s="195">
        <f>MATCH($E113,Reference!$J$26:$J$32,0)</f>
        <v>1</v>
      </c>
      <c r="U113" s="195">
        <f>MATCH($F113,Reference!$J$45:$J$54,0)</f>
        <v>10</v>
      </c>
      <c r="V113" s="196">
        <f>MATCH($K113,Reference!$J$37:$J$39,0)</f>
        <v>3</v>
      </c>
      <c r="W113" s="197">
        <f t="shared" si="0"/>
        <v>2</v>
      </c>
      <c r="X113" s="197">
        <f t="shared" si="1"/>
        <v>1</v>
      </c>
      <c r="Y113" s="198">
        <v>0</v>
      </c>
      <c r="Z113" s="197">
        <f t="shared" si="2"/>
        <v>2</v>
      </c>
      <c r="AA113" s="199" t="b">
        <f t="shared" si="3"/>
        <v>0</v>
      </c>
      <c r="AB113" s="199" t="b">
        <f t="shared" si="4"/>
        <v>0</v>
      </c>
      <c r="AC113" s="200">
        <f t="shared" ref="AC113:AD113" si="194">1-I113</f>
        <v>0</v>
      </c>
      <c r="AD113" s="200">
        <f t="shared" si="194"/>
        <v>0</v>
      </c>
      <c r="AE113" s="199">
        <f t="shared" si="6"/>
        <v>2</v>
      </c>
      <c r="AF113" s="201">
        <f t="shared" si="7"/>
        <v>0</v>
      </c>
      <c r="AG113" s="201">
        <f t="shared" si="8"/>
        <v>1</v>
      </c>
      <c r="AH113" s="202">
        <f t="shared" si="9"/>
        <v>0</v>
      </c>
      <c r="AI113" s="205"/>
      <c r="AJ113" s="231" t="s">
        <v>58</v>
      </c>
      <c r="AK113" s="232">
        <f t="shared" ref="AK113:AL113" si="195">SUM(AO113+AM113+AQ113+AS113+AU113+AW113+AY113+BA113+BC113)</f>
        <v>20</v>
      </c>
      <c r="AL113" s="232">
        <f t="shared" si="195"/>
        <v>20</v>
      </c>
      <c r="AM113" s="191">
        <f>SUMIFS($W$2:$W879, $E$2:$E879, "Basic", $F$2:F879, "Paladin")</f>
        <v>20</v>
      </c>
      <c r="AN113" s="232">
        <f>COUNTIFS($E$2:$E879, "Basic", $F$2:F879, "Paladin" )*2</f>
        <v>20</v>
      </c>
      <c r="AO113" s="234"/>
      <c r="AP113" s="235"/>
      <c r="AQ113" s="191"/>
      <c r="AR113" s="191"/>
      <c r="AS113" s="234"/>
      <c r="AT113" s="235"/>
      <c r="AU113" s="191"/>
      <c r="AV113" s="191"/>
      <c r="AW113" s="191"/>
      <c r="AX113" s="235"/>
      <c r="AY113" s="191"/>
      <c r="AZ113" s="235"/>
      <c r="BA113" s="191"/>
      <c r="BB113" s="235"/>
      <c r="BC113" s="191"/>
      <c r="BD113" s="235"/>
    </row>
    <row r="114" spans="1:56" ht="14.25">
      <c r="A114" s="187"/>
      <c r="B114" s="217">
        <v>5</v>
      </c>
      <c r="C114" s="218" t="s">
        <v>378</v>
      </c>
      <c r="D114" s="190" t="s">
        <v>58</v>
      </c>
      <c r="E114" s="190" t="s">
        <v>58</v>
      </c>
      <c r="F114" s="190" t="s">
        <v>18</v>
      </c>
      <c r="G114" s="191">
        <f>COUNTIFS(Reference!F:F,C114,Reference!G:G,"&lt;="&amp;VLOOKUP($F114,Setup!$C$9:$D$17,2,0))</f>
        <v>2</v>
      </c>
      <c r="H114" s="191">
        <f>COUNTIFS(Reference!B:B,C114,Reference!C:C,"&lt;="&amp;VLOOKUP("Priest",Setup!$C$9:$D$17,2,0))</f>
        <v>0</v>
      </c>
      <c r="I114" s="192">
        <v>1</v>
      </c>
      <c r="J114" s="192">
        <v>1</v>
      </c>
      <c r="K114" s="191" t="s">
        <v>146</v>
      </c>
      <c r="L114" s="191"/>
      <c r="M114" s="191"/>
      <c r="N114" s="191"/>
      <c r="O114" s="193" t="s">
        <v>379</v>
      </c>
      <c r="P114" s="194"/>
      <c r="Q114" s="190" t="s">
        <v>148</v>
      </c>
      <c r="R114" s="173"/>
      <c r="S114" s="195">
        <f>MATCH($D114,Reference!$J$5:$J$9,0)</f>
        <v>1</v>
      </c>
      <c r="T114" s="195">
        <f>MATCH($E114,Reference!$J$26:$J$32,0)</f>
        <v>1</v>
      </c>
      <c r="U114" s="195">
        <f>MATCH($F114,Reference!$J$45:$J$54,0)</f>
        <v>5</v>
      </c>
      <c r="V114" s="196">
        <f>MATCH($K114,Reference!$J$37:$J$39,0)</f>
        <v>2</v>
      </c>
      <c r="W114" s="197">
        <f t="shared" si="0"/>
        <v>2</v>
      </c>
      <c r="X114" s="197">
        <f t="shared" si="1"/>
        <v>1</v>
      </c>
      <c r="Y114" s="198">
        <v>0</v>
      </c>
      <c r="Z114" s="197">
        <f t="shared" si="2"/>
        <v>2</v>
      </c>
      <c r="AA114" s="199" t="b">
        <f t="shared" si="3"/>
        <v>0</v>
      </c>
      <c r="AB114" s="199" t="b">
        <f t="shared" si="4"/>
        <v>0</v>
      </c>
      <c r="AC114" s="200">
        <f t="shared" ref="AC114:AD114" si="196">1-I114</f>
        <v>0</v>
      </c>
      <c r="AD114" s="200">
        <f t="shared" si="196"/>
        <v>0</v>
      </c>
      <c r="AE114" s="199">
        <f t="shared" si="6"/>
        <v>2</v>
      </c>
      <c r="AF114" s="201">
        <f t="shared" si="7"/>
        <v>0</v>
      </c>
      <c r="AG114" s="201">
        <f t="shared" si="8"/>
        <v>1</v>
      </c>
      <c r="AH114" s="202">
        <f t="shared" si="9"/>
        <v>0</v>
      </c>
      <c r="AI114" s="205"/>
      <c r="AJ114" s="256" t="s">
        <v>63</v>
      </c>
      <c r="AK114" s="237">
        <f t="shared" ref="AK114:AL114" si="197">SUM(AO114+AM114+AQ114+AS114+AU114+AW114+AY114+BA114+BC114)</f>
        <v>36</v>
      </c>
      <c r="AL114" s="237">
        <f t="shared" si="197"/>
        <v>36</v>
      </c>
      <c r="AM114" s="229">
        <f>SUMIFS($W$2:$W879, $D$2:$D879, "Common", $E$2:$E879, "Classic", $F$2:F879, "Paladin")</f>
        <v>12</v>
      </c>
      <c r="AN114" s="237">
        <f>COUNTIFS($D$2:$D879, "Common", $E$2:$E879, "Classic", $F$2:F879, "Paladin" )*2</f>
        <v>12</v>
      </c>
      <c r="AO114" s="268">
        <f>SUMIFS($W$2:$W879, $D$2:$D879, "Common", $E$2:$E879, "Promo", $F$2:F879, "Paladin")</f>
        <v>0</v>
      </c>
      <c r="AP114" s="238">
        <f>COUNTIFS($D$2:$D879, "Common", $E$2:$E879, "Promo", $F$2:F879, "Paladin" )*2</f>
        <v>0</v>
      </c>
      <c r="AQ114" s="229">
        <f>SUMIFS($W$2:$W879, $D$2:$D879, "Common", $E$2:$E879, "Naxx", $F$2:F879, "Paladin")</f>
        <v>2</v>
      </c>
      <c r="AR114" s="237">
        <f>COUNTIFS($D$2:$D879, "Common", $E$2:$E879, "Naxx", $F$2:F879, "Paladin" )*2</f>
        <v>2</v>
      </c>
      <c r="AS114" s="268">
        <f>SUMIFS($W$2:$W879, $D$2:$D879, "Common", $E$2:$E879, "GvG", $F$2:F879, "Paladin")</f>
        <v>4</v>
      </c>
      <c r="AT114" s="238">
        <f>COUNTIFS($D$2:$D879, "Common", $E$2:$E879, "GvG", $F$2:F879, "Paladin" )*2</f>
        <v>4</v>
      </c>
      <c r="AU114" s="229">
        <f>SUMIFS($W$2:$W879, $D$2:$D879, "Common", $E$2:$E879, "Blackrock", $F$2:F879, "Paladin")</f>
        <v>2</v>
      </c>
      <c r="AV114" s="237">
        <f>COUNTIFS($D$2:$D879, "Common", $E$2:$E879, "Blackrock", $F$2:F879, "Paladin" )*2</f>
        <v>2</v>
      </c>
      <c r="AW114" s="229">
        <f>SUMIFS($W$2:$W879, $D$2:$D879, "Common", $E$2:$E879, "TGT", $F$2:F879, "Paladin")</f>
        <v>6</v>
      </c>
      <c r="AX114" s="238">
        <f>COUNTIFS($D$2:$D879, "Common", $E$2:$E879, "TGT", $F$2:F879, "Paladin" )*2</f>
        <v>6</v>
      </c>
      <c r="AY114" s="229">
        <f>SUMIFS($W$2:$W879, $D$2:$D879, "Common", $E$2:$E879, "LoE", $F$2:F879, "Paladin")</f>
        <v>4</v>
      </c>
      <c r="AZ114" s="238">
        <f>COUNTIFS($D$2:$D879, "Common", $E$2:$E879, "LoE", $F$2:F879, "Paladin" )*2</f>
        <v>4</v>
      </c>
      <c r="BA114" s="229">
        <f>SUMIFS($W$2:$W879, $D$2:$D879, "Common", $E$2:$E879, "TOG", $F$2:F879, "Paladin")</f>
        <v>6</v>
      </c>
      <c r="BB114" s="238">
        <f>COUNTIFS($D$2:$D879, "Common", $E$2:$E879, "TOG", $F$2:F879, "Paladin" )*2</f>
        <v>6</v>
      </c>
      <c r="BC114" s="229">
        <f>SUMIFS($W$2:$W879, $D$2:$D879, "Common", $E$2:$E879, "Adv4", $F$2:F879, "Paladin")</f>
        <v>0</v>
      </c>
      <c r="BD114" s="238">
        <f>COUNTIFS($D$2:$D879, "Common", $E$2:$E879, "Adv4", $F$2:F879, "Paladin" )*2</f>
        <v>0</v>
      </c>
    </row>
    <row r="115" spans="1:56" ht="14.25">
      <c r="A115" s="206"/>
      <c r="B115" s="188">
        <v>5</v>
      </c>
      <c r="C115" s="189" t="s">
        <v>380</v>
      </c>
      <c r="D115" s="190" t="s">
        <v>58</v>
      </c>
      <c r="E115" s="190" t="s">
        <v>58</v>
      </c>
      <c r="F115" s="190" t="s">
        <v>115</v>
      </c>
      <c r="G115" s="215">
        <v>2</v>
      </c>
      <c r="H115" s="191">
        <f>COUNTIFS(Reference!D:D,VLOOKUP(C115,Reference!B:D,3,0),Reference!C:C,"&lt;="&amp;VLOOKUP(VLOOKUP(C115,Reference!B:D,3,0),Setup!$C$9:$D$17,2,0),Reference!B:B,C115)</f>
        <v>0</v>
      </c>
      <c r="I115" s="192">
        <v>1</v>
      </c>
      <c r="J115" s="192">
        <v>1</v>
      </c>
      <c r="K115" s="215" t="s">
        <v>182</v>
      </c>
      <c r="L115" s="191"/>
      <c r="M115" s="215">
        <v>4</v>
      </c>
      <c r="N115" s="215">
        <v>4</v>
      </c>
      <c r="O115" s="193" t="s">
        <v>381</v>
      </c>
      <c r="P115" s="194" t="s">
        <v>184</v>
      </c>
      <c r="Q115" s="190" t="s">
        <v>148</v>
      </c>
      <c r="R115" s="173"/>
      <c r="S115" s="195">
        <f>MATCH($D115,Reference!$J$5:$J$9,0)</f>
        <v>1</v>
      </c>
      <c r="T115" s="195">
        <f>MATCH($E115,Reference!$J$26:$J$32,0)</f>
        <v>1</v>
      </c>
      <c r="U115" s="195">
        <f>MATCH($F115,Reference!$J$45:$J$54,0)</f>
        <v>10</v>
      </c>
      <c r="V115" s="196">
        <f>MATCH($K115,Reference!$J$37:$J$39,0)</f>
        <v>3</v>
      </c>
      <c r="W115" s="197">
        <f t="shared" si="0"/>
        <v>2</v>
      </c>
      <c r="X115" s="197">
        <f t="shared" si="1"/>
        <v>1</v>
      </c>
      <c r="Y115" s="198">
        <v>0</v>
      </c>
      <c r="Z115" s="197">
        <f t="shared" si="2"/>
        <v>2</v>
      </c>
      <c r="AA115" s="199" t="b">
        <f t="shared" si="3"/>
        <v>0</v>
      </c>
      <c r="AB115" s="199" t="b">
        <f t="shared" si="4"/>
        <v>0</v>
      </c>
      <c r="AC115" s="200">
        <f t="shared" ref="AC115:AD115" si="198">1-I115</f>
        <v>0</v>
      </c>
      <c r="AD115" s="200">
        <f t="shared" si="198"/>
        <v>0</v>
      </c>
      <c r="AE115" s="199">
        <f t="shared" si="6"/>
        <v>2</v>
      </c>
      <c r="AF115" s="201">
        <f t="shared" si="7"/>
        <v>0</v>
      </c>
      <c r="AG115" s="201">
        <f t="shared" si="8"/>
        <v>1</v>
      </c>
      <c r="AH115" s="202">
        <f t="shared" si="9"/>
        <v>0</v>
      </c>
      <c r="AI115" s="205"/>
      <c r="AJ115" s="257" t="s">
        <v>68</v>
      </c>
      <c r="AK115" s="242">
        <f t="shared" ref="AK115:AL115" si="199">SUM(AO115+AM115+AQ115+AS115+AU115+AW115+AY115+BA115+BC115)</f>
        <v>26</v>
      </c>
      <c r="AL115" s="242">
        <f t="shared" si="199"/>
        <v>32</v>
      </c>
      <c r="AM115" s="269">
        <f>SUMIFS($W$2:$W879, $D$2:$D879, "Rare", $E$2:$E879, "Classic", $F$2:F879, "Paladin")</f>
        <v>9</v>
      </c>
      <c r="AN115" s="242">
        <f>COUNTIFS($D$2:$D879, "Rare", $E$2:$E879, "Classic", $F$2:F879, "Paladin" )*2</f>
        <v>10</v>
      </c>
      <c r="AO115" s="270">
        <f>SUMIFS($W$2:$W879, $D$2:$D879, "Rare", $E$2:$E879, "Promo", $F$2:F879, "Paladin")</f>
        <v>0</v>
      </c>
      <c r="AP115" s="243">
        <f>COUNTIFS($D$2:$D879, "Rare", $E$2:$E879, "Promo", $F$2:F879, "Paladin" )*2</f>
        <v>0</v>
      </c>
      <c r="AQ115" s="269">
        <f>SUMIFS($W$2:$W879, $D$2:$D879, "Rare", $E$2:$E879, "Naxx", $F$2:F879, "Paladin")</f>
        <v>0</v>
      </c>
      <c r="AR115" s="242">
        <f>COUNTIFS($D$2:$D879, "Rare", $E$2:$E879, "Naxx", $F$2:F879, "Paladin" )*2</f>
        <v>0</v>
      </c>
      <c r="AS115" s="270">
        <f>SUMIFS($W$2:$W879, $D$2:$D879, "Rare", $E$2:$E879, "GvG", $F$2:F879, "Paladin")</f>
        <v>5</v>
      </c>
      <c r="AT115" s="243">
        <f>COUNTIFS($D$2:$D879, "Rare", $E$2:$E879, "GvG", $F$2:F879, "Paladin" )*2</f>
        <v>6</v>
      </c>
      <c r="AU115" s="269">
        <f>SUMIFS($W$2:$W879, $D$2:$D879, "Rare", $E$2:$E879, "Blackrock", $F$2:F879, "Paladin")</f>
        <v>2</v>
      </c>
      <c r="AV115" s="242">
        <f>COUNTIFS($D$2:$D879, "Rare", $E$2:$E879, "Blackrock", $F$2:F879, "Paladin" )*2</f>
        <v>2</v>
      </c>
      <c r="AW115" s="269">
        <f>SUMIFS($W$2:$W879, $D$2:$D879, "Rare", $E$2:$E879, "TGT", $F$2:F879, "Paladin")</f>
        <v>6</v>
      </c>
      <c r="AX115" s="243">
        <f>COUNTIFS($D$2:$D879, "Rare", $E$2:$E879, "TGT", $F$2:F879, "Paladin" )*2</f>
        <v>6</v>
      </c>
      <c r="AY115" s="269">
        <f>SUMIFS($W$2:$W879, $D$2:$D879, "Rare", $E$2:$E879, "LoE", $F$2:F879, "Paladin")</f>
        <v>2</v>
      </c>
      <c r="AZ115" s="243">
        <f>COUNTIFS($D$2:$D879, "Rare", $E$2:$E879, "LoE", $F$2:F879, "Paladin" )*2</f>
        <v>2</v>
      </c>
      <c r="BA115" s="269">
        <f>SUMIFS($W$2:$W879, $D$2:$D879, "Rare", $E$2:$E879, "TOG", $F$2:F879, "Paladin")</f>
        <v>2</v>
      </c>
      <c r="BB115" s="243">
        <f>COUNTIFS($D$2:$D879, "Rare", $E$2:$E879, "TOG", $F$2:F879, "Paladin" )*2</f>
        <v>6</v>
      </c>
      <c r="BC115" s="269">
        <f>SUMIFS($W$2:$W879, $D$2:$D879, "Rare", $E$2:$E879, "Adv4", $F$2:F879, "Paladin")</f>
        <v>0</v>
      </c>
      <c r="BD115" s="243">
        <f>COUNTIFS($D$2:$D879, "Rare", $E$2:$E879, "Adv4", $F$2:F879, "Paladin" )*2</f>
        <v>0</v>
      </c>
    </row>
    <row r="116" spans="1:56" ht="14.25">
      <c r="A116" s="187"/>
      <c r="B116" s="217">
        <v>5</v>
      </c>
      <c r="C116" s="218" t="s">
        <v>382</v>
      </c>
      <c r="D116" s="190" t="s">
        <v>58</v>
      </c>
      <c r="E116" s="190" t="s">
        <v>58</v>
      </c>
      <c r="F116" s="190" t="s">
        <v>11</v>
      </c>
      <c r="G116" s="191">
        <f>COUNTIFS(Reference!F:F,C116,Reference!G:G,"&lt;="&amp;VLOOKUP($F116,Setup!$C$9:$D$17,2,0))</f>
        <v>2</v>
      </c>
      <c r="H116" s="191">
        <f>COUNTIFS(Reference!B:B,C116,Reference!C:C,"&lt;="&amp;VLOOKUP("Hunter",Setup!$C$9:$D$17,2,0))</f>
        <v>0</v>
      </c>
      <c r="I116" s="192">
        <v>1</v>
      </c>
      <c r="J116" s="192">
        <v>1</v>
      </c>
      <c r="K116" s="191" t="s">
        <v>182</v>
      </c>
      <c r="L116" s="191" t="s">
        <v>230</v>
      </c>
      <c r="M116" s="191">
        <v>3</v>
      </c>
      <c r="N116" s="191">
        <v>2</v>
      </c>
      <c r="O116" s="193" t="s">
        <v>383</v>
      </c>
      <c r="P116" s="194"/>
      <c r="Q116" s="190" t="s">
        <v>148</v>
      </c>
      <c r="R116" s="34"/>
      <c r="S116" s="195">
        <f>MATCH($D116,Reference!$J$5:$J$9,0)</f>
        <v>1</v>
      </c>
      <c r="T116" s="195">
        <f>MATCH($E116,Reference!$J$26:$J$32,0)</f>
        <v>1</v>
      </c>
      <c r="U116" s="195">
        <f>MATCH($F116,Reference!$J$45:$J$54,0)</f>
        <v>2</v>
      </c>
      <c r="V116" s="196">
        <f>MATCH($K116,Reference!$J$37:$J$39,0)</f>
        <v>3</v>
      </c>
      <c r="W116" s="197">
        <f t="shared" si="0"/>
        <v>2</v>
      </c>
      <c r="X116" s="197">
        <f t="shared" si="1"/>
        <v>1</v>
      </c>
      <c r="Y116" s="198">
        <v>0</v>
      </c>
      <c r="Z116" s="197">
        <f t="shared" si="2"/>
        <v>2</v>
      </c>
      <c r="AA116" s="199" t="b">
        <f t="shared" si="3"/>
        <v>0</v>
      </c>
      <c r="AB116" s="199" t="b">
        <f t="shared" si="4"/>
        <v>0</v>
      </c>
      <c r="AC116" s="200">
        <f t="shared" ref="AC116:AD116" si="200">1-I116</f>
        <v>0</v>
      </c>
      <c r="AD116" s="200">
        <f t="shared" si="200"/>
        <v>0</v>
      </c>
      <c r="AE116" s="199">
        <f t="shared" si="6"/>
        <v>2</v>
      </c>
      <c r="AF116" s="201">
        <f t="shared" si="7"/>
        <v>0</v>
      </c>
      <c r="AG116" s="201">
        <f t="shared" si="8"/>
        <v>1</v>
      </c>
      <c r="AH116" s="202">
        <f t="shared" si="9"/>
        <v>0</v>
      </c>
      <c r="AI116" s="205"/>
      <c r="AJ116" s="258" t="s">
        <v>69</v>
      </c>
      <c r="AK116" s="246">
        <f t="shared" ref="AK116:AL116" si="201">SUM(AO116+AM116+AQ116+AS116+AU116+AW116+AY116+BA116+BC116)</f>
        <v>10</v>
      </c>
      <c r="AL116" s="246">
        <f t="shared" si="201"/>
        <v>18</v>
      </c>
      <c r="AM116" s="272">
        <f>SUMIFS($W$2:$W879, $D$2:$D879, "Epic", $E$2:$E879, "Classic", $F$2:F879, "Paladin")</f>
        <v>1</v>
      </c>
      <c r="AN116" s="246">
        <f>COUNTIFS($D$2:$D879, "Epic", $E$2:$E879, "Classic", $F$2:F879, "Paladin" )*2</f>
        <v>6</v>
      </c>
      <c r="AO116" s="273">
        <f>SUMIFS($W$2:$W879, $D$2:$D879, "Epic", $E$2:$E879, "Promo", $F$2:F879, "Paladin")</f>
        <v>0</v>
      </c>
      <c r="AP116" s="247">
        <f>COUNTIFS($D$2:$D879, "Epic", $E$2:$E879, "Promo", $F$2:F879, "Paladin" )*2</f>
        <v>0</v>
      </c>
      <c r="AQ116" s="272">
        <f>SUMIFS($W$2:$W879, $D$2:$D879, "Epic", $E$2:$E879, "Naxx", $F$2:F879, "Paladin")</f>
        <v>0</v>
      </c>
      <c r="AR116" s="246">
        <f>COUNTIFS($D$2:$D879, "Epic", $E$2:$E879, "Naxx", $F$2:F879, "Paladin" )*2</f>
        <v>0</v>
      </c>
      <c r="AS116" s="273">
        <f>SUMIFS($W$2:$W879, $D$2:$D879, "Epic", $E$2:$E879, "GvG", $F$2:F879, "Paladin")</f>
        <v>4</v>
      </c>
      <c r="AT116" s="247">
        <f>COUNTIFS($D$2:$D879, "Epic", $E$2:$E879, "GvG", $F$2:F879, "Paladin" )*2</f>
        <v>4</v>
      </c>
      <c r="AU116" s="272">
        <f>SUMIFS($W$2:$W879, $D$2:$D879, "Epic", $E$2:$E879, "Blackrock", $F$2:F879, "Paladin")</f>
        <v>0</v>
      </c>
      <c r="AV116" s="246">
        <f>COUNTIFS($D$2:$D879, "Epic", $E$2:$E879, "Blackrock", $F$2:F879, "Paladin" )*2</f>
        <v>0</v>
      </c>
      <c r="AW116" s="272">
        <f>SUMIFS($W$2:$W879, $D$2:$D879, "Epic", $E$2:$E879, "TGT", $F$2:F879, "Paladin")</f>
        <v>4</v>
      </c>
      <c r="AX116" s="247">
        <f>COUNTIFS($D$2:$D879, "Epic", $E$2:$E879, "TGT", $F$2:F879, "Paladin" )*2</f>
        <v>4</v>
      </c>
      <c r="AY116" s="272">
        <f>SUMIFS($W$2:$W879, $D$2:$D879, "Epic", $E$2:$E879, "LoE", $F$2:F879, "Paladin")</f>
        <v>0</v>
      </c>
      <c r="AZ116" s="247">
        <f>COUNTIFS($D$2:$D879, "Epic", $E$2:$E879, "LoE", $F$2:F879, "Paladin" )*2</f>
        <v>0</v>
      </c>
      <c r="BA116" s="272">
        <f>SUMIFS($W$2:$W879, $D$2:$D879, "Epic", $E$2:$E879, "TOG", $F$2:F879, "Paladin")</f>
        <v>1</v>
      </c>
      <c r="BB116" s="247">
        <f>COUNTIFS($D$2:$D879, "Epic", $E$2:$E879, "TOG", $F$2:F879, "Paladin" )*2</f>
        <v>4</v>
      </c>
      <c r="BC116" s="272">
        <f>SUMIFS($W$2:$W879, $D$2:$D879, "Epic", $E$2:$E879, "Adv4", $F$2:F879, "Paladin")</f>
        <v>0</v>
      </c>
      <c r="BD116" s="247">
        <f>COUNTIFS($D$2:$D879, "Epic", $E$2:$E879, "Adv4", $F$2:F879, "Paladin" )*2</f>
        <v>0</v>
      </c>
    </row>
    <row r="117" spans="1:56" ht="14.25">
      <c r="A117" s="187"/>
      <c r="B117" s="188">
        <v>5</v>
      </c>
      <c r="C117" s="189" t="s">
        <v>384</v>
      </c>
      <c r="D117" s="190" t="s">
        <v>58</v>
      </c>
      <c r="E117" s="190" t="s">
        <v>58</v>
      </c>
      <c r="F117" s="190" t="s">
        <v>115</v>
      </c>
      <c r="G117" s="215">
        <v>2</v>
      </c>
      <c r="H117" s="191">
        <f>COUNTIFS(Reference!D:D,VLOOKUP(C117,Reference!B:D,3,0),Reference!C:C,"&lt;="&amp;VLOOKUP(VLOOKUP(C117,Reference!B:D,3,0),Setup!$C$9:$D$17,2,0),Reference!B:B,C117)</f>
        <v>0</v>
      </c>
      <c r="I117" s="192">
        <v>1</v>
      </c>
      <c r="J117" s="192">
        <v>1</v>
      </c>
      <c r="K117" s="215" t="s">
        <v>182</v>
      </c>
      <c r="L117" s="191"/>
      <c r="M117" s="215">
        <v>4</v>
      </c>
      <c r="N117" s="215">
        <v>2</v>
      </c>
      <c r="O117" s="193" t="s">
        <v>385</v>
      </c>
      <c r="P117" s="194" t="s">
        <v>275</v>
      </c>
      <c r="Q117" s="190" t="s">
        <v>148</v>
      </c>
      <c r="R117" s="173"/>
      <c r="S117" s="195">
        <f>MATCH($D117,Reference!$J$5:$J$9,0)</f>
        <v>1</v>
      </c>
      <c r="T117" s="195">
        <f>MATCH($E117,Reference!$J$26:$J$32,0)</f>
        <v>1</v>
      </c>
      <c r="U117" s="195">
        <f>MATCH($F117,Reference!$J$45:$J$54,0)</f>
        <v>10</v>
      </c>
      <c r="V117" s="196">
        <f>MATCH($K117,Reference!$J$37:$J$39,0)</f>
        <v>3</v>
      </c>
      <c r="W117" s="197">
        <f t="shared" si="0"/>
        <v>2</v>
      </c>
      <c r="X117" s="197">
        <f t="shared" si="1"/>
        <v>1</v>
      </c>
      <c r="Y117" s="198">
        <v>0</v>
      </c>
      <c r="Z117" s="197">
        <f t="shared" si="2"/>
        <v>2</v>
      </c>
      <c r="AA117" s="199" t="b">
        <f t="shared" si="3"/>
        <v>0</v>
      </c>
      <c r="AB117" s="199" t="b">
        <f t="shared" si="4"/>
        <v>0</v>
      </c>
      <c r="AC117" s="200">
        <f t="shared" ref="AC117:AD117" si="202">1-I117</f>
        <v>0</v>
      </c>
      <c r="AD117" s="200">
        <f t="shared" si="202"/>
        <v>0</v>
      </c>
      <c r="AE117" s="199">
        <f t="shared" si="6"/>
        <v>2</v>
      </c>
      <c r="AF117" s="201">
        <f t="shared" si="7"/>
        <v>0</v>
      </c>
      <c r="AG117" s="201">
        <f t="shared" si="8"/>
        <v>1</v>
      </c>
      <c r="AH117" s="202">
        <f t="shared" si="9"/>
        <v>0</v>
      </c>
      <c r="AI117" s="205"/>
      <c r="AJ117" s="249" t="s">
        <v>70</v>
      </c>
      <c r="AK117" s="250">
        <f t="shared" ref="AK117:AL117" si="203">SUM(AO117+AM117+AQ117+AS117+AU117+AW117+AY117+BA117+BC117)</f>
        <v>2</v>
      </c>
      <c r="AL117" s="250">
        <f t="shared" si="203"/>
        <v>4</v>
      </c>
      <c r="AM117" s="275">
        <f>SUMIFS($W$2:$W879, $D$2:$D879, "Legendary", $E$2:$E879, "Classic", $F$2:F879, "Paladin")</f>
        <v>1</v>
      </c>
      <c r="AN117" s="275">
        <f>COUNTIFS($D$2:$D879, "Legendary", $E$2:$E879, "Classic", $F$2:F879, "Paladin" )</f>
        <v>1</v>
      </c>
      <c r="AO117" s="276">
        <f>SUMIFS($W$2:$W879, $D$2:$D879, "Legendary", $E$2:$E879, "Promo", $F$2:F879, "Paladin")</f>
        <v>0</v>
      </c>
      <c r="AP117" s="277">
        <f>COUNTIFS($D$2:$D879, "Legendary", $E$2:$E879, "Promo", $F$2:F879, "Paladin" )</f>
        <v>0</v>
      </c>
      <c r="AQ117" s="275">
        <f>SUMIFS($W$2:$W879, $D$2:$D879, "Legendary", $E$2:$E879, "Naxx", $F$2:F879, "Paladin")</f>
        <v>0</v>
      </c>
      <c r="AR117" s="275">
        <f>COUNTIFS($D$2:$D879, "Legendary", $E$2:$E879, "Naxx", $F$2:F879, "Paladin" )</f>
        <v>0</v>
      </c>
      <c r="AS117" s="276">
        <f>SUMIFS($W$2:$W879, $D$2:$D879, "Legendary", $E$2:$E879, "GvG", $F$2:F879, "Paladin")</f>
        <v>0</v>
      </c>
      <c r="AT117" s="277">
        <f>COUNTIFS($D$2:$D879, "Legendary", $E$2:$E879, "GvG", $F$2:F879, "Paladin" )</f>
        <v>1</v>
      </c>
      <c r="AU117" s="275">
        <f>SUMIFS($W$2:$W879, $D$2:$D879, "Legendary", $E$2:$E879, "Blackrock", $F$2:F879, "Paladin")</f>
        <v>0</v>
      </c>
      <c r="AV117" s="275">
        <f>COUNTIFS($D$2:$D879, "Legendary", $E$2:$E879, "Blackrock", $F$2:F879, "Paladin" )</f>
        <v>0</v>
      </c>
      <c r="AW117" s="275">
        <f>SUMIFS($W$2:$W879, $D$2:$D879, "Legendary", $E$2:$E879, "TGT", $F$2:F879, "Paladin")</f>
        <v>1</v>
      </c>
      <c r="AX117" s="277">
        <f>COUNTIFS($D$2:$D879, "Legendary", $E$2:$E879, "TGT", $F$2:F879, "Paladin" )</f>
        <v>1</v>
      </c>
      <c r="AY117" s="275">
        <f>SUMIFS($W$2:$W879, $D$2:$D879, "Legendary", $E$2:$E879, "LoE", $F$2:F879, "Paladin")</f>
        <v>0</v>
      </c>
      <c r="AZ117" s="277">
        <f>COUNTIFS($D$2:$D879, "Legendary", $E$2:$E879, "LoE", $F$2:F879, "Paladin" )</f>
        <v>0</v>
      </c>
      <c r="BA117" s="275">
        <f>SUMIFS($W$2:$W879, $D$2:$D879, "Legendary", $E$2:$E879, "TOG", $F$2:F879, "Paladin")</f>
        <v>0</v>
      </c>
      <c r="BB117" s="277">
        <f>COUNTIFS($D$2:$D879, "Legendary", $E$2:$E879, "TOG", $F$2:F879, "Paladin" )</f>
        <v>1</v>
      </c>
      <c r="BC117" s="275">
        <f>SUMIFS($W$2:$W879, $D$2:$D879, "Legendary", $E$2:$E879, "Adv4", $F$2:F879, "Paladin")</f>
        <v>0</v>
      </c>
      <c r="BD117" s="251">
        <f>COUNTIFS($D$2:$D879, "Legendary", $E$2:$E879, "Adv4", $F$2:F879, "Paladin" )*2</f>
        <v>0</v>
      </c>
    </row>
    <row r="118" spans="1:56" ht="14.25">
      <c r="A118" s="187"/>
      <c r="B118" s="188">
        <v>5</v>
      </c>
      <c r="C118" s="189" t="s">
        <v>386</v>
      </c>
      <c r="D118" s="190" t="s">
        <v>58</v>
      </c>
      <c r="E118" s="190" t="s">
        <v>58</v>
      </c>
      <c r="F118" s="190" t="s">
        <v>11</v>
      </c>
      <c r="G118" s="191">
        <f>COUNTIFS(Reference!F:F,C118,Reference!G:G,"&lt;="&amp;VLOOKUP($F118,Setup!$C$9:$D$17,2,0))</f>
        <v>2</v>
      </c>
      <c r="H118" s="191">
        <f>COUNTIFS(Reference!B:B,C118,Reference!C:C,"&lt;="&amp;VLOOKUP("Hunter",Setup!$C$9:$D$17,2,0))</f>
        <v>0</v>
      </c>
      <c r="I118" s="192">
        <v>1</v>
      </c>
      <c r="J118" s="192">
        <v>1</v>
      </c>
      <c r="K118" s="191" t="s">
        <v>182</v>
      </c>
      <c r="L118" s="191" t="s">
        <v>230</v>
      </c>
      <c r="M118" s="191">
        <v>2</v>
      </c>
      <c r="N118" s="191">
        <v>5</v>
      </c>
      <c r="O118" s="193" t="s">
        <v>387</v>
      </c>
      <c r="P118" s="194" t="s">
        <v>232</v>
      </c>
      <c r="Q118" s="190" t="s">
        <v>148</v>
      </c>
      <c r="R118" s="173"/>
      <c r="S118" s="195">
        <f>MATCH($D118,Reference!$J$5:$J$9,0)</f>
        <v>1</v>
      </c>
      <c r="T118" s="195">
        <f>MATCH($E118,Reference!$J$26:$J$32,0)</f>
        <v>1</v>
      </c>
      <c r="U118" s="195">
        <f>MATCH($F118,Reference!$J$45:$J$54,0)</f>
        <v>2</v>
      </c>
      <c r="V118" s="196">
        <f>MATCH($K118,Reference!$J$37:$J$39,0)</f>
        <v>3</v>
      </c>
      <c r="W118" s="197">
        <f t="shared" si="0"/>
        <v>2</v>
      </c>
      <c r="X118" s="197">
        <f t="shared" si="1"/>
        <v>1</v>
      </c>
      <c r="Y118" s="198">
        <v>0</v>
      </c>
      <c r="Z118" s="197">
        <f t="shared" si="2"/>
        <v>2</v>
      </c>
      <c r="AA118" s="199" t="b">
        <f t="shared" si="3"/>
        <v>0</v>
      </c>
      <c r="AB118" s="199" t="b">
        <f t="shared" si="4"/>
        <v>0</v>
      </c>
      <c r="AC118" s="200">
        <f t="shared" ref="AC118:AD118" si="204">1-I118</f>
        <v>0</v>
      </c>
      <c r="AD118" s="200">
        <f t="shared" si="204"/>
        <v>0</v>
      </c>
      <c r="AE118" s="199">
        <f t="shared" si="6"/>
        <v>2</v>
      </c>
      <c r="AF118" s="201">
        <f t="shared" si="7"/>
        <v>0</v>
      </c>
      <c r="AG118" s="201">
        <f t="shared" si="8"/>
        <v>1</v>
      </c>
      <c r="AH118" s="202">
        <f t="shared" si="9"/>
        <v>0</v>
      </c>
      <c r="AI118" s="205"/>
      <c r="AJ118" s="259" t="s">
        <v>22</v>
      </c>
      <c r="AK118" s="260"/>
      <c r="AL118" s="261"/>
      <c r="AM118" s="260"/>
      <c r="AN118" s="261"/>
      <c r="AO118" s="260"/>
      <c r="AP118" s="261"/>
      <c r="AQ118" s="260"/>
      <c r="AR118" s="261"/>
      <c r="AS118" s="260"/>
      <c r="AT118" s="261"/>
      <c r="AU118" s="260"/>
      <c r="AV118" s="261"/>
      <c r="AW118" s="260"/>
      <c r="AX118" s="261"/>
      <c r="AY118" s="260"/>
      <c r="AZ118" s="261"/>
      <c r="BA118" s="260"/>
      <c r="BB118" s="261"/>
      <c r="BC118" s="260"/>
      <c r="BD118" s="261"/>
    </row>
    <row r="119" spans="1:56" ht="14.25">
      <c r="A119" s="279"/>
      <c r="B119" s="188">
        <v>6</v>
      </c>
      <c r="C119" s="189" t="s">
        <v>388</v>
      </c>
      <c r="D119" s="190" t="s">
        <v>58</v>
      </c>
      <c r="E119" s="190" t="s">
        <v>58</v>
      </c>
      <c r="F119" s="190" t="s">
        <v>115</v>
      </c>
      <c r="G119" s="215">
        <v>2</v>
      </c>
      <c r="H119" s="191">
        <f>COUNTIFS(Reference!B:B,C119,Reference!C:C,"&lt;="&amp;VLOOKUP("Mage",Setup!$C$9:$D$17,2,0))</f>
        <v>0</v>
      </c>
      <c r="I119" s="192">
        <v>1</v>
      </c>
      <c r="J119" s="192">
        <v>1</v>
      </c>
      <c r="K119" s="215" t="s">
        <v>182</v>
      </c>
      <c r="L119" s="191"/>
      <c r="M119" s="215">
        <v>4</v>
      </c>
      <c r="N119" s="215">
        <v>7</v>
      </c>
      <c r="O119" s="193" t="s">
        <v>267</v>
      </c>
      <c r="P119" s="194" t="s">
        <v>268</v>
      </c>
      <c r="Q119" s="190" t="s">
        <v>148</v>
      </c>
      <c r="R119" s="173"/>
      <c r="S119" s="195">
        <f>MATCH($D119,Reference!$J$5:$J$9,0)</f>
        <v>1</v>
      </c>
      <c r="T119" s="195">
        <f>MATCH($E119,Reference!$J$26:$J$32,0)</f>
        <v>1</v>
      </c>
      <c r="U119" s="195">
        <f>MATCH($F119,Reference!$J$45:$J$54,0)</f>
        <v>10</v>
      </c>
      <c r="V119" s="196">
        <f>MATCH($K119,Reference!$J$37:$J$39,0)</f>
        <v>3</v>
      </c>
      <c r="W119" s="197">
        <f t="shared" si="0"/>
        <v>2</v>
      </c>
      <c r="X119" s="197">
        <f t="shared" si="1"/>
        <v>1</v>
      </c>
      <c r="Y119" s="198">
        <v>0</v>
      </c>
      <c r="Z119" s="197">
        <f t="shared" si="2"/>
        <v>2</v>
      </c>
      <c r="AA119" s="199" t="b">
        <f t="shared" si="3"/>
        <v>0</v>
      </c>
      <c r="AB119" s="199" t="b">
        <f t="shared" si="4"/>
        <v>0</v>
      </c>
      <c r="AC119" s="200">
        <f t="shared" ref="AC119:AD119" si="205">1-I119</f>
        <v>0</v>
      </c>
      <c r="AD119" s="200">
        <f t="shared" si="205"/>
        <v>0</v>
      </c>
      <c r="AE119" s="199">
        <f t="shared" si="6"/>
        <v>2</v>
      </c>
      <c r="AF119" s="201">
        <f t="shared" si="7"/>
        <v>0</v>
      </c>
      <c r="AG119" s="201">
        <f t="shared" si="8"/>
        <v>1</v>
      </c>
      <c r="AH119" s="202">
        <f t="shared" si="9"/>
        <v>0</v>
      </c>
      <c r="AI119" s="205"/>
      <c r="AJ119" s="262" t="s">
        <v>224</v>
      </c>
      <c r="AK119" s="263">
        <f t="shared" ref="AK119:AP119" si="206">SUM(AK107:AK111)</f>
        <v>50</v>
      </c>
      <c r="AL119" s="264">
        <f t="shared" si="206"/>
        <v>57</v>
      </c>
      <c r="AM119" s="263">
        <f t="shared" si="206"/>
        <v>23</v>
      </c>
      <c r="AN119" s="264">
        <f t="shared" si="206"/>
        <v>25</v>
      </c>
      <c r="AO119" s="263">
        <f t="shared" si="206"/>
        <v>0</v>
      </c>
      <c r="AP119" s="264">
        <f t="shared" si="206"/>
        <v>0</v>
      </c>
      <c r="AQ119" s="263">
        <f>SUM(AQ107:AQ111)</f>
        <v>1</v>
      </c>
      <c r="AR119" s="264">
        <f>SUM(AR107:AR111)</f>
        <v>1</v>
      </c>
      <c r="AS119" s="263">
        <f>SUM(AS107:AS111)</f>
        <v>7</v>
      </c>
      <c r="AT119" s="264">
        <f>SUM(AT107:AT111)</f>
        <v>8</v>
      </c>
      <c r="AU119" s="263">
        <f t="shared" ref="AU119:BD119" si="207">SUM(AU107:AU111)</f>
        <v>2</v>
      </c>
      <c r="AV119" s="264">
        <f t="shared" si="207"/>
        <v>2</v>
      </c>
      <c r="AW119" s="263">
        <f t="shared" si="207"/>
        <v>9</v>
      </c>
      <c r="AX119" s="264">
        <f t="shared" si="207"/>
        <v>9</v>
      </c>
      <c r="AY119" s="263">
        <f t="shared" si="207"/>
        <v>3</v>
      </c>
      <c r="AZ119" s="264">
        <f t="shared" si="207"/>
        <v>3</v>
      </c>
      <c r="BA119" s="263">
        <f t="shared" si="207"/>
        <v>5</v>
      </c>
      <c r="BB119" s="264">
        <f t="shared" si="207"/>
        <v>9</v>
      </c>
      <c r="BC119" s="263">
        <f t="shared" si="207"/>
        <v>0</v>
      </c>
      <c r="BD119" s="264">
        <f t="shared" si="207"/>
        <v>0</v>
      </c>
    </row>
    <row r="120" spans="1:56" ht="14.25">
      <c r="A120" s="187"/>
      <c r="B120" s="188">
        <v>6</v>
      </c>
      <c r="C120" s="189" t="s">
        <v>389</v>
      </c>
      <c r="D120" s="190" t="s">
        <v>58</v>
      </c>
      <c r="E120" s="190" t="s">
        <v>58</v>
      </c>
      <c r="F120" s="190" t="s">
        <v>115</v>
      </c>
      <c r="G120" s="215">
        <v>2</v>
      </c>
      <c r="H120" s="191">
        <f>COUNTIFS(Reference!D:D,VLOOKUP(C120,Reference!B:D,3,0),Reference!C:C,"&lt;="&amp;VLOOKUP(VLOOKUP(C120,Reference!B:D,3,0),Setup!$C$9:$D$17,2,0),Reference!B:B,C120)</f>
        <v>0</v>
      </c>
      <c r="I120" s="192">
        <v>1</v>
      </c>
      <c r="J120" s="192">
        <v>1</v>
      </c>
      <c r="K120" s="215" t="s">
        <v>182</v>
      </c>
      <c r="L120" s="191"/>
      <c r="M120" s="215">
        <v>6</v>
      </c>
      <c r="N120" s="215">
        <v>7</v>
      </c>
      <c r="O120" s="193"/>
      <c r="P120" s="194"/>
      <c r="Q120" s="190" t="s">
        <v>148</v>
      </c>
      <c r="R120" s="173"/>
      <c r="S120" s="195">
        <f>MATCH($D120,Reference!$J$5:$J$9,0)</f>
        <v>1</v>
      </c>
      <c r="T120" s="195">
        <f>MATCH($E120,Reference!$J$26:$J$32,0)</f>
        <v>1</v>
      </c>
      <c r="U120" s="195">
        <f>MATCH($F120,Reference!$J$45:$J$54,0)</f>
        <v>10</v>
      </c>
      <c r="V120" s="196">
        <f>MATCH($K120,Reference!$J$37:$J$39,0)</f>
        <v>3</v>
      </c>
      <c r="W120" s="197">
        <f t="shared" si="0"/>
        <v>2</v>
      </c>
      <c r="X120" s="197">
        <f t="shared" si="1"/>
        <v>1</v>
      </c>
      <c r="Y120" s="198">
        <v>0</v>
      </c>
      <c r="Z120" s="197">
        <f t="shared" si="2"/>
        <v>2</v>
      </c>
      <c r="AA120" s="199" t="b">
        <f t="shared" si="3"/>
        <v>0</v>
      </c>
      <c r="AB120" s="199" t="b">
        <f t="shared" si="4"/>
        <v>0</v>
      </c>
      <c r="AC120" s="200">
        <f t="shared" ref="AC120:AD120" si="208">1-I120</f>
        <v>0</v>
      </c>
      <c r="AD120" s="200">
        <f t="shared" si="208"/>
        <v>0</v>
      </c>
      <c r="AE120" s="199">
        <f t="shared" si="6"/>
        <v>2</v>
      </c>
      <c r="AF120" s="201">
        <f t="shared" si="7"/>
        <v>0</v>
      </c>
      <c r="AG120" s="201">
        <f t="shared" si="8"/>
        <v>1</v>
      </c>
      <c r="AH120" s="202">
        <f t="shared" si="9"/>
        <v>0</v>
      </c>
      <c r="AI120" s="205"/>
      <c r="AJ120" s="265" t="s">
        <v>240</v>
      </c>
      <c r="AK120" s="266">
        <f t="shared" ref="AK120:AL120" si="209">SUM(AK113:AK117)</f>
        <v>94</v>
      </c>
      <c r="AL120" s="267">
        <f t="shared" si="209"/>
        <v>110</v>
      </c>
      <c r="AM120" s="266">
        <f t="shared" ref="AM120:AR120" si="210">SUM(AM113:AM117)</f>
        <v>43</v>
      </c>
      <c r="AN120" s="267">
        <f t="shared" si="210"/>
        <v>49</v>
      </c>
      <c r="AO120" s="266">
        <f t="shared" si="210"/>
        <v>0</v>
      </c>
      <c r="AP120" s="267">
        <f t="shared" si="210"/>
        <v>0</v>
      </c>
      <c r="AQ120" s="266">
        <f t="shared" si="210"/>
        <v>2</v>
      </c>
      <c r="AR120" s="267">
        <f t="shared" si="210"/>
        <v>2</v>
      </c>
      <c r="AS120" s="266">
        <f>SUM(AS114:AS117)</f>
        <v>13</v>
      </c>
      <c r="AT120" s="267">
        <f>SUM(AT113:AT117)</f>
        <v>15</v>
      </c>
      <c r="AU120" s="266">
        <f t="shared" ref="AU120:BD120" si="211">SUM(AU113:AU117)</f>
        <v>4</v>
      </c>
      <c r="AV120" s="267">
        <f t="shared" si="211"/>
        <v>4</v>
      </c>
      <c r="AW120" s="266">
        <f t="shared" si="211"/>
        <v>17</v>
      </c>
      <c r="AX120" s="267">
        <f t="shared" si="211"/>
        <v>17</v>
      </c>
      <c r="AY120" s="266">
        <f t="shared" si="211"/>
        <v>6</v>
      </c>
      <c r="AZ120" s="267">
        <f t="shared" si="211"/>
        <v>6</v>
      </c>
      <c r="BA120" s="266">
        <f t="shared" si="211"/>
        <v>9</v>
      </c>
      <c r="BB120" s="267">
        <f t="shared" si="211"/>
        <v>17</v>
      </c>
      <c r="BC120" s="266">
        <f t="shared" si="211"/>
        <v>0</v>
      </c>
      <c r="BD120" s="267">
        <f t="shared" si="211"/>
        <v>0</v>
      </c>
    </row>
    <row r="121" spans="1:56" ht="14.25">
      <c r="A121" s="211"/>
      <c r="B121" s="188">
        <v>6</v>
      </c>
      <c r="C121" s="189" t="s">
        <v>390</v>
      </c>
      <c r="D121" s="190" t="s">
        <v>58</v>
      </c>
      <c r="E121" s="190" t="s">
        <v>58</v>
      </c>
      <c r="F121" s="190" t="s">
        <v>25</v>
      </c>
      <c r="G121" s="191">
        <f>COUNTIFS(Reference!F:F,C121,Reference!G:G,"&lt;="&amp;VLOOKUP($F121,Setup!$C$9:$D$17,2,0))</f>
        <v>2</v>
      </c>
      <c r="H121" s="191">
        <f>COUNTIFS(Reference!B:B,C121,Reference!C:C,"&lt;="&amp;VLOOKUP("Warlock",Setup!$C$9:$D$17,2,0))</f>
        <v>2</v>
      </c>
      <c r="I121" s="192">
        <v>1</v>
      </c>
      <c r="J121" s="192">
        <v>1</v>
      </c>
      <c r="K121" s="191" t="s">
        <v>182</v>
      </c>
      <c r="L121" s="191" t="s">
        <v>239</v>
      </c>
      <c r="M121" s="191">
        <v>6</v>
      </c>
      <c r="N121" s="191">
        <v>6</v>
      </c>
      <c r="O121" s="193" t="s">
        <v>391</v>
      </c>
      <c r="P121" s="194" t="s">
        <v>275</v>
      </c>
      <c r="Q121" s="190" t="s">
        <v>148</v>
      </c>
      <c r="R121" s="173"/>
      <c r="S121" s="195">
        <f>MATCH($D121,Reference!$J$5:$J$9,0)</f>
        <v>1</v>
      </c>
      <c r="T121" s="195">
        <f>MATCH($E121,Reference!$J$26:$J$32,0)</f>
        <v>1</v>
      </c>
      <c r="U121" s="195">
        <f>MATCH($F121,Reference!$J$45:$J$54,0)</f>
        <v>8</v>
      </c>
      <c r="V121" s="196">
        <f>MATCH($K121,Reference!$J$37:$J$39,0)</f>
        <v>3</v>
      </c>
      <c r="W121" s="197">
        <f t="shared" si="0"/>
        <v>2</v>
      </c>
      <c r="X121" s="197">
        <f t="shared" si="1"/>
        <v>1</v>
      </c>
      <c r="Y121" s="198">
        <v>0</v>
      </c>
      <c r="Z121" s="197">
        <f t="shared" si="2"/>
        <v>2</v>
      </c>
      <c r="AA121" s="199" t="b">
        <f t="shared" si="3"/>
        <v>0</v>
      </c>
      <c r="AB121" s="199" t="b">
        <f t="shared" si="4"/>
        <v>0</v>
      </c>
      <c r="AC121" s="200">
        <f t="shared" ref="AC121:AD121" si="212">1-I121</f>
        <v>0</v>
      </c>
      <c r="AD121" s="200">
        <f t="shared" si="212"/>
        <v>0</v>
      </c>
      <c r="AE121" s="199">
        <f t="shared" si="6"/>
        <v>2</v>
      </c>
      <c r="AF121" s="201">
        <f t="shared" si="7"/>
        <v>2</v>
      </c>
      <c r="AG121" s="201">
        <f t="shared" si="8"/>
        <v>1</v>
      </c>
      <c r="AH121" s="202">
        <f t="shared" si="9"/>
        <v>0</v>
      </c>
      <c r="AI121" s="205"/>
      <c r="AJ121" s="173"/>
      <c r="AK121" s="173"/>
      <c r="AL121" s="173"/>
      <c r="AM121" s="173"/>
      <c r="AN121" s="173"/>
      <c r="AO121" s="173"/>
      <c r="AP121" s="173"/>
      <c r="AQ121" s="173"/>
      <c r="AR121" s="173"/>
      <c r="AS121" s="173"/>
      <c r="AT121" s="173"/>
      <c r="AU121" s="173"/>
      <c r="AV121" s="173"/>
    </row>
    <row r="122" spans="1:56" ht="14.25">
      <c r="A122" s="187"/>
      <c r="B122" s="188">
        <v>6</v>
      </c>
      <c r="C122" s="189" t="s">
        <v>392</v>
      </c>
      <c r="D122" s="190" t="s">
        <v>58</v>
      </c>
      <c r="E122" s="190" t="s">
        <v>58</v>
      </c>
      <c r="F122" s="190" t="s">
        <v>21</v>
      </c>
      <c r="G122" s="191">
        <f>COUNTIFS(Reference!F:F,C122,Reference!G:G,"&lt;="&amp;VLOOKUP($F122,Setup!$C$9:$D$17,2,0))</f>
        <v>2</v>
      </c>
      <c r="H122" s="191">
        <f>COUNTIFS(Reference!B:B,C122,Reference!C:C,"&lt;="&amp;VLOOKUP("Shaman",Setup!$C$9:$D$17,2,0))</f>
        <v>0</v>
      </c>
      <c r="I122" s="192">
        <v>1</v>
      </c>
      <c r="J122" s="192">
        <v>1</v>
      </c>
      <c r="K122" s="191" t="s">
        <v>182</v>
      </c>
      <c r="L122" s="191"/>
      <c r="M122" s="191">
        <v>6</v>
      </c>
      <c r="N122" s="191">
        <v>5</v>
      </c>
      <c r="O122" s="193" t="s">
        <v>393</v>
      </c>
      <c r="P122" s="194" t="s">
        <v>275</v>
      </c>
      <c r="Q122" s="190" t="s">
        <v>148</v>
      </c>
      <c r="R122" s="173"/>
      <c r="S122" s="195">
        <f>MATCH($D122,Reference!$J$5:$J$9,0)</f>
        <v>1</v>
      </c>
      <c r="T122" s="195">
        <f>MATCH($E122,Reference!$J$26:$J$32,0)</f>
        <v>1</v>
      </c>
      <c r="U122" s="195">
        <f>MATCH($F122,Reference!$J$45:$J$54,0)</f>
        <v>7</v>
      </c>
      <c r="V122" s="196">
        <f>MATCH($K122,Reference!$J$37:$J$39,0)</f>
        <v>3</v>
      </c>
      <c r="W122" s="197">
        <f t="shared" si="0"/>
        <v>2</v>
      </c>
      <c r="X122" s="197">
        <f t="shared" si="1"/>
        <v>1</v>
      </c>
      <c r="Y122" s="198">
        <v>0</v>
      </c>
      <c r="Z122" s="197">
        <f t="shared" si="2"/>
        <v>2</v>
      </c>
      <c r="AA122" s="199" t="b">
        <f t="shared" si="3"/>
        <v>0</v>
      </c>
      <c r="AB122" s="199" t="b">
        <f t="shared" si="4"/>
        <v>0</v>
      </c>
      <c r="AC122" s="200">
        <f t="shared" ref="AC122:AD122" si="213">1-I122</f>
        <v>0</v>
      </c>
      <c r="AD122" s="200">
        <f t="shared" si="213"/>
        <v>0</v>
      </c>
      <c r="AE122" s="199">
        <f t="shared" si="6"/>
        <v>2</v>
      </c>
      <c r="AF122" s="201">
        <f t="shared" si="7"/>
        <v>0</v>
      </c>
      <c r="AG122" s="201">
        <f t="shared" si="8"/>
        <v>1</v>
      </c>
      <c r="AH122" s="202">
        <f t="shared" si="9"/>
        <v>0</v>
      </c>
      <c r="AI122" s="205"/>
    </row>
    <row r="123" spans="1:56">
      <c r="A123" s="211"/>
      <c r="B123" s="188">
        <v>6</v>
      </c>
      <c r="C123" s="189" t="s">
        <v>394</v>
      </c>
      <c r="D123" s="190" t="s">
        <v>58</v>
      </c>
      <c r="E123" s="190" t="s">
        <v>58</v>
      </c>
      <c r="F123" s="190" t="s">
        <v>115</v>
      </c>
      <c r="G123" s="215">
        <v>2</v>
      </c>
      <c r="H123" s="191">
        <f>COUNTIFS(Reference!D:D,VLOOKUP(C123,Reference!B:D,3,0),Reference!C:C,"&lt;="&amp;VLOOKUP(VLOOKUP(C123,Reference!B:D,3,0),Setup!$C$9:$D$17,2,0),Reference!B:B,C123)</f>
        <v>0</v>
      </c>
      <c r="I123" s="192">
        <v>1</v>
      </c>
      <c r="J123" s="192">
        <v>1</v>
      </c>
      <c r="K123" s="215" t="s">
        <v>182</v>
      </c>
      <c r="L123" s="191"/>
      <c r="M123" s="215">
        <v>6</v>
      </c>
      <c r="N123" s="215">
        <v>5</v>
      </c>
      <c r="O123" s="193" t="s">
        <v>192</v>
      </c>
      <c r="P123" s="194" t="s">
        <v>193</v>
      </c>
      <c r="Q123" s="190" t="s">
        <v>148</v>
      </c>
      <c r="R123" s="173"/>
      <c r="S123" s="195">
        <f>MATCH($D123,Reference!$J$5:$J$9,0)</f>
        <v>1</v>
      </c>
      <c r="T123" s="195">
        <f>MATCH($E123,Reference!$J$26:$J$32,0)</f>
        <v>1</v>
      </c>
      <c r="U123" s="195">
        <f>MATCH($F123,Reference!$J$45:$J$54,0)</f>
        <v>10</v>
      </c>
      <c r="V123" s="196">
        <f>MATCH($K123,Reference!$J$37:$J$39,0)</f>
        <v>3</v>
      </c>
      <c r="W123" s="197">
        <f t="shared" si="0"/>
        <v>2</v>
      </c>
      <c r="X123" s="197">
        <f t="shared" si="1"/>
        <v>1</v>
      </c>
      <c r="Y123" s="198">
        <v>0</v>
      </c>
      <c r="Z123" s="197">
        <f t="shared" si="2"/>
        <v>2</v>
      </c>
      <c r="AA123" s="199" t="b">
        <f t="shared" si="3"/>
        <v>0</v>
      </c>
      <c r="AB123" s="199" t="b">
        <f t="shared" si="4"/>
        <v>0</v>
      </c>
      <c r="AC123" s="200">
        <f t="shared" ref="AC123:AD123" si="214">1-I123</f>
        <v>0</v>
      </c>
      <c r="AD123" s="200">
        <f t="shared" si="214"/>
        <v>0</v>
      </c>
      <c r="AE123" s="199">
        <f t="shared" si="6"/>
        <v>2</v>
      </c>
      <c r="AF123" s="201">
        <f t="shared" si="7"/>
        <v>0</v>
      </c>
      <c r="AG123" s="201">
        <f t="shared" si="8"/>
        <v>1</v>
      </c>
      <c r="AH123" s="202">
        <f t="shared" si="9"/>
        <v>0</v>
      </c>
      <c r="AI123" s="205"/>
      <c r="AJ123" s="1134" t="s">
        <v>18</v>
      </c>
      <c r="AK123" s="1102"/>
      <c r="AL123" s="1102"/>
      <c r="AM123" s="1102"/>
      <c r="AN123" s="1102"/>
      <c r="AO123" s="1102"/>
      <c r="AP123" s="1102"/>
      <c r="AQ123" s="1102"/>
      <c r="AR123" s="1102"/>
      <c r="AS123" s="1102"/>
      <c r="AT123" s="1102"/>
      <c r="AU123" s="1102"/>
      <c r="AV123" s="1102"/>
      <c r="AW123" s="1102"/>
      <c r="AX123" s="1102"/>
      <c r="AY123" s="1102"/>
      <c r="AZ123" s="1102"/>
      <c r="BA123" s="1102"/>
      <c r="BB123" s="1102"/>
      <c r="BC123" s="1102"/>
      <c r="BD123" s="1102"/>
    </row>
    <row r="124" spans="1:56" ht="14.25">
      <c r="A124" s="279"/>
      <c r="B124" s="188">
        <v>6</v>
      </c>
      <c r="C124" s="189" t="s">
        <v>395</v>
      </c>
      <c r="D124" s="190" t="s">
        <v>58</v>
      </c>
      <c r="E124" s="190" t="s">
        <v>58</v>
      </c>
      <c r="F124" s="190" t="s">
        <v>115</v>
      </c>
      <c r="G124" s="215">
        <v>2</v>
      </c>
      <c r="H124" s="191">
        <f>COUNTIFS(Reference!D:D,VLOOKUP(C124,Reference!B:D,3,0),Reference!C:C,"&lt;="&amp;VLOOKUP(VLOOKUP(C124,Reference!B:D,3,0),Setup!$C$9:$D$17,2,0),Reference!B:B,C124)</f>
        <v>0</v>
      </c>
      <c r="I124" s="192">
        <v>1</v>
      </c>
      <c r="J124" s="192">
        <v>1</v>
      </c>
      <c r="K124" s="215" t="s">
        <v>182</v>
      </c>
      <c r="L124" s="191"/>
      <c r="M124" s="215">
        <v>5</v>
      </c>
      <c r="N124" s="215">
        <v>2</v>
      </c>
      <c r="O124" s="193" t="s">
        <v>231</v>
      </c>
      <c r="P124" s="194" t="s">
        <v>396</v>
      </c>
      <c r="Q124" s="190" t="s">
        <v>148</v>
      </c>
      <c r="R124" s="173"/>
      <c r="S124" s="195">
        <f>MATCH($D124,Reference!$J$5:$J$9,0)</f>
        <v>1</v>
      </c>
      <c r="T124" s="195">
        <f>MATCH($E124,Reference!$J$26:$J$32,0)</f>
        <v>1</v>
      </c>
      <c r="U124" s="195">
        <f>MATCH($F124,Reference!$J$45:$J$54,0)</f>
        <v>10</v>
      </c>
      <c r="V124" s="196">
        <f>MATCH($K124,Reference!$J$37:$J$39,0)</f>
        <v>3</v>
      </c>
      <c r="W124" s="197">
        <f t="shared" si="0"/>
        <v>2</v>
      </c>
      <c r="X124" s="197">
        <f t="shared" si="1"/>
        <v>1</v>
      </c>
      <c r="Y124" s="198">
        <v>0</v>
      </c>
      <c r="Z124" s="197">
        <f t="shared" si="2"/>
        <v>2</v>
      </c>
      <c r="AA124" s="199" t="b">
        <f t="shared" si="3"/>
        <v>0</v>
      </c>
      <c r="AB124" s="199" t="b">
        <f t="shared" si="4"/>
        <v>0</v>
      </c>
      <c r="AC124" s="200">
        <f t="shared" ref="AC124:AD124" si="215">1-I124</f>
        <v>0</v>
      </c>
      <c r="AD124" s="200">
        <f t="shared" si="215"/>
        <v>0</v>
      </c>
      <c r="AE124" s="199">
        <f t="shared" si="6"/>
        <v>2</v>
      </c>
      <c r="AF124" s="201">
        <f t="shared" si="7"/>
        <v>0</v>
      </c>
      <c r="AG124" s="201">
        <f t="shared" si="8"/>
        <v>1</v>
      </c>
      <c r="AH124" s="202">
        <f t="shared" si="9"/>
        <v>0</v>
      </c>
      <c r="AI124" s="205"/>
      <c r="AJ124" s="224" t="s">
        <v>122</v>
      </c>
      <c r="AK124" s="1133" t="s">
        <v>22</v>
      </c>
      <c r="AL124" s="1102"/>
      <c r="AM124" s="1133" t="s">
        <v>77</v>
      </c>
      <c r="AN124" s="1102"/>
      <c r="AO124" s="1133" t="s">
        <v>78</v>
      </c>
      <c r="AP124" s="1102"/>
      <c r="AQ124" s="1133" t="s">
        <v>79</v>
      </c>
      <c r="AR124" s="1102"/>
      <c r="AS124" s="1133" t="s">
        <v>80</v>
      </c>
      <c r="AT124" s="1102"/>
      <c r="AU124" s="1133" t="s">
        <v>220</v>
      </c>
      <c r="AV124" s="1102"/>
      <c r="AW124" s="1133" t="s">
        <v>82</v>
      </c>
      <c r="AX124" s="1102"/>
      <c r="AY124" s="1133" t="s">
        <v>84</v>
      </c>
      <c r="AZ124" s="1102"/>
      <c r="BA124" s="1133" t="s">
        <v>73</v>
      </c>
      <c r="BB124" s="1102"/>
      <c r="BC124" s="1133" t="s">
        <v>221</v>
      </c>
      <c r="BD124" s="1102"/>
    </row>
    <row r="125" spans="1:56" ht="14.25">
      <c r="A125" s="187"/>
      <c r="B125" s="217">
        <v>6</v>
      </c>
      <c r="C125" s="218" t="s">
        <v>397</v>
      </c>
      <c r="D125" s="190" t="s">
        <v>58</v>
      </c>
      <c r="E125" s="190" t="s">
        <v>58</v>
      </c>
      <c r="F125" s="190" t="s">
        <v>8</v>
      </c>
      <c r="G125" s="191">
        <f>COUNTIFS(Reference!F:F,C125,Reference!G:G,"&lt;="&amp;VLOOKUP($F125,Setup!$C$9:$D$17,2,0))</f>
        <v>2</v>
      </c>
      <c r="H125" s="191">
        <f>COUNTIFS(Reference!B:B,C125,Reference!C:C,"&lt;="&amp;VLOOKUP("Druid",Setup!$C$9:$D$17,2,0))</f>
        <v>0</v>
      </c>
      <c r="I125" s="192">
        <v>1</v>
      </c>
      <c r="J125" s="192">
        <v>1</v>
      </c>
      <c r="K125" s="191" t="s">
        <v>146</v>
      </c>
      <c r="L125" s="191"/>
      <c r="M125" s="191"/>
      <c r="N125" s="191"/>
      <c r="O125" s="193" t="s">
        <v>398</v>
      </c>
      <c r="P125" s="194"/>
      <c r="Q125" s="190" t="s">
        <v>148</v>
      </c>
      <c r="R125" s="173"/>
      <c r="S125" s="195">
        <f>MATCH($D125,Reference!$J$5:$J$9,0)</f>
        <v>1</v>
      </c>
      <c r="T125" s="195">
        <f>MATCH($E125,Reference!$J$26:$J$32,0)</f>
        <v>1</v>
      </c>
      <c r="U125" s="195">
        <f>MATCH($F125,Reference!$J$45:$J$54,0)</f>
        <v>1</v>
      </c>
      <c r="V125" s="196">
        <f>MATCH($K125,Reference!$J$37:$J$39,0)</f>
        <v>2</v>
      </c>
      <c r="W125" s="197">
        <f t="shared" si="0"/>
        <v>2</v>
      </c>
      <c r="X125" s="197">
        <f t="shared" si="1"/>
        <v>1</v>
      </c>
      <c r="Y125" s="198">
        <v>0</v>
      </c>
      <c r="Z125" s="197">
        <f t="shared" si="2"/>
        <v>2</v>
      </c>
      <c r="AA125" s="199" t="b">
        <f t="shared" si="3"/>
        <v>0</v>
      </c>
      <c r="AB125" s="199" t="b">
        <f t="shared" si="4"/>
        <v>0</v>
      </c>
      <c r="AC125" s="200">
        <f t="shared" ref="AC125:AD125" si="216">1-I125</f>
        <v>0</v>
      </c>
      <c r="AD125" s="200">
        <f t="shared" si="216"/>
        <v>0</v>
      </c>
      <c r="AE125" s="199">
        <f t="shared" si="6"/>
        <v>2</v>
      </c>
      <c r="AF125" s="201">
        <f t="shared" si="7"/>
        <v>0</v>
      </c>
      <c r="AG125" s="201">
        <f t="shared" si="8"/>
        <v>1</v>
      </c>
      <c r="AH125" s="202">
        <f t="shared" si="9"/>
        <v>0</v>
      </c>
      <c r="AI125" s="205"/>
      <c r="AJ125" s="225" t="s">
        <v>224</v>
      </c>
      <c r="AK125" s="226"/>
      <c r="AL125" s="227"/>
      <c r="AM125" s="226"/>
      <c r="AN125" s="227"/>
      <c r="AO125" s="228"/>
      <c r="AP125" s="227"/>
      <c r="AQ125" s="226"/>
      <c r="AR125" s="227"/>
      <c r="AS125" s="228"/>
      <c r="AT125" s="227"/>
      <c r="AU125" s="226"/>
      <c r="AV125" s="227"/>
      <c r="AW125" s="229"/>
      <c r="AX125" s="230"/>
      <c r="AY125" s="229"/>
      <c r="AZ125" s="230"/>
      <c r="BA125" s="229"/>
      <c r="BB125" s="230"/>
      <c r="BC125" s="229"/>
      <c r="BD125" s="230"/>
    </row>
    <row r="126" spans="1:56" ht="14.25">
      <c r="A126" s="187"/>
      <c r="B126" s="217">
        <v>6</v>
      </c>
      <c r="C126" s="218" t="s">
        <v>399</v>
      </c>
      <c r="D126" s="190" t="s">
        <v>58</v>
      </c>
      <c r="E126" s="190" t="s">
        <v>58</v>
      </c>
      <c r="F126" s="190" t="s">
        <v>20</v>
      </c>
      <c r="G126" s="191">
        <f>COUNTIFS(Reference!F:F,C126,Reference!G:G,"&lt;="&amp;VLOOKUP($F126,Setup!$C$9:$D$17,2,0))</f>
        <v>2</v>
      </c>
      <c r="H126" s="191">
        <f>COUNTIFS(Reference!B:B,C126,Reference!C:C,"&lt;="&amp;VLOOKUP("Rogue",Setup!$C$9:$D$17,2,0))</f>
        <v>2</v>
      </c>
      <c r="I126" s="192">
        <v>1</v>
      </c>
      <c r="J126" s="192">
        <v>1</v>
      </c>
      <c r="K126" s="191" t="s">
        <v>146</v>
      </c>
      <c r="L126" s="191"/>
      <c r="M126" s="191"/>
      <c r="N126" s="191"/>
      <c r="O126" s="193" t="s">
        <v>400</v>
      </c>
      <c r="P126" s="194"/>
      <c r="Q126" s="190" t="s">
        <v>148</v>
      </c>
      <c r="R126" s="173"/>
      <c r="S126" s="195">
        <f>MATCH($D126,Reference!$J$5:$J$9,0)</f>
        <v>1</v>
      </c>
      <c r="T126" s="195">
        <f>MATCH($E126,Reference!$J$26:$J$32,0)</f>
        <v>1</v>
      </c>
      <c r="U126" s="195">
        <f>MATCH($F126,Reference!$J$45:$J$54,0)</f>
        <v>6</v>
      </c>
      <c r="V126" s="196">
        <f>MATCH($K126,Reference!$J$37:$J$39,0)</f>
        <v>2</v>
      </c>
      <c r="W126" s="197">
        <f t="shared" si="0"/>
        <v>2</v>
      </c>
      <c r="X126" s="197">
        <f t="shared" si="1"/>
        <v>1</v>
      </c>
      <c r="Y126" s="198">
        <v>0</v>
      </c>
      <c r="Z126" s="197">
        <f t="shared" si="2"/>
        <v>2</v>
      </c>
      <c r="AA126" s="199" t="b">
        <f t="shared" si="3"/>
        <v>0</v>
      </c>
      <c r="AB126" s="199" t="b">
        <f t="shared" si="4"/>
        <v>0</v>
      </c>
      <c r="AC126" s="200">
        <f t="shared" ref="AC126:AD126" si="217">1-I126</f>
        <v>0</v>
      </c>
      <c r="AD126" s="200">
        <f t="shared" si="217"/>
        <v>0</v>
      </c>
      <c r="AE126" s="199">
        <f t="shared" si="6"/>
        <v>2</v>
      </c>
      <c r="AF126" s="201">
        <f t="shared" si="7"/>
        <v>2</v>
      </c>
      <c r="AG126" s="201">
        <f t="shared" si="8"/>
        <v>1</v>
      </c>
      <c r="AH126" s="202">
        <f t="shared" si="9"/>
        <v>0</v>
      </c>
      <c r="AI126" s="205"/>
      <c r="AJ126" s="231" t="s">
        <v>58</v>
      </c>
      <c r="AK126" s="232">
        <f t="shared" ref="AK126:AL126" si="218">SUM(AO126+AM126+AQ126+AS126+AU126+AW126+AY126+BA126+BC126)</f>
        <v>10</v>
      </c>
      <c r="AL126" s="232">
        <f t="shared" si="218"/>
        <v>10</v>
      </c>
      <c r="AM126" s="191">
        <f>SUMIFS($X$2:$X879, $E$2:$E879, "Basic", $F$2:F879, "Priest")</f>
        <v>10</v>
      </c>
      <c r="AN126" s="191">
        <f>COUNTIFS($E$2:$E879, "Basic", $E$2:$E879, "Basic", $F$2:F879, "Priest" )</f>
        <v>10</v>
      </c>
      <c r="AO126" s="234"/>
      <c r="AP126" s="235"/>
      <c r="AQ126" s="191"/>
      <c r="AR126" s="235"/>
      <c r="AS126" s="234"/>
      <c r="AT126" s="235"/>
      <c r="AU126" s="191"/>
      <c r="AV126" s="235"/>
      <c r="AW126" s="191"/>
      <c r="AX126" s="235"/>
      <c r="AY126" s="191"/>
      <c r="AZ126" s="235"/>
      <c r="BA126" s="191"/>
      <c r="BB126" s="235"/>
      <c r="BC126" s="191"/>
      <c r="BD126" s="235"/>
    </row>
    <row r="127" spans="1:56" ht="14.25">
      <c r="A127" s="187"/>
      <c r="B127" s="188">
        <v>7</v>
      </c>
      <c r="C127" s="189" t="s">
        <v>401</v>
      </c>
      <c r="D127" s="190" t="s">
        <v>58</v>
      </c>
      <c r="E127" s="190" t="s">
        <v>58</v>
      </c>
      <c r="F127" s="190" t="s">
        <v>115</v>
      </c>
      <c r="G127" s="215">
        <v>2</v>
      </c>
      <c r="H127" s="191">
        <f>COUNTIFS(Reference!D:D,VLOOKUP(C127,Reference!B:D,3,0),Reference!C:C,"&lt;="&amp;VLOOKUP(VLOOKUP(C127,Reference!B:D,3,0),Setup!$C$9:$D$17,2,0),Reference!B:B,C127)</f>
        <v>0</v>
      </c>
      <c r="I127" s="192">
        <v>1</v>
      </c>
      <c r="J127" s="192">
        <v>1</v>
      </c>
      <c r="K127" s="215" t="s">
        <v>182</v>
      </c>
      <c r="L127" s="191" t="s">
        <v>230</v>
      </c>
      <c r="M127" s="215">
        <v>9</v>
      </c>
      <c r="N127" s="215">
        <v>5</v>
      </c>
      <c r="O127" s="193"/>
      <c r="P127" s="194"/>
      <c r="Q127" s="190" t="s">
        <v>148</v>
      </c>
      <c r="R127" s="173"/>
      <c r="S127" s="195">
        <f>MATCH($D127,Reference!$J$5:$J$9,0)</f>
        <v>1</v>
      </c>
      <c r="T127" s="195">
        <f>MATCH($E127,Reference!$J$26:$J$32,0)</f>
        <v>1</v>
      </c>
      <c r="U127" s="195">
        <f>MATCH($F127,Reference!$J$45:$J$54,0)</f>
        <v>10</v>
      </c>
      <c r="V127" s="196">
        <f>MATCH($K127,Reference!$J$37:$J$39,0)</f>
        <v>3</v>
      </c>
      <c r="W127" s="197">
        <f t="shared" si="0"/>
        <v>2</v>
      </c>
      <c r="X127" s="197">
        <f t="shared" si="1"/>
        <v>1</v>
      </c>
      <c r="Y127" s="198">
        <v>0</v>
      </c>
      <c r="Z127" s="197">
        <f t="shared" si="2"/>
        <v>2</v>
      </c>
      <c r="AA127" s="199" t="b">
        <f t="shared" si="3"/>
        <v>0</v>
      </c>
      <c r="AB127" s="199" t="b">
        <f t="shared" si="4"/>
        <v>0</v>
      </c>
      <c r="AC127" s="200">
        <f t="shared" ref="AC127:AD127" si="219">1-I127</f>
        <v>0</v>
      </c>
      <c r="AD127" s="200">
        <f t="shared" si="219"/>
        <v>0</v>
      </c>
      <c r="AE127" s="199">
        <f t="shared" si="6"/>
        <v>2</v>
      </c>
      <c r="AF127" s="201">
        <f t="shared" si="7"/>
        <v>0</v>
      </c>
      <c r="AG127" s="201">
        <f t="shared" si="8"/>
        <v>1</v>
      </c>
      <c r="AH127" s="202">
        <f t="shared" si="9"/>
        <v>0</v>
      </c>
      <c r="AI127" s="205"/>
      <c r="AJ127" s="236" t="s">
        <v>63</v>
      </c>
      <c r="AK127" s="237">
        <f t="shared" ref="AK127:AL127" si="220">SUM(AO127+AM127+AQ127+AS127+AU127+AW127+AY127+BA127+BC127)</f>
        <v>18</v>
      </c>
      <c r="AL127" s="237">
        <f t="shared" si="220"/>
        <v>18</v>
      </c>
      <c r="AM127" s="229">
        <f>SUMIFS($X$2:$X879, $D$2:$D879, "Common", $E$2:$E879, "Classic", $F$2:F879, "Priest")</f>
        <v>6</v>
      </c>
      <c r="AN127" s="229">
        <f>COUNTIFS($D$2:$D879, "Common", $E$2:$E879, "Classic", $F$2:F879, "Priest" )</f>
        <v>6</v>
      </c>
      <c r="AO127" s="268">
        <f>SUMIFS($X$2:$X879, $D$2:$D879, "Common", $E$2:$E879, "Promo", $F$2:F879, "Priest")</f>
        <v>0</v>
      </c>
      <c r="AP127" s="230">
        <f>COUNTIFS($D$2:$D879, "Common", $E$2:$E879, "Promo", $F$2:F879, "Priest" )</f>
        <v>0</v>
      </c>
      <c r="AQ127" s="229">
        <f>SUMIFS($X$2:$X879, $D$2:$D879, "Common", $E$2:$E879, "Naxx", $F$2:F879, "Priest")</f>
        <v>1</v>
      </c>
      <c r="AR127" s="229">
        <f>COUNTIFS($D$2:$D879, "Common", $E$2:$E879, "Naxx", $F$2:F879, "Priest" )</f>
        <v>1</v>
      </c>
      <c r="AS127" s="268">
        <f>SUMIFS($X$2:$X879, $D$2:$D879, "Common", $E$2:$E879, "GvG", $F$2:F879, "Priest")</f>
        <v>2</v>
      </c>
      <c r="AT127" s="230">
        <f>COUNTIFS($D$2:$D879, "Common", $E$2:$E879, "GvG", $F$2:F879, "Priest" )</f>
        <v>2</v>
      </c>
      <c r="AU127" s="229">
        <f>SUMIFS($X$2:$X879, $D$2:$D879, "Common", $E$2:$E879, "Blackrock", $F$2:F879, "Priest")</f>
        <v>1</v>
      </c>
      <c r="AV127" s="229">
        <f>COUNTIFS($D$2:$D879, "Common", $E$2:$E879, "Blackrock", $F$2:F879, "Priest" )</f>
        <v>1</v>
      </c>
      <c r="AW127" s="229">
        <f>SUMIFS($X$2:$X879, $D$2:$D879, "Common", $E$2:$E879, "TGT", $F$2:F879, "Priest")</f>
        <v>3</v>
      </c>
      <c r="AX127" s="230">
        <f>COUNTIFS($D$2:$D879, "Common", $E$2:$E879, "TGT", $F$2:F879, "Priest" )</f>
        <v>3</v>
      </c>
      <c r="AY127" s="229">
        <f>SUMIFS($X$2:$X879, $D$2:$D879, "Common", $E$2:$E879, "LoE", $F$2:F879, "Priest")</f>
        <v>2</v>
      </c>
      <c r="AZ127" s="230">
        <f>COUNTIFS($D$2:$D879, "Common", $E$2:$E879, "LoE", $F$2:F879, "Priest" )</f>
        <v>2</v>
      </c>
      <c r="BA127" s="229">
        <f>SUMIFS($X$2:$X879, $D$2:$D879, "Common", $E$2:$E879, "TOG", $F$2:F879, "Priest")</f>
        <v>3</v>
      </c>
      <c r="BB127" s="230">
        <f>COUNTIFS($D$2:$D879, "Common", $E$2:$E879, "TOG", $F$2:F879, "Priest" )</f>
        <v>3</v>
      </c>
      <c r="BC127" s="229">
        <f>SUMIFS($X$2:$X879, $D$2:$D879, "Common", $E$2:$E879, "Adv4", $F$2:F879, "Priest")</f>
        <v>0</v>
      </c>
      <c r="BD127" s="230">
        <f>COUNTIFS($D$2:$D879, "Common", $E$2:$E879, "Adv4", $F$2:F879, "Priest" )</f>
        <v>0</v>
      </c>
    </row>
    <row r="128" spans="1:56" ht="14.25">
      <c r="A128" s="240"/>
      <c r="B128" s="188">
        <v>7</v>
      </c>
      <c r="C128" s="189" t="s">
        <v>402</v>
      </c>
      <c r="D128" s="190" t="s">
        <v>58</v>
      </c>
      <c r="E128" s="190" t="s">
        <v>58</v>
      </c>
      <c r="F128" s="190" t="s">
        <v>13</v>
      </c>
      <c r="G128" s="191">
        <f>COUNTIFS(Reference!F:F,C128,Reference!G:G,"&lt;="&amp;VLOOKUP($F128,Setup!$C$9:$D$17,2,0))</f>
        <v>2</v>
      </c>
      <c r="H128" s="191">
        <f>COUNTIFS(Reference!B:B,C128,Reference!C:C,"&lt;="&amp;VLOOKUP("Mage",Setup!$C$9:$D$17,2,0))</f>
        <v>0</v>
      </c>
      <c r="I128" s="192">
        <v>1</v>
      </c>
      <c r="J128" s="192">
        <v>1</v>
      </c>
      <c r="K128" s="191" t="s">
        <v>146</v>
      </c>
      <c r="L128" s="191"/>
      <c r="M128" s="191"/>
      <c r="N128" s="191"/>
      <c r="O128" s="193" t="s">
        <v>403</v>
      </c>
      <c r="P128" s="194"/>
      <c r="Q128" s="190" t="s">
        <v>148</v>
      </c>
      <c r="R128" s="173"/>
      <c r="S128" s="195">
        <f>MATCH($D128,Reference!$J$5:$J$9,0)</f>
        <v>1</v>
      </c>
      <c r="T128" s="195">
        <f>MATCH($E128,Reference!$J$26:$J$32,0)</f>
        <v>1</v>
      </c>
      <c r="U128" s="195">
        <f>MATCH($F128,Reference!$J$45:$J$54,0)</f>
        <v>3</v>
      </c>
      <c r="V128" s="196">
        <f>MATCH($K128,Reference!$J$37:$J$39,0)</f>
        <v>2</v>
      </c>
      <c r="W128" s="197">
        <f t="shared" si="0"/>
        <v>2</v>
      </c>
      <c r="X128" s="197">
        <f t="shared" si="1"/>
        <v>1</v>
      </c>
      <c r="Y128" s="198">
        <v>0</v>
      </c>
      <c r="Z128" s="197">
        <f t="shared" si="2"/>
        <v>2</v>
      </c>
      <c r="AA128" s="199" t="b">
        <f t="shared" si="3"/>
        <v>0</v>
      </c>
      <c r="AB128" s="199" t="b">
        <f t="shared" si="4"/>
        <v>0</v>
      </c>
      <c r="AC128" s="200">
        <f t="shared" ref="AC128:AD128" si="221">1-I128</f>
        <v>0</v>
      </c>
      <c r="AD128" s="200">
        <f t="shared" si="221"/>
        <v>0</v>
      </c>
      <c r="AE128" s="199">
        <f t="shared" si="6"/>
        <v>2</v>
      </c>
      <c r="AF128" s="201">
        <f t="shared" si="7"/>
        <v>0</v>
      </c>
      <c r="AG128" s="201">
        <f t="shared" si="8"/>
        <v>1</v>
      </c>
      <c r="AH128" s="202">
        <f t="shared" si="9"/>
        <v>0</v>
      </c>
      <c r="AI128" s="205"/>
      <c r="AJ128" s="241" t="s">
        <v>68</v>
      </c>
      <c r="AK128" s="242">
        <f t="shared" ref="AK128:AL128" si="222">SUM(AO128+AM128+AQ128+AS128+AU128+AW128+AY128+BA128+BC128)</f>
        <v>16</v>
      </c>
      <c r="AL128" s="242">
        <f t="shared" si="222"/>
        <v>16</v>
      </c>
      <c r="AM128" s="269">
        <f>SUMIFS($X$2:$X879, $D$2:$D879, "Rare", $E$2:$E879, "Classic", $F$2:F879, "Priest")</f>
        <v>5</v>
      </c>
      <c r="AN128" s="269">
        <f>COUNTIFS($D$2:$D879, "Rare", $E$2:$E879, "Classic", $F$2:F879, "Priest" )</f>
        <v>5</v>
      </c>
      <c r="AO128" s="270">
        <f>SUMIFS($X$2:$X879, $D$2:$D879, "Rare", $E$2:$E879, "Promo", $F$2:F879, "Priest")</f>
        <v>0</v>
      </c>
      <c r="AP128" s="271">
        <f>COUNTIFS($D$2:$D879, "Rare", $E$2:$E879, "Promo", $F$2:F879, "Priest" )</f>
        <v>0</v>
      </c>
      <c r="AQ128" s="269">
        <f>SUMIFS($X$2:$X879, $D$2:$D879, "Rare", $E$2:$E879, "Naxx", $F$2:F879, "Priest")</f>
        <v>0</v>
      </c>
      <c r="AR128" s="269">
        <f>COUNTIFS($D$2:$D879, "Rare", $E$2:$E879, "Naxx", $F$2:F879, "Priest" )</f>
        <v>0</v>
      </c>
      <c r="AS128" s="270">
        <f>SUMIFS($X$2:$X879, $D$2:$D879, "Rare", $E$2:$E879, "GvG", $F$2:F879, "Priest")</f>
        <v>3</v>
      </c>
      <c r="AT128" s="271">
        <f>COUNTIFS($D$2:$D879, "Rare", $E$2:$E879, "GvG", $F$2:F879, "Priest" )</f>
        <v>3</v>
      </c>
      <c r="AU128" s="269">
        <f>SUMIFS($X$2:$X879, $D$2:$D879, "Rare", $E$2:$E879, "Blackrock", $F$2:F879, "Priest")</f>
        <v>1</v>
      </c>
      <c r="AV128" s="269">
        <f>COUNTIFS($D$2:$D879, "Rare", $E$2:$E879, "Blackrock", $F$2:F879, "Priest" )</f>
        <v>1</v>
      </c>
      <c r="AW128" s="269">
        <f>SUMIFS($X$2:$X879, $D$2:$D879, "Rare", $E$2:$E879, "TGT", $F$2:F879, "Priest")</f>
        <v>3</v>
      </c>
      <c r="AX128" s="271">
        <f>COUNTIFS($D$2:$D879, "Rare", $E$2:$E879, "TGT", $F$2:F879, "Priest" )</f>
        <v>3</v>
      </c>
      <c r="AY128" s="269">
        <f>SUMIFS($X$2:$X879, $D$2:$D879, "Rare", $E$2:$E879, "LoE", $F$2:F879, "Priest")</f>
        <v>1</v>
      </c>
      <c r="AZ128" s="271">
        <f>COUNTIFS($D$2:$D879, "Rare", $E$2:$E879, "LoE", $F$2:F879, "Priest" )</f>
        <v>1</v>
      </c>
      <c r="BA128" s="269">
        <f>SUMIFS($X$2:$X879, $D$2:$D879, "Rare", $E$2:$E879, "TOG", $F$2:F879, "Priest")</f>
        <v>3</v>
      </c>
      <c r="BB128" s="271">
        <f>COUNTIFS($D$2:$D879, "Rare", $E$2:$E879, "TOG", $F$2:F879, "Priest" )</f>
        <v>3</v>
      </c>
      <c r="BC128" s="269">
        <f>SUMIFS($X$2:$X879, $D$2:$D879, "Rare", $E$2:$E879, "Adv4", $F$2:F879, "Priest")</f>
        <v>0</v>
      </c>
      <c r="BD128" s="271">
        <f>COUNTIFS($D$2:$D879, "Rare", $E$2:$E879, "Adv4", $F$2:F879, "Priest" )</f>
        <v>0</v>
      </c>
    </row>
    <row r="129" spans="1:56" ht="14.25">
      <c r="A129" s="206"/>
      <c r="B129" s="188">
        <v>7</v>
      </c>
      <c r="C129" s="189" t="s">
        <v>404</v>
      </c>
      <c r="D129" s="190" t="s">
        <v>58</v>
      </c>
      <c r="E129" s="190" t="s">
        <v>58</v>
      </c>
      <c r="F129" s="190" t="s">
        <v>16</v>
      </c>
      <c r="G129" s="191">
        <f>COUNTIFS(Reference!F:F,C129,Reference!G:G,"&lt;="&amp;VLOOKUP($F129,Setup!$C$9:$D$17,2,0))</f>
        <v>2</v>
      </c>
      <c r="H129" s="191">
        <f>COUNTIFS(Reference!B:B,C129,Reference!C:C,"&lt;="&amp;VLOOKUP("Paladin",Setup!$C$9:$D$17,2,0))</f>
        <v>0</v>
      </c>
      <c r="I129" s="192">
        <v>1</v>
      </c>
      <c r="J129" s="192">
        <v>1</v>
      </c>
      <c r="K129" s="191" t="s">
        <v>182</v>
      </c>
      <c r="L129" s="191"/>
      <c r="M129" s="191">
        <v>5</v>
      </c>
      <c r="N129" s="191">
        <v>6</v>
      </c>
      <c r="O129" s="193" t="s">
        <v>405</v>
      </c>
      <c r="P129" s="194" t="s">
        <v>184</v>
      </c>
      <c r="Q129" s="190" t="s">
        <v>148</v>
      </c>
      <c r="R129" s="173"/>
      <c r="S129" s="195">
        <f>MATCH($D129,Reference!$J$5:$J$9,0)</f>
        <v>1</v>
      </c>
      <c r="T129" s="195">
        <f>MATCH($E129,Reference!$J$26:$J$32,0)</f>
        <v>1</v>
      </c>
      <c r="U129" s="195">
        <f>MATCH($F129,Reference!$J$45:$J$54,0)</f>
        <v>4</v>
      </c>
      <c r="V129" s="196">
        <f>MATCH($K129,Reference!$J$37:$J$39,0)</f>
        <v>3</v>
      </c>
      <c r="W129" s="197">
        <f t="shared" si="0"/>
        <v>2</v>
      </c>
      <c r="X129" s="197">
        <f t="shared" si="1"/>
        <v>1</v>
      </c>
      <c r="Y129" s="198">
        <v>0</v>
      </c>
      <c r="Z129" s="197">
        <f t="shared" si="2"/>
        <v>2</v>
      </c>
      <c r="AA129" s="199" t="b">
        <f t="shared" si="3"/>
        <v>0</v>
      </c>
      <c r="AB129" s="199" t="b">
        <f t="shared" si="4"/>
        <v>0</v>
      </c>
      <c r="AC129" s="200">
        <f t="shared" ref="AC129:AD129" si="223">1-I129</f>
        <v>0</v>
      </c>
      <c r="AD129" s="200">
        <f t="shared" si="223"/>
        <v>0</v>
      </c>
      <c r="AE129" s="199">
        <f t="shared" si="6"/>
        <v>2</v>
      </c>
      <c r="AF129" s="201">
        <f t="shared" si="7"/>
        <v>0</v>
      </c>
      <c r="AG129" s="201">
        <f t="shared" si="8"/>
        <v>1</v>
      </c>
      <c r="AH129" s="202">
        <f t="shared" si="9"/>
        <v>0</v>
      </c>
      <c r="AI129" s="205"/>
      <c r="AJ129" s="245" t="s">
        <v>69</v>
      </c>
      <c r="AK129" s="246">
        <f t="shared" ref="AK129:AL129" si="224">SUM(AO129+AM129+AQ129+AS129+AU129+AW129+AY129+BA129+BC129)</f>
        <v>7</v>
      </c>
      <c r="AL129" s="246">
        <f t="shared" si="224"/>
        <v>9</v>
      </c>
      <c r="AM129" s="272">
        <f>SUMIFS($X$2:$X879, $D$2:$D879, "Epic", $E$2:$E879, "Classic", $F$2:F879, "Priest")</f>
        <v>3</v>
      </c>
      <c r="AN129" s="272">
        <f>COUNTIFS($D$2:$D879, "Epic", $E$2:$E879, "Classic", $F$2:F879, "Priest" )</f>
        <v>3</v>
      </c>
      <c r="AO129" s="273">
        <f>SUMIFS($X$2:$X879, $D$2:$D879, "Epic", $E$2:$E879, "Promo", $F$2:F879, "Priest")</f>
        <v>0</v>
      </c>
      <c r="AP129" s="274">
        <f>COUNTIFS($D$2:$D879, "Epic", $E$2:$E879, "Promo", $F$2:F879, "Priest" )</f>
        <v>0</v>
      </c>
      <c r="AQ129" s="272">
        <f>SUMIFS($X$2:$X879, $D$2:$D879, "Epic", $E$2:$E879, "Naxx", $F$2:F879, "Priest")</f>
        <v>0</v>
      </c>
      <c r="AR129" s="272">
        <f>COUNTIFS($D$2:$D879, "Epic", $E$2:$E879, "Naxx", $F$2:F879, "Priest" )</f>
        <v>0</v>
      </c>
      <c r="AS129" s="273">
        <f>SUMIFS($X$2:$X879, $D$2:$D879, "Epic", $E$2:$E879, "GvG", $F$2:F879, "Priest")</f>
        <v>1</v>
      </c>
      <c r="AT129" s="274">
        <f>COUNTIFS($D$2:$D879, "Epic", $E$2:$E879, "GvG", $F$2:F879, "Priest" )</f>
        <v>2</v>
      </c>
      <c r="AU129" s="272">
        <f>SUMIFS($X$2:$X879, $D$2:$D879, "Epic", $E$2:$E879, "Blackrock", $F$2:F879, "Priest")</f>
        <v>0</v>
      </c>
      <c r="AV129" s="272">
        <f>COUNTIFS($D$2:$D879, "Epic", $E$2:$E879, "Blackrock", $F$2:F879, "Priest" )</f>
        <v>0</v>
      </c>
      <c r="AW129" s="272">
        <f>SUMIFS($X$2:$X879, $D$2:$D879, "Epic", $E$2:$E879, "TGT", $F$2:F879, "Priest")</f>
        <v>2</v>
      </c>
      <c r="AX129" s="274">
        <f>COUNTIFS($D$2:$D879, "Epic", $E$2:$E879, "TGT", $F$2:F879, "Priest" )</f>
        <v>2</v>
      </c>
      <c r="AY129" s="272">
        <f>SUMIFS($X$2:$X879, $D$2:$D879, "Epic", $E$2:$E879, "LoE", $F$2:F879, "Priest")</f>
        <v>0</v>
      </c>
      <c r="AZ129" s="274">
        <f>COUNTIFS($D$2:$D879, "Epic", $E$2:$E879, "LoE", $F$2:F879, "Priest" )</f>
        <v>0</v>
      </c>
      <c r="BA129" s="272">
        <f>SUMIFS($X$2:$X879, $D$2:$D879, "Epic", $E$2:$E879, "TOG", $F$2:F879, "Priest")</f>
        <v>1</v>
      </c>
      <c r="BB129" s="274">
        <f>COUNTIFS($D$2:$D879, "Epic", $E$2:$E879, "TOG", $F$2:F879, "Priest" )</f>
        <v>2</v>
      </c>
      <c r="BC129" s="272">
        <f>SUMIFS($X$2:$X879, $D$2:$D879, "Epic", $E$2:$E879, "Adv4", $F$2:F879, "Priest")</f>
        <v>0</v>
      </c>
      <c r="BD129" s="274">
        <f>COUNTIFS($D$2:$D879, "Epic", $E$2:$E879, "Adv4", $F$2:F879, "Priest" )</f>
        <v>0</v>
      </c>
    </row>
    <row r="130" spans="1:56" ht="14.25">
      <c r="A130" s="209"/>
      <c r="B130" s="188">
        <v>7</v>
      </c>
      <c r="C130" s="189" t="s">
        <v>406</v>
      </c>
      <c r="D130" s="190" t="s">
        <v>58</v>
      </c>
      <c r="E130" s="190" t="s">
        <v>58</v>
      </c>
      <c r="F130" s="190" t="s">
        <v>20</v>
      </c>
      <c r="G130" s="191">
        <f>COUNTIFS(Reference!F:F,C130,Reference!G:G,"&lt;="&amp;VLOOKUP($F130,Setup!$C$9:$D$17,2,0))</f>
        <v>2</v>
      </c>
      <c r="H130" s="191">
        <f>COUNTIFS(Reference!B:B,C130,Reference!C:C,"&lt;="&amp;VLOOKUP("Rogue",Setup!$C$9:$D$17,2,0))</f>
        <v>0</v>
      </c>
      <c r="I130" s="192">
        <v>1</v>
      </c>
      <c r="J130" s="192">
        <v>1</v>
      </c>
      <c r="K130" s="191" t="s">
        <v>146</v>
      </c>
      <c r="L130" s="191"/>
      <c r="M130" s="191"/>
      <c r="N130" s="191"/>
      <c r="O130" s="193" t="s">
        <v>407</v>
      </c>
      <c r="P130" s="194"/>
      <c r="Q130" s="190" t="s">
        <v>148</v>
      </c>
      <c r="R130" s="173"/>
      <c r="S130" s="195">
        <f>MATCH($D130,Reference!$J$5:$J$9,0)</f>
        <v>1</v>
      </c>
      <c r="T130" s="195">
        <f>MATCH($E130,Reference!$J$26:$J$32,0)</f>
        <v>1</v>
      </c>
      <c r="U130" s="195">
        <f>MATCH($F130,Reference!$J$45:$J$54,0)</f>
        <v>6</v>
      </c>
      <c r="V130" s="196">
        <f>MATCH($K130,Reference!$J$37:$J$39,0)</f>
        <v>2</v>
      </c>
      <c r="W130" s="197">
        <f t="shared" si="0"/>
        <v>2</v>
      </c>
      <c r="X130" s="197">
        <f t="shared" si="1"/>
        <v>1</v>
      </c>
      <c r="Y130" s="198">
        <v>0</v>
      </c>
      <c r="Z130" s="197">
        <f t="shared" si="2"/>
        <v>2</v>
      </c>
      <c r="AA130" s="199" t="b">
        <f t="shared" si="3"/>
        <v>0</v>
      </c>
      <c r="AB130" s="199" t="b">
        <f t="shared" si="4"/>
        <v>0</v>
      </c>
      <c r="AC130" s="200">
        <f t="shared" ref="AC130:AD130" si="225">1-I130</f>
        <v>0</v>
      </c>
      <c r="AD130" s="200">
        <f t="shared" si="225"/>
        <v>0</v>
      </c>
      <c r="AE130" s="199">
        <f t="shared" si="6"/>
        <v>2</v>
      </c>
      <c r="AF130" s="201">
        <f t="shared" si="7"/>
        <v>0</v>
      </c>
      <c r="AG130" s="201">
        <f t="shared" si="8"/>
        <v>1</v>
      </c>
      <c r="AH130" s="202">
        <f t="shared" si="9"/>
        <v>0</v>
      </c>
      <c r="AI130" s="205"/>
      <c r="AJ130" s="249" t="s">
        <v>70</v>
      </c>
      <c r="AK130" s="250">
        <f t="shared" ref="AK130:AL130" si="226">SUM(AO130+AM130+AQ130+AS130+AU130+AW130+AY130+BA130+BC130)</f>
        <v>2</v>
      </c>
      <c r="AL130" s="250">
        <f t="shared" si="226"/>
        <v>4</v>
      </c>
      <c r="AM130" s="275">
        <f>SUMIFS($X$2:$X879, $D$2:$D879, "Legendary", $E$2:$E879, "Classic", $F$2:F879, "Priest")</f>
        <v>0</v>
      </c>
      <c r="AN130" s="275">
        <f>COUNTIFS($D$2:$D879, "Legendary", $E$2:$E879, "Classic", $F$2:F879, "Priest" )</f>
        <v>1</v>
      </c>
      <c r="AO130" s="276">
        <f>SUMIFS($X$2:$X879, $D$2:$D879, "Legendary", $E$2:$E879, "Promo", $F$2:F879, "Priest")</f>
        <v>0</v>
      </c>
      <c r="AP130" s="277">
        <f>COUNTIFS($D$2:$D879, "Legendary", $E$2:$E879, "Promo", $F$2:F879, "Priest" )</f>
        <v>0</v>
      </c>
      <c r="AQ130" s="275">
        <f>SUMIFS($X$2:$X879, $D$2:$D879, "Legendary", $E$2:$E879, "Naxx", $F$2:F879, "Priest")</f>
        <v>0</v>
      </c>
      <c r="AR130" s="275">
        <f>COUNTIFS($D$2:$D879, "Legendary", $E$2:$E879, "Naxx", $F$2:F879, "Priest" )</f>
        <v>0</v>
      </c>
      <c r="AS130" s="276">
        <f>SUMIFS($X$2:$X879, $D$2:$D879, "Legendary", $E$2:$E879, "GvG", $F$2:F879, "Priest")</f>
        <v>1</v>
      </c>
      <c r="AT130" s="277">
        <f>COUNTIFS($D$2:$D879, "Legendary", $E$2:$E879, "GvG", $F$2:F879, "Priest" )</f>
        <v>1</v>
      </c>
      <c r="AU130" s="275">
        <f>SUMIFS($X$2:$X879, $D$2:$D879, "Legendary", $E$2:$E879, "Blackrock", $F$2:F879, "Priest")</f>
        <v>0</v>
      </c>
      <c r="AV130" s="275">
        <f>COUNTIFS($D$2:$D879, "Legendary", $E$2:$E879, "Blackrock", $F$2:F879, "Priest" )</f>
        <v>0</v>
      </c>
      <c r="AW130" s="275">
        <f>SUMIFS($X$2:$X879, $D$2:$D879, "Legendary", $E$2:$E879, "TGT", $F$2:F879, "Priest")</f>
        <v>1</v>
      </c>
      <c r="AX130" s="277">
        <f>COUNTIFS($D$2:$D879, "Legendary", $E$2:$E879, "TGT", $F$2:F879, "Priest" )</f>
        <v>1</v>
      </c>
      <c r="AY130" s="275">
        <f>SUMIFS($X$2:$X879, $D$2:$D879, "Legendary", $E$2:$E879, "LoE", $F$2:F879, "Priest")</f>
        <v>0</v>
      </c>
      <c r="AZ130" s="277">
        <f>COUNTIFS($D$2:$D879, "Legendary", $E$2:$E879, "LoE", $F$2:F879, "Priest" )</f>
        <v>0</v>
      </c>
      <c r="BA130" s="275">
        <f>SUMIFS($X$2:$X879, $D$2:$D879, "Legendary", $E$2:$E879, "TOG", $F$2:F879, "Priest")</f>
        <v>0</v>
      </c>
      <c r="BB130" s="277">
        <f>COUNTIFS($D$2:$D879, "Legendary", $E$2:$E879, "TOG", $F$2:F879, "Priest" )</f>
        <v>1</v>
      </c>
      <c r="BC130" s="275">
        <f>SUMIFS($X$2:$X879, $D$2:$D879, "Legendary", $E$2:$E879, "Adv4", $F$2:F879, "Priest")</f>
        <v>0</v>
      </c>
      <c r="BD130" s="277">
        <f>COUNTIFS($D$2:$D879, "Legendary", $E$2:$E879, "Adv4", $F$2:F879, "Priest" )</f>
        <v>0</v>
      </c>
    </row>
    <row r="131" spans="1:56" ht="14.25">
      <c r="A131" s="209"/>
      <c r="B131" s="188">
        <v>7</v>
      </c>
      <c r="C131" s="189" t="s">
        <v>408</v>
      </c>
      <c r="D131" s="190" t="s">
        <v>58</v>
      </c>
      <c r="E131" s="190" t="s">
        <v>58</v>
      </c>
      <c r="F131" s="190" t="s">
        <v>115</v>
      </c>
      <c r="G131" s="215">
        <v>2</v>
      </c>
      <c r="H131" s="191">
        <f>COUNTIFS(Reference!D:D,VLOOKUP(C131,Reference!B:D,3,0),Reference!C:C,"&lt;="&amp;VLOOKUP(VLOOKUP(C131,Reference!B:D,3,0),Setup!$C$9:$D$17,2,0),Reference!B:B,C131)</f>
        <v>0</v>
      </c>
      <c r="I131" s="192">
        <v>1</v>
      </c>
      <c r="J131" s="192">
        <v>1</v>
      </c>
      <c r="K131" s="215" t="s">
        <v>182</v>
      </c>
      <c r="L131" s="191"/>
      <c r="M131" s="215">
        <v>6</v>
      </c>
      <c r="N131" s="215">
        <v>6</v>
      </c>
      <c r="O131" s="193" t="s">
        <v>409</v>
      </c>
      <c r="P131" s="194" t="s">
        <v>197</v>
      </c>
      <c r="Q131" s="190" t="s">
        <v>148</v>
      </c>
      <c r="R131" s="173"/>
      <c r="S131" s="195">
        <f>MATCH($D131,Reference!$J$5:$J$9,0)</f>
        <v>1</v>
      </c>
      <c r="T131" s="195">
        <f>MATCH($E131,Reference!$J$26:$J$32,0)</f>
        <v>1</v>
      </c>
      <c r="U131" s="195">
        <f>MATCH($F131,Reference!$J$45:$J$54,0)</f>
        <v>10</v>
      </c>
      <c r="V131" s="196">
        <f>MATCH($K131,Reference!$J$37:$J$39,0)</f>
        <v>3</v>
      </c>
      <c r="W131" s="197">
        <f t="shared" si="0"/>
        <v>2</v>
      </c>
      <c r="X131" s="197">
        <f t="shared" si="1"/>
        <v>1</v>
      </c>
      <c r="Y131" s="198">
        <v>0</v>
      </c>
      <c r="Z131" s="197">
        <f t="shared" si="2"/>
        <v>2</v>
      </c>
      <c r="AA131" s="199" t="b">
        <f t="shared" si="3"/>
        <v>0</v>
      </c>
      <c r="AB131" s="199" t="b">
        <f t="shared" si="4"/>
        <v>0</v>
      </c>
      <c r="AC131" s="200">
        <f t="shared" ref="AC131:AD131" si="227">1-I131</f>
        <v>0</v>
      </c>
      <c r="AD131" s="200">
        <f t="shared" si="227"/>
        <v>0</v>
      </c>
      <c r="AE131" s="199">
        <f t="shared" si="6"/>
        <v>2</v>
      </c>
      <c r="AF131" s="201">
        <f t="shared" si="7"/>
        <v>0</v>
      </c>
      <c r="AG131" s="201">
        <f t="shared" si="8"/>
        <v>1</v>
      </c>
      <c r="AH131" s="202">
        <f t="shared" si="9"/>
        <v>0</v>
      </c>
      <c r="AI131" s="205"/>
      <c r="AJ131" s="253" t="s">
        <v>240</v>
      </c>
      <c r="AK131" s="229"/>
      <c r="AL131" s="230"/>
      <c r="AM131" s="229"/>
      <c r="AN131" s="230"/>
      <c r="AO131" s="254"/>
      <c r="AP131" s="255"/>
      <c r="AQ131" s="229"/>
      <c r="AR131" s="230"/>
      <c r="AS131" s="254"/>
      <c r="AT131" s="255"/>
      <c r="AU131" s="229"/>
      <c r="AV131" s="230"/>
      <c r="AW131" s="229"/>
      <c r="AX131" s="230"/>
      <c r="AY131" s="229"/>
      <c r="AZ131" s="230"/>
      <c r="BA131" s="229"/>
      <c r="BB131" s="230"/>
      <c r="BC131" s="229"/>
      <c r="BD131" s="230"/>
    </row>
    <row r="132" spans="1:56" ht="14.25">
      <c r="A132" s="187"/>
      <c r="B132" s="188">
        <v>7</v>
      </c>
      <c r="C132" s="189" t="s">
        <v>410</v>
      </c>
      <c r="D132" s="190" t="s">
        <v>58</v>
      </c>
      <c r="E132" s="190" t="s">
        <v>58</v>
      </c>
      <c r="F132" s="190" t="s">
        <v>115</v>
      </c>
      <c r="G132" s="215">
        <v>2</v>
      </c>
      <c r="H132" s="191">
        <f>COUNTIFS(Reference!D:D,VLOOKUP(C132,Reference!B:D,3,0),Reference!C:C,"&lt;="&amp;VLOOKUP(VLOOKUP(C132,Reference!B:D,3,0),Setup!$C$9:$D$17,2,0),Reference!B:B,C132)</f>
        <v>0</v>
      </c>
      <c r="I132" s="192">
        <v>1</v>
      </c>
      <c r="J132" s="192">
        <v>1</v>
      </c>
      <c r="K132" s="215" t="s">
        <v>182</v>
      </c>
      <c r="L132" s="191"/>
      <c r="M132" s="215">
        <v>7</v>
      </c>
      <c r="N132" s="215">
        <v>7</v>
      </c>
      <c r="O132" s="193"/>
      <c r="P132" s="194"/>
      <c r="Q132" s="190" t="s">
        <v>148</v>
      </c>
      <c r="R132" s="173"/>
      <c r="S132" s="195">
        <f>MATCH($D132,Reference!$J$5:$J$9,0)</f>
        <v>1</v>
      </c>
      <c r="T132" s="195">
        <f>MATCH($E132,Reference!$J$26:$J$32,0)</f>
        <v>1</v>
      </c>
      <c r="U132" s="195">
        <f>MATCH($F132,Reference!$J$45:$J$54,0)</f>
        <v>10</v>
      </c>
      <c r="V132" s="196">
        <f>MATCH($K132,Reference!$J$37:$J$39,0)</f>
        <v>3</v>
      </c>
      <c r="W132" s="197">
        <f t="shared" si="0"/>
        <v>2</v>
      </c>
      <c r="X132" s="197">
        <f t="shared" si="1"/>
        <v>1</v>
      </c>
      <c r="Y132" s="198">
        <v>0</v>
      </c>
      <c r="Z132" s="197">
        <f t="shared" si="2"/>
        <v>2</v>
      </c>
      <c r="AA132" s="199" t="b">
        <f t="shared" si="3"/>
        <v>0</v>
      </c>
      <c r="AB132" s="199" t="b">
        <f t="shared" si="4"/>
        <v>0</v>
      </c>
      <c r="AC132" s="200">
        <f t="shared" ref="AC132:AD132" si="228">1-I132</f>
        <v>0</v>
      </c>
      <c r="AD132" s="200">
        <f t="shared" si="228"/>
        <v>0</v>
      </c>
      <c r="AE132" s="199">
        <f t="shared" si="6"/>
        <v>2</v>
      </c>
      <c r="AF132" s="201">
        <f t="shared" si="7"/>
        <v>0</v>
      </c>
      <c r="AG132" s="201">
        <f t="shared" si="8"/>
        <v>1</v>
      </c>
      <c r="AH132" s="202">
        <f t="shared" si="9"/>
        <v>0</v>
      </c>
      <c r="AI132" s="205"/>
      <c r="AJ132" s="231" t="s">
        <v>58</v>
      </c>
      <c r="AK132" s="232">
        <f t="shared" ref="AK132:AL132" si="229">SUM(AO132+AM132+AQ132+AS132+AU132+AW132+AY132+BA132+BC132)</f>
        <v>20</v>
      </c>
      <c r="AL132" s="232">
        <f t="shared" si="229"/>
        <v>20</v>
      </c>
      <c r="AM132" s="191">
        <f>SUMIFS($W$2:$W879, $E$2:$E879, "Basic", $F$2:F879, "Priest")</f>
        <v>20</v>
      </c>
      <c r="AN132" s="232">
        <f>COUNTIFS($E$2:$E879, "Basic", $F$2:F879, "Priest" )*2</f>
        <v>20</v>
      </c>
      <c r="AO132" s="234"/>
      <c r="AP132" s="235"/>
      <c r="AQ132" s="191"/>
      <c r="AR132" s="191"/>
      <c r="AS132" s="234"/>
      <c r="AT132" s="235"/>
      <c r="AU132" s="191"/>
      <c r="AV132" s="191"/>
      <c r="AW132" s="191"/>
      <c r="AX132" s="235"/>
      <c r="AY132" s="191"/>
      <c r="AZ132" s="235"/>
      <c r="BA132" s="191"/>
      <c r="BB132" s="235"/>
      <c r="BC132" s="191"/>
      <c r="BD132" s="235"/>
    </row>
    <row r="133" spans="1:56" ht="14.25">
      <c r="A133" s="240"/>
      <c r="B133" s="217">
        <v>8</v>
      </c>
      <c r="C133" s="218" t="s">
        <v>411</v>
      </c>
      <c r="D133" s="190" t="s">
        <v>58</v>
      </c>
      <c r="E133" s="190" t="s">
        <v>58</v>
      </c>
      <c r="F133" s="190" t="s">
        <v>8</v>
      </c>
      <c r="G133" s="191">
        <f>COUNTIFS(Reference!F:F,C133,Reference!G:G,"&lt;="&amp;VLOOKUP($F133,Setup!$C$9:$D$17,2,0))</f>
        <v>2</v>
      </c>
      <c r="H133" s="191">
        <f>COUNTIFS(Reference!B:B,C133,Reference!C:C,"&lt;="&amp;VLOOKUP("Druid",Setup!$C$9:$D$17,2,0))</f>
        <v>0</v>
      </c>
      <c r="I133" s="192">
        <v>1</v>
      </c>
      <c r="J133" s="192">
        <v>1</v>
      </c>
      <c r="K133" s="191" t="s">
        <v>182</v>
      </c>
      <c r="L133" s="191"/>
      <c r="M133" s="191">
        <v>8</v>
      </c>
      <c r="N133" s="191">
        <v>8</v>
      </c>
      <c r="O133" s="193" t="s">
        <v>192</v>
      </c>
      <c r="P133" s="194" t="s">
        <v>193</v>
      </c>
      <c r="Q133" s="190" t="s">
        <v>148</v>
      </c>
      <c r="R133" s="173"/>
      <c r="S133" s="195">
        <f>MATCH($D133,Reference!$J$5:$J$9,0)</f>
        <v>1</v>
      </c>
      <c r="T133" s="195">
        <f>MATCH($E133,Reference!$J$26:$J$32,0)</f>
        <v>1</v>
      </c>
      <c r="U133" s="195">
        <f>MATCH($F133,Reference!$J$45:$J$54,0)</f>
        <v>1</v>
      </c>
      <c r="V133" s="196">
        <f>MATCH($K133,Reference!$J$37:$J$39,0)</f>
        <v>3</v>
      </c>
      <c r="W133" s="197">
        <f t="shared" si="0"/>
        <v>2</v>
      </c>
      <c r="X133" s="197">
        <f t="shared" si="1"/>
        <v>1</v>
      </c>
      <c r="Y133" s="198">
        <v>0</v>
      </c>
      <c r="Z133" s="197">
        <f t="shared" si="2"/>
        <v>2</v>
      </c>
      <c r="AA133" s="199" t="b">
        <f t="shared" si="3"/>
        <v>0</v>
      </c>
      <c r="AB133" s="199" t="b">
        <f t="shared" si="4"/>
        <v>0</v>
      </c>
      <c r="AC133" s="200">
        <f t="shared" ref="AC133:AD133" si="230">1-I133</f>
        <v>0</v>
      </c>
      <c r="AD133" s="200">
        <f t="shared" si="230"/>
        <v>0</v>
      </c>
      <c r="AE133" s="199">
        <f t="shared" si="6"/>
        <v>2</v>
      </c>
      <c r="AF133" s="201">
        <f t="shared" si="7"/>
        <v>0</v>
      </c>
      <c r="AG133" s="201">
        <f t="shared" si="8"/>
        <v>1</v>
      </c>
      <c r="AH133" s="202">
        <f t="shared" si="9"/>
        <v>0</v>
      </c>
      <c r="AI133" s="205"/>
      <c r="AJ133" s="256" t="s">
        <v>63</v>
      </c>
      <c r="AK133" s="237">
        <f t="shared" ref="AK133:AL133" si="231">SUM(AO133+AM133+AQ133+AS133+AU133+AW133+AY133+BA133+BC133)</f>
        <v>35</v>
      </c>
      <c r="AL133" s="237">
        <f t="shared" si="231"/>
        <v>36</v>
      </c>
      <c r="AM133" s="229">
        <f>SUMIFS($W$2:$W879, $D$2:$D879, "Common", $E$2:$E879, "Classic", $F$2:F879, "Priest")</f>
        <v>12</v>
      </c>
      <c r="AN133" s="237">
        <f>COUNTIFS($D$2:$D879, "Common", $E$2:$E879, "Classic", $F$2:F879, "Priest" )*2</f>
        <v>12</v>
      </c>
      <c r="AO133" s="268">
        <f>SUMIFS($W$2:$W879, $D$2:$D879, "Common", $E$2:$E879, "Promo", $F$2:F879, "Priest")</f>
        <v>0</v>
      </c>
      <c r="AP133" s="238">
        <f>COUNTIFS($D$2:$D879, "Common", $E$2:$E879, "Promo", $F$2:F879, "Priest" )*2</f>
        <v>0</v>
      </c>
      <c r="AQ133" s="229">
        <f>SUMIFS($W$2:$W879, $D$2:$D879, "Common", $E$2:$E879, "Naxx", $F$2:F879, "Priest")</f>
        <v>2</v>
      </c>
      <c r="AR133" s="237">
        <f>COUNTIFS($D$2:$D879, "Common", $E$2:$E879, "Naxx", $F$2:F879, "Priest" )*2</f>
        <v>2</v>
      </c>
      <c r="AS133" s="268">
        <f>SUMIFS($W$2:$W879, $D$2:$D879, "Common", $E$2:$E879, "GvG", $F$2:F879, "Priest")</f>
        <v>4</v>
      </c>
      <c r="AT133" s="238">
        <f>COUNTIFS($D$2:$D879, "Common", $E$2:$E879, "GvG", $F$2:F879, "Priest" )*2</f>
        <v>4</v>
      </c>
      <c r="AU133" s="229">
        <f>SUMIFS($W$2:$W879, $D$2:$D879, "Common", $E$2:$E879, "Blackrock", $F$2:F879, "Priest")</f>
        <v>2</v>
      </c>
      <c r="AV133" s="237">
        <f>COUNTIFS($D$2:$D879, "Common", $E$2:$E879, "Blackrock", $F$2:F879, "Priest" )*2</f>
        <v>2</v>
      </c>
      <c r="AW133" s="229">
        <f>SUMIFS($W$2:$W879, $D$2:$D879, "Common", $E$2:$E879, "TGT", $F$2:F879, "Priest")</f>
        <v>6</v>
      </c>
      <c r="AX133" s="238">
        <f>COUNTIFS($D$2:$D879, "Common", $E$2:$E879, "TGT", $F$2:F879, "Priest" )*2</f>
        <v>6</v>
      </c>
      <c r="AY133" s="229">
        <f>SUMIFS($W$2:$W879, $D$2:$D879, "Common", $E$2:$E879, "LoE", $F$2:F879, "Priest")</f>
        <v>4</v>
      </c>
      <c r="AZ133" s="238">
        <f>COUNTIFS($D$2:$D879, "Common", $E$2:$E879, "LoE", $F$2:F879, "Priest" )*2</f>
        <v>4</v>
      </c>
      <c r="BA133" s="229">
        <f>SUMIFS($W$2:$W879, $D$2:$D879, "Common", $E$2:$E879, "TOG", $F$2:F879, "Priest")</f>
        <v>5</v>
      </c>
      <c r="BB133" s="238">
        <f>COUNTIFS($D$2:$D879, "Common", $E$2:$E879, "TOG", $F$2:F879, "Priest" )*2</f>
        <v>6</v>
      </c>
      <c r="BC133" s="229">
        <f>SUMIFS($W$2:$W879, $D$2:$D879, "Common", $E$2:$E879, "Adv4", $F$2:F879, "Priest")</f>
        <v>0</v>
      </c>
      <c r="BD133" s="238">
        <f>COUNTIFS($D$2:$D879, "Common", $E$2:$E879, "Adv4", $F$2:F879, "Priest" )*2</f>
        <v>0</v>
      </c>
    </row>
    <row r="134" spans="1:56" ht="14.25">
      <c r="A134" s="240"/>
      <c r="B134" s="188">
        <v>10</v>
      </c>
      <c r="C134" s="189" t="s">
        <v>412</v>
      </c>
      <c r="D134" s="190" t="s">
        <v>58</v>
      </c>
      <c r="E134" s="190" t="s">
        <v>58</v>
      </c>
      <c r="F134" s="190" t="s">
        <v>18</v>
      </c>
      <c r="G134" s="191">
        <f>COUNTIFS(Reference!F:F,C134,Reference!G:G,"&lt;="&amp;VLOOKUP($F134,Setup!$C$9:$D$17,2,0))</f>
        <v>2</v>
      </c>
      <c r="H134" s="191">
        <f>COUNTIFS(Reference!B:B,C134,Reference!C:C,"&lt;="&amp;VLOOKUP("Priest",Setup!$C$9:$D$17,2,0))</f>
        <v>0</v>
      </c>
      <c r="I134" s="192">
        <v>1</v>
      </c>
      <c r="J134" s="192">
        <v>1</v>
      </c>
      <c r="K134" s="190" t="s">
        <v>146</v>
      </c>
      <c r="L134" s="190"/>
      <c r="M134" s="190"/>
      <c r="N134" s="210"/>
      <c r="O134" s="193" t="s">
        <v>413</v>
      </c>
      <c r="P134" s="194"/>
      <c r="Q134" s="190" t="s">
        <v>148</v>
      </c>
      <c r="R134" s="173"/>
      <c r="S134" s="195">
        <f>MATCH($D134,Reference!$J$5:$J$9,0)</f>
        <v>1</v>
      </c>
      <c r="T134" s="195">
        <f>MATCH($E134,Reference!$J$26:$J$32,0)</f>
        <v>1</v>
      </c>
      <c r="U134" s="195">
        <f>MATCH($F134,Reference!$J$45:$J$54,0)</f>
        <v>5</v>
      </c>
      <c r="V134" s="196">
        <f>MATCH($K134,Reference!$J$37:$J$39,0)</f>
        <v>2</v>
      </c>
      <c r="W134" s="197">
        <f t="shared" si="0"/>
        <v>2</v>
      </c>
      <c r="X134" s="197">
        <f t="shared" si="1"/>
        <v>1</v>
      </c>
      <c r="Y134" s="198">
        <v>0</v>
      </c>
      <c r="Z134" s="197">
        <f t="shared" si="2"/>
        <v>2</v>
      </c>
      <c r="AA134" s="199" t="b">
        <f t="shared" si="3"/>
        <v>0</v>
      </c>
      <c r="AB134" s="199" t="b">
        <f t="shared" si="4"/>
        <v>0</v>
      </c>
      <c r="AC134" s="200">
        <f t="shared" ref="AC134:AD134" si="232">1-I134</f>
        <v>0</v>
      </c>
      <c r="AD134" s="200">
        <f t="shared" si="232"/>
        <v>0</v>
      </c>
      <c r="AE134" s="199">
        <f t="shared" si="6"/>
        <v>2</v>
      </c>
      <c r="AF134" s="201">
        <f t="shared" si="7"/>
        <v>0</v>
      </c>
      <c r="AG134" s="201">
        <f t="shared" si="8"/>
        <v>1</v>
      </c>
      <c r="AH134" s="202">
        <f t="shared" si="9"/>
        <v>0</v>
      </c>
      <c r="AI134" s="205"/>
      <c r="AJ134" s="257" t="s">
        <v>68</v>
      </c>
      <c r="AK134" s="242">
        <f t="shared" ref="AK134:AL134" si="233">SUM(AO134+AM134+AQ134+AS134+AU134+AW134+AY134+BA134+BC134)</f>
        <v>32</v>
      </c>
      <c r="AL134" s="242">
        <f t="shared" si="233"/>
        <v>32</v>
      </c>
      <c r="AM134" s="269">
        <f>SUMIFS($W$2:$W879, $D$2:$D879, "Rare", $E$2:$E879, "Classic", $F$2:F879, "Priest")</f>
        <v>10</v>
      </c>
      <c r="AN134" s="242">
        <f>COUNTIFS($D$2:$D879, "Rare", $E$2:$E879, "Classic", $F$2:F879, "Priest" )*2</f>
        <v>10</v>
      </c>
      <c r="AO134" s="270">
        <f>SUMIFS($W$2:$W879, $D$2:$D879, "Rare", $E$2:$E879, "Promo", $F$2:F879, "Priest")</f>
        <v>0</v>
      </c>
      <c r="AP134" s="243">
        <f>COUNTIFS($D$2:$D879, "Rare", $E$2:$E879, "Promo", $F$2:F879, "Priest" )*2</f>
        <v>0</v>
      </c>
      <c r="AQ134" s="269">
        <f>SUMIFS($W$2:$W879, $D$2:$D879, "Rare", $E$2:$E879, "Naxx", $F$2:F879, "Priest")</f>
        <v>0</v>
      </c>
      <c r="AR134" s="242">
        <f>COUNTIFS($D$2:$D879, "Rare", $E$2:$E879, "Naxx", $F$2:F879, "Priest" )*2</f>
        <v>0</v>
      </c>
      <c r="AS134" s="270">
        <f>SUMIFS($W$2:$W879, $D$2:$D879, "Rare", $E$2:$E879, "GvG", $F$2:F879, "Priest")</f>
        <v>6</v>
      </c>
      <c r="AT134" s="243">
        <f>COUNTIFS($D$2:$D879, "Rare", $E$2:$E879, "GvG", $F$2:F879, "Priest" )*2</f>
        <v>6</v>
      </c>
      <c r="AU134" s="269">
        <f>SUMIFS($W$2:$W879, $D$2:$D879, "Rare", $E$2:$E879, "Blackrock", $F$2:F879, "Priest")</f>
        <v>2</v>
      </c>
      <c r="AV134" s="242">
        <f>COUNTIFS($D$2:$D879, "Rare", $E$2:$E879, "Blackrock", $F$2:F879, "Priest" )*2</f>
        <v>2</v>
      </c>
      <c r="AW134" s="269">
        <f>SUMIFS($W$2:$W879, $D$2:$D879, "Rare", $E$2:$E879, "TGT", $F$2:F879, "Priest")</f>
        <v>6</v>
      </c>
      <c r="AX134" s="243">
        <f>COUNTIFS($D$2:$D879, "Rare", $E$2:$E879, "TGT", $F$2:F879, "Priest" )*2</f>
        <v>6</v>
      </c>
      <c r="AY134" s="269">
        <f>SUMIFS($W$2:$W879, $D$2:$D879, "Rare", $E$2:$E879, "LoE", $F$2:F879, "Priest")</f>
        <v>2</v>
      </c>
      <c r="AZ134" s="243">
        <f>COUNTIFS($D$2:$D879, "Rare", $E$2:$E879, "LoE", $F$2:F879, "Priest" )*2</f>
        <v>2</v>
      </c>
      <c r="BA134" s="269">
        <f>SUMIFS($W$2:$W879, $D$2:$D879, "Rare", $E$2:$E879, "TOG", $F$2:F879, "Priest")</f>
        <v>6</v>
      </c>
      <c r="BB134" s="243">
        <f>COUNTIFS($D$2:$D879, "Rare", $E$2:$E879, "TOG", $F$2:F879, "Priest" )*2</f>
        <v>6</v>
      </c>
      <c r="BC134" s="269">
        <f>SUMIFS($W$2:$W879, $D$2:$D879, "Rare", $E$2:$E879, "Adv4", $F$2:F879, "Priest")</f>
        <v>0</v>
      </c>
      <c r="BD134" s="243">
        <f>COUNTIFS($D$2:$D879, "Rare", $E$2:$E879, "Adv4", $F$2:F879, "Priest" )*2</f>
        <v>0</v>
      </c>
    </row>
    <row r="135" spans="1:56" ht="14.25">
      <c r="A135" s="187"/>
      <c r="B135" s="211">
        <v>1</v>
      </c>
      <c r="C135" s="282" t="s">
        <v>414</v>
      </c>
      <c r="D135" s="283" t="s">
        <v>63</v>
      </c>
      <c r="E135" s="283" t="s">
        <v>81</v>
      </c>
      <c r="F135" s="283" t="s">
        <v>18</v>
      </c>
      <c r="G135" s="284">
        <f>IF(Setup!$N$11&gt;=VLOOKUP(C135,Reference!$N$6:$O$36,2,0),2,0)</f>
        <v>2</v>
      </c>
      <c r="H135" s="284">
        <v>0</v>
      </c>
      <c r="I135" s="285">
        <v>1</v>
      </c>
      <c r="J135" s="286"/>
      <c r="K135" s="284" t="s">
        <v>182</v>
      </c>
      <c r="L135" s="284" t="s">
        <v>415</v>
      </c>
      <c r="M135" s="284">
        <v>2</v>
      </c>
      <c r="N135" s="284">
        <v>1</v>
      </c>
      <c r="O135" s="287" t="s">
        <v>416</v>
      </c>
      <c r="P135" s="288" t="s">
        <v>184</v>
      </c>
      <c r="Q135" s="283" t="s">
        <v>148</v>
      </c>
      <c r="R135" s="173"/>
      <c r="S135" s="195">
        <f>MATCH($D135,Reference!$J$5:$J$9,0)</f>
        <v>2</v>
      </c>
      <c r="T135" s="195">
        <f>MATCH($E135,Reference!$J$26:$J$32,0)</f>
        <v>6</v>
      </c>
      <c r="U135" s="195">
        <f>MATCH($F135,Reference!$J$45:$J$54,0)</f>
        <v>5</v>
      </c>
      <c r="V135" s="196">
        <f>MATCH($K135,Reference!$J$37:$J$39,0)</f>
        <v>3</v>
      </c>
      <c r="W135" s="197">
        <f t="shared" si="0"/>
        <v>2</v>
      </c>
      <c r="X135" s="197">
        <f t="shared" si="1"/>
        <v>1</v>
      </c>
      <c r="Y135" s="197">
        <f t="shared" ref="Y135:Y149" si="234">(MIN(G135,2)+H135-W135)*50</f>
        <v>0</v>
      </c>
      <c r="Z135" s="197">
        <f t="shared" si="2"/>
        <v>2</v>
      </c>
      <c r="AA135" s="199" t="b">
        <f t="shared" si="3"/>
        <v>0</v>
      </c>
      <c r="AB135" s="199" t="b">
        <f t="shared" si="4"/>
        <v>0</v>
      </c>
      <c r="AC135" s="200">
        <f t="shared" ref="AC135:AD135" si="235">1-I135</f>
        <v>0</v>
      </c>
      <c r="AD135" s="200">
        <f t="shared" si="235"/>
        <v>1</v>
      </c>
      <c r="AE135" s="199">
        <f t="shared" si="6"/>
        <v>2</v>
      </c>
      <c r="AF135" s="201">
        <f t="shared" si="7"/>
        <v>0</v>
      </c>
      <c r="AG135" s="201">
        <f t="shared" si="8"/>
        <v>1</v>
      </c>
      <c r="AH135" s="202">
        <f t="shared" ref="AH135:AH149" si="236">(MIN(H135,2)+G135-W135)*5</f>
        <v>0</v>
      </c>
      <c r="AI135" s="205"/>
      <c r="AJ135" s="258" t="s">
        <v>69</v>
      </c>
      <c r="AK135" s="246">
        <f t="shared" ref="AK135:AL135" si="237">SUM(AO135+AM135+AQ135+AS135+AU135+AW135+AY135+BA135+BC135)</f>
        <v>12</v>
      </c>
      <c r="AL135" s="246">
        <f t="shared" si="237"/>
        <v>18</v>
      </c>
      <c r="AM135" s="272">
        <f>SUMIFS($W$2:$W879, $D$2:$D879, "Epic", $E$2:$E879, "Classic", $F$2:F879, "Priest")</f>
        <v>6</v>
      </c>
      <c r="AN135" s="246">
        <f>COUNTIFS($D$2:$D879, "Epic", $E$2:$E879, "Classic", $F$2:F879, "Priest" )*2</f>
        <v>6</v>
      </c>
      <c r="AO135" s="273">
        <f>SUMIFS($W$2:$W879, $D$2:$D879, "Epic", $E$2:$E879, "Promo", $F$2:F879, "Priest")</f>
        <v>0</v>
      </c>
      <c r="AP135" s="247">
        <f>COUNTIFS($D$2:$D879, "Epic", $E$2:$E879, "Promo", $F$2:F879, "Priest" )*2</f>
        <v>0</v>
      </c>
      <c r="AQ135" s="272">
        <f>SUMIFS($W$2:$W879, $D$2:$D879, "Epic", $E$2:$E879, "Naxx", $F$2:F879, "Priest")</f>
        <v>0</v>
      </c>
      <c r="AR135" s="246">
        <f>COUNTIFS($D$2:$D879, "Epic", $E$2:$E879, "Naxx", $F$2:F879, "Priest" )*2</f>
        <v>0</v>
      </c>
      <c r="AS135" s="273">
        <f>SUMIFS($W$2:$W879, $D$2:$D879, "Epic", $E$2:$E879, "GvG", $F$2:F879, "Priest")</f>
        <v>2</v>
      </c>
      <c r="AT135" s="247">
        <f>COUNTIFS($D$2:$D879, "Epic", $E$2:$E879, "GvG", $F$2:F879, "Priest" )*2</f>
        <v>4</v>
      </c>
      <c r="AU135" s="272">
        <f>SUMIFS($W$2:$W879, $D$2:$D879, "Epic", $E$2:$E879, "Blackrock", $F$2:F879, "Priest")</f>
        <v>0</v>
      </c>
      <c r="AV135" s="246">
        <f>COUNTIFS($D$2:$D879, "Epic", $E$2:$E879, "Blackrock", $F$2:F879, "Priest" )*2</f>
        <v>0</v>
      </c>
      <c r="AW135" s="272">
        <f>SUMIFS($W$2:$W879, $D$2:$D879, "Epic", $E$2:$E879, "TGT", $F$2:F879, "Priest")</f>
        <v>3</v>
      </c>
      <c r="AX135" s="247">
        <f>COUNTIFS($D$2:$D879, "Epic", $E$2:$E879, "TGT", $F$2:F879, "Priest" )*2</f>
        <v>4</v>
      </c>
      <c r="AY135" s="272">
        <f>SUMIFS($W$2:$W879, $D$2:$D879, "Epic", $E$2:$E879, "LoE", $F$2:F879, "Priest")</f>
        <v>0</v>
      </c>
      <c r="AZ135" s="247">
        <f>COUNTIFS($D$2:$D879, "Epic", $E$2:$E879, "LoE", $F$2:F879, "Priest" )*2</f>
        <v>0</v>
      </c>
      <c r="BA135" s="272">
        <f>SUMIFS($W$2:$W879, $D$2:$D879, "Epic", $E$2:$E879, "TOG", $F$2:F879, "Priest")</f>
        <v>1</v>
      </c>
      <c r="BB135" s="247">
        <f>COUNTIFS($D$2:$D879, "Epic", $E$2:$E879, "TOG", $F$2:F879, "Priest" )*2</f>
        <v>4</v>
      </c>
      <c r="BC135" s="272">
        <f>SUMIFS($W$2:$W879, $D$2:$D879, "Epic", $E$2:$E879, "Adv4", $F$2:F879, "Priest")</f>
        <v>0</v>
      </c>
      <c r="BD135" s="247">
        <f>COUNTIFS($D$2:$D879, "Epic", $E$2:$E879, "Adv4", $F$2:F879, "Priest" )*2</f>
        <v>0</v>
      </c>
    </row>
    <row r="136" spans="1:56" ht="14.25">
      <c r="A136" s="240"/>
      <c r="B136" s="211">
        <v>2</v>
      </c>
      <c r="C136" s="282" t="s">
        <v>417</v>
      </c>
      <c r="D136" s="283" t="s">
        <v>63</v>
      </c>
      <c r="E136" s="283" t="s">
        <v>81</v>
      </c>
      <c r="F136" s="283" t="s">
        <v>20</v>
      </c>
      <c r="G136" s="284">
        <f>IF(Setup!$N$11&gt;=VLOOKUP(C136,Reference!$N$6:$O$36,2,0),2,0)</f>
        <v>2</v>
      </c>
      <c r="H136" s="284">
        <v>0</v>
      </c>
      <c r="I136" s="285">
        <v>1</v>
      </c>
      <c r="J136" s="286"/>
      <c r="K136" s="284" t="s">
        <v>146</v>
      </c>
      <c r="L136" s="284"/>
      <c r="M136" s="284"/>
      <c r="N136" s="284"/>
      <c r="O136" s="287" t="s">
        <v>418</v>
      </c>
      <c r="P136" s="289"/>
      <c r="Q136" s="283" t="s">
        <v>148</v>
      </c>
      <c r="R136" s="173"/>
      <c r="S136" s="195">
        <f>MATCH($D136,Reference!$J$5:$J$9,0)</f>
        <v>2</v>
      </c>
      <c r="T136" s="195">
        <f>MATCH($E136,Reference!$J$26:$J$32,0)</f>
        <v>6</v>
      </c>
      <c r="U136" s="195">
        <f>MATCH($F136,Reference!$J$45:$J$54,0)</f>
        <v>6</v>
      </c>
      <c r="V136" s="196">
        <f>MATCH($K136,Reference!$J$37:$J$39,0)</f>
        <v>2</v>
      </c>
      <c r="W136" s="197">
        <f t="shared" si="0"/>
        <v>2</v>
      </c>
      <c r="X136" s="197">
        <f t="shared" si="1"/>
        <v>1</v>
      </c>
      <c r="Y136" s="197">
        <f t="shared" si="234"/>
        <v>0</v>
      </c>
      <c r="Z136" s="197">
        <f t="shared" si="2"/>
        <v>2</v>
      </c>
      <c r="AA136" s="199" t="b">
        <f t="shared" si="3"/>
        <v>0</v>
      </c>
      <c r="AB136" s="199" t="b">
        <f t="shared" si="4"/>
        <v>0</v>
      </c>
      <c r="AC136" s="200">
        <f t="shared" ref="AC136:AD136" si="238">1-I136</f>
        <v>0</v>
      </c>
      <c r="AD136" s="200">
        <f t="shared" si="238"/>
        <v>1</v>
      </c>
      <c r="AE136" s="199">
        <f t="shared" si="6"/>
        <v>2</v>
      </c>
      <c r="AF136" s="201">
        <f t="shared" si="7"/>
        <v>0</v>
      </c>
      <c r="AG136" s="201">
        <f t="shared" si="8"/>
        <v>1</v>
      </c>
      <c r="AH136" s="202">
        <f t="shared" si="236"/>
        <v>0</v>
      </c>
      <c r="AI136" s="205"/>
      <c r="AJ136" s="249" t="s">
        <v>70</v>
      </c>
      <c r="AK136" s="250">
        <f t="shared" ref="AK136:AL136" si="239">SUM(AO136+AM136+AQ136+AS136+AU136+AW136+AY136+BA136+BC136)</f>
        <v>2</v>
      </c>
      <c r="AL136" s="250">
        <f t="shared" si="239"/>
        <v>4</v>
      </c>
      <c r="AM136" s="275">
        <f>SUMIFS($W$2:$W879, $D$2:$D879, "Legendary", $E$2:$E879, "Classic", $F$2:F879, "Priest")</f>
        <v>0</v>
      </c>
      <c r="AN136" s="275">
        <f>COUNTIFS($D$2:$D879, "Legendary", $E$2:$E879, "Classic", $F$2:F879, "Priest" )</f>
        <v>1</v>
      </c>
      <c r="AO136" s="276">
        <f>SUMIFS($W$2:$W879, $D$2:$D879, "Legendary", $E$2:$E879, "Promo", $F$2:F879, "Priest")</f>
        <v>0</v>
      </c>
      <c r="AP136" s="277">
        <f>COUNTIFS($D$2:$D879, "Legendary", $E$2:$E879, "Promo", $F$2:F879, "Priest" )</f>
        <v>0</v>
      </c>
      <c r="AQ136" s="275">
        <f>SUMIFS($W$2:$W879, $D$2:$D879, "Legendary", $E$2:$E879, "Naxx", $F$2:F879, "Priest")</f>
        <v>0</v>
      </c>
      <c r="AR136" s="275">
        <f>COUNTIFS($D$2:$D879, "Legendary", $E$2:$E879, "Naxx", $F$2:F879, "Priest" )</f>
        <v>0</v>
      </c>
      <c r="AS136" s="276">
        <f>SUMIFS($W$2:$W879, $D$2:$D879, "Legendary", $E$2:$E879, "GvG", $F$2:F879, "Priest")</f>
        <v>1</v>
      </c>
      <c r="AT136" s="277">
        <f>COUNTIFS($D$2:$D879, "Legendary", $E$2:$E879, "GvG", $F$2:F879, "Priest" )</f>
        <v>1</v>
      </c>
      <c r="AU136" s="275">
        <f>SUMIFS($W$2:$W879, $D$2:$D879, "Legendary", $E$2:$E879, "Blackrock", $F$2:F879, "Priest")</f>
        <v>0</v>
      </c>
      <c r="AV136" s="275">
        <f>COUNTIFS($D$2:$D879, "Legendary", $E$2:$E879, "Blackrock", $F$2:F879, "Priest" )</f>
        <v>0</v>
      </c>
      <c r="AW136" s="275">
        <f>SUMIFS($W$2:$W879, $D$2:$D879, "Legendary", $E$2:$E879, "TGT", $F$2:F879, "Priest")</f>
        <v>1</v>
      </c>
      <c r="AX136" s="277">
        <f>COUNTIFS($D$2:$D879, "Legendary", $E$2:$E879, "TGT", $F$2:F879, "Priest" )</f>
        <v>1</v>
      </c>
      <c r="AY136" s="275">
        <f>SUMIFS($W$2:$W879, $D$2:$D879, "Legendary", $E$2:$E879, "LoE", $F$2:F879, "Priest")</f>
        <v>0</v>
      </c>
      <c r="AZ136" s="277">
        <f>COUNTIFS($D$2:$D879, "Legendary", $E$2:$E879, "LoE", $F$2:F879, "Priest" )</f>
        <v>0</v>
      </c>
      <c r="BA136" s="275">
        <f>SUMIFS($W$2:$W879, $D$2:$D879, "Legendary", $E$2:$E879, "TOG", $F$2:F879, "Priest")</f>
        <v>0</v>
      </c>
      <c r="BB136" s="277">
        <f>COUNTIFS($D$2:$D879, "Legendary", $E$2:$E879, "TOG", $F$2:F879, "Priest" )</f>
        <v>1</v>
      </c>
      <c r="BC136" s="275">
        <f>SUMIFS($W$2:$W879, $D$2:$D879, "Legendary", $E$2:$E879, "Adv4", $F$2:F879, "Priest")</f>
        <v>0</v>
      </c>
      <c r="BD136" s="251">
        <f>COUNTIFS($D$2:$D879, "Legendary", $E$2:$E879, "Adv4", $F$2:F879, "Priest" )*2</f>
        <v>0</v>
      </c>
    </row>
    <row r="137" spans="1:56" ht="14.25">
      <c r="A137" s="240"/>
      <c r="B137" s="211">
        <v>2</v>
      </c>
      <c r="C137" s="282" t="s">
        <v>419</v>
      </c>
      <c r="D137" s="283" t="s">
        <v>63</v>
      </c>
      <c r="E137" s="283" t="s">
        <v>81</v>
      </c>
      <c r="F137" s="283" t="s">
        <v>11</v>
      </c>
      <c r="G137" s="284">
        <f>IF(Setup!$N$11&gt;=VLOOKUP(C137,Reference!$N$6:$O$36,2,0),2,0)</f>
        <v>2</v>
      </c>
      <c r="H137" s="284">
        <v>0</v>
      </c>
      <c r="I137" s="285">
        <v>1</v>
      </c>
      <c r="J137" s="286"/>
      <c r="K137" s="284" t="s">
        <v>146</v>
      </c>
      <c r="L137" s="284"/>
      <c r="M137" s="284"/>
      <c r="N137" s="284"/>
      <c r="O137" s="287" t="s">
        <v>420</v>
      </c>
      <c r="P137" s="289"/>
      <c r="Q137" s="283" t="s">
        <v>148</v>
      </c>
      <c r="R137" s="173"/>
      <c r="S137" s="195">
        <f>MATCH($D137,Reference!$J$5:$J$9,0)</f>
        <v>2</v>
      </c>
      <c r="T137" s="195">
        <f>MATCH($E137,Reference!$J$26:$J$32,0)</f>
        <v>6</v>
      </c>
      <c r="U137" s="195">
        <f>MATCH($F137,Reference!$J$45:$J$54,0)</f>
        <v>2</v>
      </c>
      <c r="V137" s="196">
        <f>MATCH($K137,Reference!$J$37:$J$39,0)</f>
        <v>2</v>
      </c>
      <c r="W137" s="197">
        <f t="shared" si="0"/>
        <v>2</v>
      </c>
      <c r="X137" s="197">
        <f t="shared" si="1"/>
        <v>1</v>
      </c>
      <c r="Y137" s="197">
        <f t="shared" si="234"/>
        <v>0</v>
      </c>
      <c r="Z137" s="197">
        <f t="shared" si="2"/>
        <v>2</v>
      </c>
      <c r="AA137" s="199" t="b">
        <f t="shared" si="3"/>
        <v>0</v>
      </c>
      <c r="AB137" s="199" t="b">
        <f t="shared" si="4"/>
        <v>0</v>
      </c>
      <c r="AC137" s="200">
        <f t="shared" ref="AC137:AD137" si="240">1-I137</f>
        <v>0</v>
      </c>
      <c r="AD137" s="200">
        <f t="shared" si="240"/>
        <v>1</v>
      </c>
      <c r="AE137" s="199">
        <f t="shared" si="6"/>
        <v>2</v>
      </c>
      <c r="AF137" s="201">
        <f t="shared" si="7"/>
        <v>0</v>
      </c>
      <c r="AG137" s="201">
        <f t="shared" si="8"/>
        <v>1</v>
      </c>
      <c r="AH137" s="202">
        <f t="shared" si="236"/>
        <v>0</v>
      </c>
      <c r="AI137" s="205"/>
      <c r="AJ137" s="259" t="s">
        <v>22</v>
      </c>
      <c r="AK137" s="260"/>
      <c r="AL137" s="261"/>
      <c r="AM137" s="260"/>
      <c r="AN137" s="261"/>
      <c r="AO137" s="260"/>
      <c r="AP137" s="261"/>
      <c r="AQ137" s="260"/>
      <c r="AR137" s="261"/>
      <c r="AS137" s="260"/>
      <c r="AT137" s="261"/>
      <c r="AU137" s="260"/>
      <c r="AV137" s="261"/>
      <c r="AW137" s="260"/>
      <c r="AX137" s="261"/>
      <c r="AY137" s="260"/>
      <c r="AZ137" s="261"/>
      <c r="BA137" s="260"/>
      <c r="BB137" s="261"/>
      <c r="BC137" s="260"/>
      <c r="BD137" s="261"/>
    </row>
    <row r="138" spans="1:56" ht="14.25">
      <c r="A138" s="187"/>
      <c r="B138" s="211">
        <v>3</v>
      </c>
      <c r="C138" s="282" t="s">
        <v>421</v>
      </c>
      <c r="D138" s="283" t="s">
        <v>63</v>
      </c>
      <c r="E138" s="283" t="s">
        <v>81</v>
      </c>
      <c r="F138" s="283" t="s">
        <v>115</v>
      </c>
      <c r="G138" s="284">
        <f>IF(Setup!$N$11&gt;=VLOOKUP(C138,Reference!$N$6:$O$36,2,0),2,0)</f>
        <v>2</v>
      </c>
      <c r="H138" s="284">
        <v>0</v>
      </c>
      <c r="I138" s="285">
        <v>1</v>
      </c>
      <c r="J138" s="286"/>
      <c r="K138" s="284" t="s">
        <v>182</v>
      </c>
      <c r="L138" s="284"/>
      <c r="M138" s="284">
        <v>2</v>
      </c>
      <c r="N138" s="284">
        <v>4</v>
      </c>
      <c r="O138" s="287" t="s">
        <v>422</v>
      </c>
      <c r="P138" s="288" t="s">
        <v>184</v>
      </c>
      <c r="Q138" s="283" t="s">
        <v>148</v>
      </c>
      <c r="R138" s="173"/>
      <c r="S138" s="195">
        <f>MATCH($D138,Reference!$J$5:$J$9,0)</f>
        <v>2</v>
      </c>
      <c r="T138" s="195">
        <f>MATCH($E138,Reference!$J$26:$J$32,0)</f>
        <v>6</v>
      </c>
      <c r="U138" s="195">
        <f>MATCH($F138,Reference!$J$45:$J$54,0)</f>
        <v>10</v>
      </c>
      <c r="V138" s="196">
        <f>MATCH($K138,Reference!$J$37:$J$39,0)</f>
        <v>3</v>
      </c>
      <c r="W138" s="197">
        <f t="shared" si="0"/>
        <v>2</v>
      </c>
      <c r="X138" s="197">
        <f t="shared" si="1"/>
        <v>1</v>
      </c>
      <c r="Y138" s="197">
        <f t="shared" si="234"/>
        <v>0</v>
      </c>
      <c r="Z138" s="197">
        <f t="shared" si="2"/>
        <v>2</v>
      </c>
      <c r="AA138" s="199" t="b">
        <f t="shared" si="3"/>
        <v>0</v>
      </c>
      <c r="AB138" s="199" t="b">
        <f t="shared" si="4"/>
        <v>0</v>
      </c>
      <c r="AC138" s="200">
        <f t="shared" ref="AC138:AD138" si="241">1-I138</f>
        <v>0</v>
      </c>
      <c r="AD138" s="200">
        <f t="shared" si="241"/>
        <v>1</v>
      </c>
      <c r="AE138" s="199">
        <f t="shared" si="6"/>
        <v>2</v>
      </c>
      <c r="AF138" s="201">
        <f t="shared" si="7"/>
        <v>0</v>
      </c>
      <c r="AG138" s="201">
        <f t="shared" si="8"/>
        <v>1</v>
      </c>
      <c r="AH138" s="202">
        <f t="shared" si="236"/>
        <v>0</v>
      </c>
      <c r="AI138" s="205"/>
      <c r="AJ138" s="262" t="s">
        <v>224</v>
      </c>
      <c r="AK138" s="263">
        <f t="shared" ref="AK138:AP138" si="242">SUM(AK126:AK130)</f>
        <v>53</v>
      </c>
      <c r="AL138" s="264">
        <f t="shared" si="242"/>
        <v>57</v>
      </c>
      <c r="AM138" s="263">
        <f t="shared" si="242"/>
        <v>24</v>
      </c>
      <c r="AN138" s="264">
        <f t="shared" si="242"/>
        <v>25</v>
      </c>
      <c r="AO138" s="263">
        <f t="shared" si="242"/>
        <v>0</v>
      </c>
      <c r="AP138" s="264">
        <f t="shared" si="242"/>
        <v>0</v>
      </c>
      <c r="AQ138" s="263">
        <f>SUM(AQ126:AQ130)</f>
        <v>1</v>
      </c>
      <c r="AR138" s="264">
        <f>SUM(AR126:AR130)</f>
        <v>1</v>
      </c>
      <c r="AS138" s="263">
        <f>SUM(AS126:AS130)</f>
        <v>7</v>
      </c>
      <c r="AT138" s="264">
        <f>SUM(AT126:AT130)</f>
        <v>8</v>
      </c>
      <c r="AU138" s="263">
        <f t="shared" ref="AU138:BD138" si="243">SUM(AU126:AU130)</f>
        <v>2</v>
      </c>
      <c r="AV138" s="264">
        <f t="shared" si="243"/>
        <v>2</v>
      </c>
      <c r="AW138" s="263">
        <f t="shared" si="243"/>
        <v>9</v>
      </c>
      <c r="AX138" s="264">
        <f t="shared" si="243"/>
        <v>9</v>
      </c>
      <c r="AY138" s="263">
        <f t="shared" si="243"/>
        <v>3</v>
      </c>
      <c r="AZ138" s="264">
        <f t="shared" si="243"/>
        <v>3</v>
      </c>
      <c r="BA138" s="263">
        <f t="shared" si="243"/>
        <v>7</v>
      </c>
      <c r="BB138" s="264">
        <f t="shared" si="243"/>
        <v>9</v>
      </c>
      <c r="BC138" s="263">
        <f t="shared" si="243"/>
        <v>0</v>
      </c>
      <c r="BD138" s="264">
        <f t="shared" si="243"/>
        <v>0</v>
      </c>
    </row>
    <row r="139" spans="1:56" ht="14.25">
      <c r="A139" s="187"/>
      <c r="B139" s="211">
        <v>3</v>
      </c>
      <c r="C139" s="282" t="s">
        <v>423</v>
      </c>
      <c r="D139" s="283" t="s">
        <v>63</v>
      </c>
      <c r="E139" s="283" t="s">
        <v>81</v>
      </c>
      <c r="F139" s="283" t="s">
        <v>8</v>
      </c>
      <c r="G139" s="284">
        <f>IF(Setup!$N$11&gt;=VLOOKUP(C139,Reference!$N$6:$O$36,2,0),2,0)</f>
        <v>2</v>
      </c>
      <c r="H139" s="284">
        <v>0</v>
      </c>
      <c r="I139" s="285">
        <v>1</v>
      </c>
      <c r="J139" s="286"/>
      <c r="K139" s="284" t="s">
        <v>182</v>
      </c>
      <c r="L139" s="284"/>
      <c r="M139" s="284">
        <v>2</v>
      </c>
      <c r="N139" s="284">
        <v>2</v>
      </c>
      <c r="O139" s="287" t="s">
        <v>424</v>
      </c>
      <c r="P139" s="288" t="s">
        <v>425</v>
      </c>
      <c r="Q139" s="283" t="s">
        <v>148</v>
      </c>
      <c r="R139" s="173"/>
      <c r="S139" s="195">
        <f>MATCH($D139,Reference!$J$5:$J$9,0)</f>
        <v>2</v>
      </c>
      <c r="T139" s="195">
        <f>MATCH($E139,Reference!$J$26:$J$32,0)</f>
        <v>6</v>
      </c>
      <c r="U139" s="195">
        <f>MATCH($F139,Reference!$J$45:$J$54,0)</f>
        <v>1</v>
      </c>
      <c r="V139" s="196">
        <f>MATCH($K139,Reference!$J$37:$J$39,0)</f>
        <v>3</v>
      </c>
      <c r="W139" s="197">
        <f t="shared" si="0"/>
        <v>2</v>
      </c>
      <c r="X139" s="197">
        <f t="shared" si="1"/>
        <v>1</v>
      </c>
      <c r="Y139" s="197">
        <f t="shared" si="234"/>
        <v>0</v>
      </c>
      <c r="Z139" s="197">
        <f t="shared" si="2"/>
        <v>2</v>
      </c>
      <c r="AA139" s="199" t="b">
        <f t="shared" si="3"/>
        <v>0</v>
      </c>
      <c r="AB139" s="199" t="b">
        <f t="shared" si="4"/>
        <v>0</v>
      </c>
      <c r="AC139" s="200">
        <f t="shared" ref="AC139:AD139" si="244">1-I139</f>
        <v>0</v>
      </c>
      <c r="AD139" s="200">
        <f t="shared" si="244"/>
        <v>1</v>
      </c>
      <c r="AE139" s="199">
        <f t="shared" si="6"/>
        <v>2</v>
      </c>
      <c r="AF139" s="201">
        <f t="shared" si="7"/>
        <v>0</v>
      </c>
      <c r="AG139" s="201">
        <f t="shared" si="8"/>
        <v>1</v>
      </c>
      <c r="AH139" s="202">
        <f t="shared" si="236"/>
        <v>0</v>
      </c>
      <c r="AI139" s="205"/>
      <c r="AJ139" s="265" t="s">
        <v>240</v>
      </c>
      <c r="AK139" s="266">
        <f t="shared" ref="AK139:AL139" si="245">SUM(AK132:AK136)</f>
        <v>101</v>
      </c>
      <c r="AL139" s="267">
        <f t="shared" si="245"/>
        <v>110</v>
      </c>
      <c r="AM139" s="266">
        <f t="shared" ref="AM139:AR139" si="246">SUM(AM132:AM136)</f>
        <v>48</v>
      </c>
      <c r="AN139" s="267">
        <f t="shared" si="246"/>
        <v>49</v>
      </c>
      <c r="AO139" s="266">
        <f t="shared" si="246"/>
        <v>0</v>
      </c>
      <c r="AP139" s="267">
        <f t="shared" si="246"/>
        <v>0</v>
      </c>
      <c r="AQ139" s="266">
        <f t="shared" si="246"/>
        <v>2</v>
      </c>
      <c r="AR139" s="267">
        <f t="shared" si="246"/>
        <v>2</v>
      </c>
      <c r="AS139" s="266">
        <f>SUM(AS133:AS136)</f>
        <v>13</v>
      </c>
      <c r="AT139" s="267">
        <f>SUM(AT132:AT136)</f>
        <v>15</v>
      </c>
      <c r="AU139" s="266">
        <f t="shared" ref="AU139:BD139" si="247">SUM(AU132:AU136)</f>
        <v>4</v>
      </c>
      <c r="AV139" s="267">
        <f t="shared" si="247"/>
        <v>4</v>
      </c>
      <c r="AW139" s="266">
        <f t="shared" si="247"/>
        <v>16</v>
      </c>
      <c r="AX139" s="267">
        <f t="shared" si="247"/>
        <v>17</v>
      </c>
      <c r="AY139" s="266">
        <f t="shared" si="247"/>
        <v>6</v>
      </c>
      <c r="AZ139" s="267">
        <f t="shared" si="247"/>
        <v>6</v>
      </c>
      <c r="BA139" s="266">
        <f t="shared" si="247"/>
        <v>12</v>
      </c>
      <c r="BB139" s="267">
        <f t="shared" si="247"/>
        <v>17</v>
      </c>
      <c r="BC139" s="266">
        <f t="shared" si="247"/>
        <v>0</v>
      </c>
      <c r="BD139" s="267">
        <f t="shared" si="247"/>
        <v>0</v>
      </c>
    </row>
    <row r="140" spans="1:56" ht="14.25">
      <c r="A140" s="206"/>
      <c r="B140" s="211">
        <v>3</v>
      </c>
      <c r="C140" s="282" t="s">
        <v>426</v>
      </c>
      <c r="D140" s="283" t="s">
        <v>63</v>
      </c>
      <c r="E140" s="283" t="s">
        <v>81</v>
      </c>
      <c r="F140" s="283" t="s">
        <v>25</v>
      </c>
      <c r="G140" s="284">
        <f>IF(Setup!$N$11&gt;=VLOOKUP(C140,Reference!$N$6:$O$36,2,0),2,0)</f>
        <v>2</v>
      </c>
      <c r="H140" s="284">
        <v>0</v>
      </c>
      <c r="I140" s="285">
        <v>1</v>
      </c>
      <c r="J140" s="286"/>
      <c r="K140" s="284" t="s">
        <v>182</v>
      </c>
      <c r="L140" s="284" t="s">
        <v>239</v>
      </c>
      <c r="M140" s="284">
        <v>2</v>
      </c>
      <c r="N140" s="284">
        <v>4</v>
      </c>
      <c r="O140" s="287" t="s">
        <v>427</v>
      </c>
      <c r="P140" s="289"/>
      <c r="Q140" s="283" t="s">
        <v>148</v>
      </c>
      <c r="R140" s="173"/>
      <c r="S140" s="195">
        <f>MATCH($D140,Reference!$J$5:$J$9,0)</f>
        <v>2</v>
      </c>
      <c r="T140" s="195">
        <f>MATCH($E140,Reference!$J$26:$J$32,0)</f>
        <v>6</v>
      </c>
      <c r="U140" s="195">
        <f>MATCH($F140,Reference!$J$45:$J$54,0)</f>
        <v>8</v>
      </c>
      <c r="V140" s="196">
        <f>MATCH($K140,Reference!$J$37:$J$39,0)</f>
        <v>3</v>
      </c>
      <c r="W140" s="197">
        <f t="shared" si="0"/>
        <v>2</v>
      </c>
      <c r="X140" s="197">
        <f t="shared" si="1"/>
        <v>1</v>
      </c>
      <c r="Y140" s="197">
        <f t="shared" si="234"/>
        <v>0</v>
      </c>
      <c r="Z140" s="197">
        <f t="shared" si="2"/>
        <v>2</v>
      </c>
      <c r="AA140" s="199" t="b">
        <f t="shared" si="3"/>
        <v>0</v>
      </c>
      <c r="AB140" s="199" t="b">
        <f t="shared" si="4"/>
        <v>0</v>
      </c>
      <c r="AC140" s="200">
        <f t="shared" ref="AC140:AD140" si="248">1-I140</f>
        <v>0</v>
      </c>
      <c r="AD140" s="200">
        <f t="shared" si="248"/>
        <v>1</v>
      </c>
      <c r="AE140" s="199">
        <f t="shared" si="6"/>
        <v>2</v>
      </c>
      <c r="AF140" s="201">
        <f t="shared" si="7"/>
        <v>0</v>
      </c>
      <c r="AG140" s="201">
        <f t="shared" si="8"/>
        <v>1</v>
      </c>
      <c r="AH140" s="202">
        <f t="shared" si="236"/>
        <v>0</v>
      </c>
      <c r="AI140" s="205"/>
      <c r="AJ140" s="173"/>
      <c r="AK140" s="173"/>
      <c r="AL140" s="173"/>
      <c r="AM140" s="173"/>
      <c r="AN140" s="173"/>
      <c r="AO140" s="173"/>
      <c r="AP140" s="173"/>
      <c r="AQ140" s="173"/>
      <c r="AR140" s="173"/>
      <c r="AS140" s="173"/>
      <c r="AT140" s="173"/>
      <c r="AU140" s="173"/>
      <c r="AV140" s="173"/>
    </row>
    <row r="141" spans="1:56" ht="14.25">
      <c r="A141" s="211"/>
      <c r="B141" s="211">
        <v>4</v>
      </c>
      <c r="C141" s="282" t="s">
        <v>428</v>
      </c>
      <c r="D141" s="283" t="s">
        <v>63</v>
      </c>
      <c r="E141" s="283" t="s">
        <v>81</v>
      </c>
      <c r="F141" s="283" t="s">
        <v>26</v>
      </c>
      <c r="G141" s="284">
        <f>IF(Setup!$N$11&gt;=VLOOKUP(C141,Reference!$N$6:$O$36,2,0),2,0)</f>
        <v>2</v>
      </c>
      <c r="H141" s="290">
        <v>0</v>
      </c>
      <c r="I141" s="285">
        <v>1</v>
      </c>
      <c r="J141" s="286"/>
      <c r="K141" s="284" t="s">
        <v>182</v>
      </c>
      <c r="L141" s="290"/>
      <c r="M141" s="284">
        <v>2</v>
      </c>
      <c r="N141" s="284">
        <v>5</v>
      </c>
      <c r="O141" s="291" t="s">
        <v>429</v>
      </c>
      <c r="P141" s="292"/>
      <c r="Q141" s="283" t="s">
        <v>148</v>
      </c>
      <c r="R141" s="173"/>
      <c r="S141" s="195">
        <f>MATCH($D141,Reference!$J$5:$J$9,0)</f>
        <v>2</v>
      </c>
      <c r="T141" s="195">
        <f>MATCH($E141,Reference!$J$26:$J$32,0)</f>
        <v>6</v>
      </c>
      <c r="U141" s="195">
        <f>MATCH($F141,Reference!$J$45:$J$54,0)</f>
        <v>9</v>
      </c>
      <c r="V141" s="196">
        <f>MATCH($K141,Reference!$J$37:$J$39,0)</f>
        <v>3</v>
      </c>
      <c r="W141" s="197">
        <f t="shared" si="0"/>
        <v>2</v>
      </c>
      <c r="X141" s="197">
        <f t="shared" si="1"/>
        <v>1</v>
      </c>
      <c r="Y141" s="197">
        <f t="shared" si="234"/>
        <v>0</v>
      </c>
      <c r="Z141" s="197">
        <f t="shared" si="2"/>
        <v>2</v>
      </c>
      <c r="AA141" s="199" t="b">
        <f t="shared" si="3"/>
        <v>0</v>
      </c>
      <c r="AB141" s="199" t="b">
        <f t="shared" si="4"/>
        <v>0</v>
      </c>
      <c r="AC141" s="200">
        <f t="shared" ref="AC141:AD141" si="249">1-I141</f>
        <v>0</v>
      </c>
      <c r="AD141" s="200">
        <f t="shared" si="249"/>
        <v>1</v>
      </c>
      <c r="AE141" s="199">
        <f t="shared" si="6"/>
        <v>2</v>
      </c>
      <c r="AF141" s="201">
        <f t="shared" si="7"/>
        <v>0</v>
      </c>
      <c r="AG141" s="201">
        <f t="shared" si="8"/>
        <v>1</v>
      </c>
      <c r="AH141" s="202">
        <f t="shared" si="236"/>
        <v>0</v>
      </c>
      <c r="AI141" s="205"/>
    </row>
    <row r="142" spans="1:56">
      <c r="A142" s="211"/>
      <c r="B142" s="211">
        <v>4</v>
      </c>
      <c r="C142" s="282" t="s">
        <v>430</v>
      </c>
      <c r="D142" s="283" t="s">
        <v>63</v>
      </c>
      <c r="E142" s="283" t="s">
        <v>81</v>
      </c>
      <c r="F142" s="283" t="s">
        <v>115</v>
      </c>
      <c r="G142" s="284">
        <f>IF(Setup!$N$11&gt;=VLOOKUP(C142,Reference!$N$6:$O$36,2,0),2,0)</f>
        <v>2</v>
      </c>
      <c r="H142" s="284">
        <v>0</v>
      </c>
      <c r="I142" s="285">
        <v>1</v>
      </c>
      <c r="J142" s="286"/>
      <c r="K142" s="284" t="s">
        <v>182</v>
      </c>
      <c r="L142" s="284" t="s">
        <v>415</v>
      </c>
      <c r="M142" s="284">
        <v>3</v>
      </c>
      <c r="N142" s="284">
        <v>5</v>
      </c>
      <c r="O142" s="287" t="s">
        <v>431</v>
      </c>
      <c r="P142" s="289"/>
      <c r="Q142" s="283" t="s">
        <v>148</v>
      </c>
      <c r="R142" s="173"/>
      <c r="S142" s="195">
        <f>MATCH($D142,Reference!$J$5:$J$9,0)</f>
        <v>2</v>
      </c>
      <c r="T142" s="195">
        <f>MATCH($E142,Reference!$J$26:$J$32,0)</f>
        <v>6</v>
      </c>
      <c r="U142" s="195">
        <f>MATCH($F142,Reference!$J$45:$J$54,0)</f>
        <v>10</v>
      </c>
      <c r="V142" s="196">
        <f>MATCH($K142,Reference!$J$37:$J$39,0)</f>
        <v>3</v>
      </c>
      <c r="W142" s="197">
        <f t="shared" si="0"/>
        <v>2</v>
      </c>
      <c r="X142" s="197">
        <f t="shared" si="1"/>
        <v>1</v>
      </c>
      <c r="Y142" s="197">
        <f t="shared" si="234"/>
        <v>0</v>
      </c>
      <c r="Z142" s="197">
        <f t="shared" si="2"/>
        <v>2</v>
      </c>
      <c r="AA142" s="199" t="b">
        <f t="shared" si="3"/>
        <v>0</v>
      </c>
      <c r="AB142" s="199" t="b">
        <f t="shared" si="4"/>
        <v>0</v>
      </c>
      <c r="AC142" s="200">
        <f t="shared" ref="AC142:AD142" si="250">1-I142</f>
        <v>0</v>
      </c>
      <c r="AD142" s="200">
        <f t="shared" si="250"/>
        <v>1</v>
      </c>
      <c r="AE142" s="199">
        <f t="shared" si="6"/>
        <v>2</v>
      </c>
      <c r="AF142" s="201">
        <f t="shared" si="7"/>
        <v>0</v>
      </c>
      <c r="AG142" s="201">
        <f t="shared" si="8"/>
        <v>1</v>
      </c>
      <c r="AH142" s="202">
        <f t="shared" si="236"/>
        <v>0</v>
      </c>
      <c r="AI142" s="205"/>
      <c r="AJ142" s="1134" t="s">
        <v>20</v>
      </c>
      <c r="AK142" s="1102"/>
      <c r="AL142" s="1102"/>
      <c r="AM142" s="1102"/>
      <c r="AN142" s="1102"/>
      <c r="AO142" s="1102"/>
      <c r="AP142" s="1102"/>
      <c r="AQ142" s="1102"/>
      <c r="AR142" s="1102"/>
      <c r="AS142" s="1102"/>
      <c r="AT142" s="1102"/>
      <c r="AU142" s="1102"/>
      <c r="AV142" s="1102"/>
      <c r="AW142" s="1102"/>
      <c r="AX142" s="1102"/>
      <c r="AY142" s="1102"/>
      <c r="AZ142" s="1102"/>
      <c r="BA142" s="1102"/>
      <c r="BB142" s="1102"/>
      <c r="BC142" s="1102"/>
      <c r="BD142" s="1102"/>
    </row>
    <row r="143" spans="1:56" ht="14.25">
      <c r="A143" s="187"/>
      <c r="B143" s="211">
        <v>4</v>
      </c>
      <c r="C143" s="282" t="s">
        <v>432</v>
      </c>
      <c r="D143" s="283" t="s">
        <v>63</v>
      </c>
      <c r="E143" s="283" t="s">
        <v>81</v>
      </c>
      <c r="F143" s="283" t="s">
        <v>21</v>
      </c>
      <c r="G143" s="284">
        <f>IF(Setup!$N$11&gt;=VLOOKUP(C143,Reference!$N$6:$O$36,2,0),2,0)</f>
        <v>2</v>
      </c>
      <c r="H143" s="284">
        <v>0</v>
      </c>
      <c r="I143" s="285">
        <v>1</v>
      </c>
      <c r="J143" s="286"/>
      <c r="K143" s="284" t="s">
        <v>182</v>
      </c>
      <c r="L143" s="284"/>
      <c r="M143" s="284">
        <v>3</v>
      </c>
      <c r="N143" s="284">
        <v>6</v>
      </c>
      <c r="O143" s="287" t="s">
        <v>433</v>
      </c>
      <c r="P143" s="288" t="s">
        <v>184</v>
      </c>
      <c r="Q143" s="283" t="s">
        <v>148</v>
      </c>
      <c r="R143" s="173"/>
      <c r="S143" s="195">
        <f>MATCH($D143,Reference!$J$5:$J$9,0)</f>
        <v>2</v>
      </c>
      <c r="T143" s="195">
        <f>MATCH($E143,Reference!$J$26:$J$32,0)</f>
        <v>6</v>
      </c>
      <c r="U143" s="195">
        <f>MATCH($F143,Reference!$J$45:$J$54,0)</f>
        <v>7</v>
      </c>
      <c r="V143" s="196">
        <f>MATCH($K143,Reference!$J$37:$J$39,0)</f>
        <v>3</v>
      </c>
      <c r="W143" s="197">
        <f t="shared" si="0"/>
        <v>2</v>
      </c>
      <c r="X143" s="197">
        <f t="shared" si="1"/>
        <v>1</v>
      </c>
      <c r="Y143" s="197">
        <f t="shared" si="234"/>
        <v>0</v>
      </c>
      <c r="Z143" s="197">
        <f t="shared" si="2"/>
        <v>2</v>
      </c>
      <c r="AA143" s="199" t="b">
        <f t="shared" si="3"/>
        <v>0</v>
      </c>
      <c r="AB143" s="199" t="b">
        <f t="shared" si="4"/>
        <v>0</v>
      </c>
      <c r="AC143" s="200">
        <f t="shared" ref="AC143:AD143" si="251">1-I143</f>
        <v>0</v>
      </c>
      <c r="AD143" s="200">
        <f t="shared" si="251"/>
        <v>1</v>
      </c>
      <c r="AE143" s="199">
        <f t="shared" si="6"/>
        <v>2</v>
      </c>
      <c r="AF143" s="201">
        <f t="shared" si="7"/>
        <v>0</v>
      </c>
      <c r="AG143" s="201">
        <f t="shared" si="8"/>
        <v>1</v>
      </c>
      <c r="AH143" s="202">
        <f t="shared" si="236"/>
        <v>0</v>
      </c>
      <c r="AI143" s="205"/>
      <c r="AJ143" s="224" t="s">
        <v>122</v>
      </c>
      <c r="AK143" s="1133" t="s">
        <v>22</v>
      </c>
      <c r="AL143" s="1102"/>
      <c r="AM143" s="1133" t="s">
        <v>77</v>
      </c>
      <c r="AN143" s="1102"/>
      <c r="AO143" s="1133" t="s">
        <v>78</v>
      </c>
      <c r="AP143" s="1102"/>
      <c r="AQ143" s="1133" t="s">
        <v>79</v>
      </c>
      <c r="AR143" s="1102"/>
      <c r="AS143" s="1133" t="s">
        <v>80</v>
      </c>
      <c r="AT143" s="1102"/>
      <c r="AU143" s="1133" t="s">
        <v>220</v>
      </c>
      <c r="AV143" s="1102"/>
      <c r="AW143" s="1133" t="s">
        <v>82</v>
      </c>
      <c r="AX143" s="1102"/>
      <c r="AY143" s="1133" t="s">
        <v>84</v>
      </c>
      <c r="AZ143" s="1102"/>
      <c r="BA143" s="1133" t="s">
        <v>73</v>
      </c>
      <c r="BB143" s="1102"/>
      <c r="BC143" s="1133" t="s">
        <v>221</v>
      </c>
      <c r="BD143" s="1102"/>
    </row>
    <row r="144" spans="1:56" ht="14.25">
      <c r="A144" s="209"/>
      <c r="B144" s="211">
        <v>4</v>
      </c>
      <c r="C144" s="282" t="s">
        <v>434</v>
      </c>
      <c r="D144" s="283" t="s">
        <v>63</v>
      </c>
      <c r="E144" s="283" t="s">
        <v>81</v>
      </c>
      <c r="F144" s="283" t="s">
        <v>115</v>
      </c>
      <c r="G144" s="284">
        <f>IF(Setup!$N$11&gt;=VLOOKUP(C144,Reference!$N$6:$O$36,2,0),2,0)</f>
        <v>2</v>
      </c>
      <c r="H144" s="284">
        <v>0</v>
      </c>
      <c r="I144" s="285">
        <v>0.33</v>
      </c>
      <c r="J144" s="286"/>
      <c r="K144" s="284" t="s">
        <v>182</v>
      </c>
      <c r="L144" s="284" t="s">
        <v>415</v>
      </c>
      <c r="M144" s="284">
        <v>5</v>
      </c>
      <c r="N144" s="284">
        <v>6</v>
      </c>
      <c r="O144" s="287" t="s">
        <v>435</v>
      </c>
      <c r="P144" s="288" t="s">
        <v>184</v>
      </c>
      <c r="Q144" s="283" t="s">
        <v>148</v>
      </c>
      <c r="R144" s="173"/>
      <c r="S144" s="195">
        <f>MATCH($D144,Reference!$J$5:$J$9,0)</f>
        <v>2</v>
      </c>
      <c r="T144" s="195">
        <f>MATCH($E144,Reference!$J$26:$J$32,0)</f>
        <v>6</v>
      </c>
      <c r="U144" s="195">
        <f>MATCH($F144,Reference!$J$45:$J$54,0)</f>
        <v>10</v>
      </c>
      <c r="V144" s="196">
        <f>MATCH($K144,Reference!$J$37:$J$39,0)</f>
        <v>3</v>
      </c>
      <c r="W144" s="197">
        <f t="shared" si="0"/>
        <v>2</v>
      </c>
      <c r="X144" s="197">
        <f t="shared" si="1"/>
        <v>1</v>
      </c>
      <c r="Y144" s="197">
        <f t="shared" si="234"/>
        <v>0</v>
      </c>
      <c r="Z144" s="197">
        <f t="shared" si="2"/>
        <v>2</v>
      </c>
      <c r="AA144" s="199" t="b">
        <f t="shared" si="3"/>
        <v>0</v>
      </c>
      <c r="AB144" s="199" t="b">
        <f t="shared" si="4"/>
        <v>0</v>
      </c>
      <c r="AC144" s="200">
        <f t="shared" ref="AC144:AD144" si="252">1-I144</f>
        <v>0.66999999999999993</v>
      </c>
      <c r="AD144" s="200">
        <f t="shared" si="252"/>
        <v>1</v>
      </c>
      <c r="AE144" s="199">
        <f t="shared" si="6"/>
        <v>2</v>
      </c>
      <c r="AF144" s="201">
        <f t="shared" si="7"/>
        <v>0</v>
      </c>
      <c r="AG144" s="201">
        <f t="shared" si="8"/>
        <v>1</v>
      </c>
      <c r="AH144" s="202">
        <f t="shared" si="236"/>
        <v>0</v>
      </c>
      <c r="AI144" s="205"/>
      <c r="AJ144" s="225" t="s">
        <v>224</v>
      </c>
      <c r="AK144" s="226"/>
      <c r="AL144" s="227"/>
      <c r="AM144" s="226"/>
      <c r="AN144" s="227"/>
      <c r="AO144" s="228"/>
      <c r="AP144" s="227"/>
      <c r="AQ144" s="226"/>
      <c r="AR144" s="227"/>
      <c r="AS144" s="228"/>
      <c r="AT144" s="227"/>
      <c r="AU144" s="226"/>
      <c r="AV144" s="227"/>
      <c r="AW144" s="229"/>
      <c r="AX144" s="230"/>
      <c r="AY144" s="229"/>
      <c r="AZ144" s="230"/>
      <c r="BA144" s="229"/>
      <c r="BB144" s="230"/>
      <c r="BC144" s="229"/>
      <c r="BD144" s="230"/>
    </row>
    <row r="145" spans="1:56" ht="14.25">
      <c r="A145" s="206"/>
      <c r="B145" s="211">
        <v>5</v>
      </c>
      <c r="C145" s="282" t="s">
        <v>436</v>
      </c>
      <c r="D145" s="283" t="s">
        <v>63</v>
      </c>
      <c r="E145" s="283" t="s">
        <v>81</v>
      </c>
      <c r="F145" s="283" t="s">
        <v>115</v>
      </c>
      <c r="G145" s="284">
        <f>IF(Setup!$N$11&gt;=VLOOKUP(C145,Reference!$N$6:$O$36,2,0),2,0)</f>
        <v>2</v>
      </c>
      <c r="H145" s="284">
        <v>0</v>
      </c>
      <c r="I145" s="285">
        <v>1</v>
      </c>
      <c r="J145" s="286"/>
      <c r="K145" s="284" t="s">
        <v>182</v>
      </c>
      <c r="L145" s="284"/>
      <c r="M145" s="284">
        <v>5</v>
      </c>
      <c r="N145" s="284">
        <v>4</v>
      </c>
      <c r="O145" s="287" t="s">
        <v>437</v>
      </c>
      <c r="P145" s="288" t="s">
        <v>275</v>
      </c>
      <c r="Q145" s="283" t="s">
        <v>148</v>
      </c>
      <c r="R145" s="173"/>
      <c r="S145" s="195">
        <f>MATCH($D145,Reference!$J$5:$J$9,0)</f>
        <v>2</v>
      </c>
      <c r="T145" s="195">
        <f>MATCH($E145,Reference!$J$26:$J$32,0)</f>
        <v>6</v>
      </c>
      <c r="U145" s="195">
        <f>MATCH($F145,Reference!$J$45:$J$54,0)</f>
        <v>10</v>
      </c>
      <c r="V145" s="196">
        <f>MATCH($K145,Reference!$J$37:$J$39,0)</f>
        <v>3</v>
      </c>
      <c r="W145" s="197">
        <f t="shared" si="0"/>
        <v>2</v>
      </c>
      <c r="X145" s="197">
        <f t="shared" si="1"/>
        <v>1</v>
      </c>
      <c r="Y145" s="197">
        <f t="shared" si="234"/>
        <v>0</v>
      </c>
      <c r="Z145" s="197">
        <f t="shared" si="2"/>
        <v>2</v>
      </c>
      <c r="AA145" s="199" t="b">
        <f t="shared" si="3"/>
        <v>0</v>
      </c>
      <c r="AB145" s="199" t="b">
        <f t="shared" si="4"/>
        <v>0</v>
      </c>
      <c r="AC145" s="200">
        <f t="shared" ref="AC145:AD145" si="253">1-I145</f>
        <v>0</v>
      </c>
      <c r="AD145" s="200">
        <f t="shared" si="253"/>
        <v>1</v>
      </c>
      <c r="AE145" s="199">
        <f t="shared" si="6"/>
        <v>2</v>
      </c>
      <c r="AF145" s="201">
        <f t="shared" si="7"/>
        <v>0</v>
      </c>
      <c r="AG145" s="201">
        <f t="shared" si="8"/>
        <v>1</v>
      </c>
      <c r="AH145" s="202">
        <f t="shared" si="236"/>
        <v>0</v>
      </c>
      <c r="AI145" s="205"/>
      <c r="AJ145" s="231" t="s">
        <v>58</v>
      </c>
      <c r="AK145" s="232">
        <f t="shared" ref="AK145:AL145" si="254">SUM(AO145+AM145+AQ145+AS145+AU145+AW145+AY145+BA145+BC145)</f>
        <v>10</v>
      </c>
      <c r="AL145" s="232">
        <f t="shared" si="254"/>
        <v>10</v>
      </c>
      <c r="AM145" s="191">
        <f>SUMIFS($X$2:$X879, $E$2:$E879, "Basic", $F$2:F879, "Rogue")</f>
        <v>10</v>
      </c>
      <c r="AN145" s="191">
        <f>COUNTIFS($E$2:$E879, "Basic", $E$2:$E879, "Basic", $F$2:F879, "Rogue" )</f>
        <v>10</v>
      </c>
      <c r="AO145" s="234"/>
      <c r="AP145" s="235"/>
      <c r="AQ145" s="191"/>
      <c r="AR145" s="235"/>
      <c r="AS145" s="234"/>
      <c r="AT145" s="235"/>
      <c r="AU145" s="191"/>
      <c r="AV145" s="235"/>
      <c r="AW145" s="191"/>
      <c r="AX145" s="235"/>
      <c r="AY145" s="191"/>
      <c r="AZ145" s="235"/>
      <c r="BA145" s="191"/>
      <c r="BB145" s="235"/>
      <c r="BC145" s="191"/>
      <c r="BD145" s="235"/>
    </row>
    <row r="146" spans="1:56" ht="14.25">
      <c r="A146" s="206"/>
      <c r="B146" s="211">
        <v>5</v>
      </c>
      <c r="C146" s="282" t="s">
        <v>438</v>
      </c>
      <c r="D146" s="283" t="s">
        <v>63</v>
      </c>
      <c r="E146" s="283" t="s">
        <v>81</v>
      </c>
      <c r="F146" s="283" t="s">
        <v>13</v>
      </c>
      <c r="G146" s="284">
        <f>IF(Setup!$N$11&gt;=VLOOKUP(C146,Reference!$N$6:$O$36,2,0),2,0)</f>
        <v>2</v>
      </c>
      <c r="H146" s="284">
        <v>0</v>
      </c>
      <c r="I146" s="285">
        <v>1</v>
      </c>
      <c r="J146" s="286"/>
      <c r="K146" s="284" t="s">
        <v>146</v>
      </c>
      <c r="L146" s="284"/>
      <c r="M146" s="284"/>
      <c r="N146" s="284"/>
      <c r="O146" s="287" t="s">
        <v>439</v>
      </c>
      <c r="P146" s="289"/>
      <c r="Q146" s="283" t="s">
        <v>148</v>
      </c>
      <c r="R146" s="173"/>
      <c r="S146" s="195">
        <f>MATCH($D146,Reference!$J$5:$J$9,0)</f>
        <v>2</v>
      </c>
      <c r="T146" s="195">
        <f>MATCH($E146,Reference!$J$26:$J$32,0)</f>
        <v>6</v>
      </c>
      <c r="U146" s="195">
        <f>MATCH($F146,Reference!$J$45:$J$54,0)</f>
        <v>3</v>
      </c>
      <c r="V146" s="196">
        <f>MATCH($K146,Reference!$J$37:$J$39,0)</f>
        <v>2</v>
      </c>
      <c r="W146" s="197">
        <f t="shared" si="0"/>
        <v>2</v>
      </c>
      <c r="X146" s="197">
        <f t="shared" si="1"/>
        <v>1</v>
      </c>
      <c r="Y146" s="197">
        <f t="shared" si="234"/>
        <v>0</v>
      </c>
      <c r="Z146" s="197">
        <f t="shared" si="2"/>
        <v>2</v>
      </c>
      <c r="AA146" s="199" t="b">
        <f t="shared" si="3"/>
        <v>0</v>
      </c>
      <c r="AB146" s="199" t="b">
        <f t="shared" si="4"/>
        <v>0</v>
      </c>
      <c r="AC146" s="200">
        <f t="shared" ref="AC146:AD146" si="255">1-I146</f>
        <v>0</v>
      </c>
      <c r="AD146" s="200">
        <f t="shared" si="255"/>
        <v>1</v>
      </c>
      <c r="AE146" s="199">
        <f t="shared" si="6"/>
        <v>2</v>
      </c>
      <c r="AF146" s="201">
        <f t="shared" si="7"/>
        <v>0</v>
      </c>
      <c r="AG146" s="201">
        <f t="shared" si="8"/>
        <v>1</v>
      </c>
      <c r="AH146" s="202">
        <f t="shared" si="236"/>
        <v>0</v>
      </c>
      <c r="AI146" s="205"/>
      <c r="AJ146" s="236" t="s">
        <v>63</v>
      </c>
      <c r="AK146" s="237">
        <f t="shared" ref="AK146:AL146" si="256">SUM(AO146+AM146+AQ146+AS146+AU146+AW146+AY146+BA146+BC146)</f>
        <v>18</v>
      </c>
      <c r="AL146" s="237">
        <f t="shared" si="256"/>
        <v>18</v>
      </c>
      <c r="AM146" s="229">
        <f>SUMIFS($X$2:$X879, $D$2:$D879, "Common", $E$2:$E879, "Classic", $F$2:F879, "Rogue")</f>
        <v>6</v>
      </c>
      <c r="AN146" s="229">
        <f>COUNTIFS($D$2:$D879, "Common", $E$2:$E879, "Classic", $F$2:F879, "Rogue" )</f>
        <v>6</v>
      </c>
      <c r="AO146" s="268">
        <f>SUMIFS($X$2:$X879, $D$2:$D879, "Common", $E$2:$E879, "Promo", $F$2:F879, "Rogue")</f>
        <v>0</v>
      </c>
      <c r="AP146" s="230">
        <f>COUNTIFS($D$2:$D879, "Common", $E$2:$E879, "Promo", $F$2:F879, "Rogue" )</f>
        <v>0</v>
      </c>
      <c r="AQ146" s="229">
        <f>SUMIFS($X$2:$X879, $D$2:$D879, "Common", $E$2:$E879, "Naxx", $F$2:F879, "Rogue")</f>
        <v>1</v>
      </c>
      <c r="AR146" s="229">
        <f>COUNTIFS($D$2:$D879, "Common", $E$2:$E879, "Naxx", $F$2:F879, "Rogue" )</f>
        <v>1</v>
      </c>
      <c r="AS146" s="268">
        <f>SUMIFS($X$2:$X879, $D$2:$D879, "Common", $E$2:$E879, "GvG", $F$2:F879, "Rogue")</f>
        <v>2</v>
      </c>
      <c r="AT146" s="230">
        <f>COUNTIFS($D$2:$D879, "Common", $E$2:$E879, "GvG", $F$2:F879, "Rogue" )</f>
        <v>2</v>
      </c>
      <c r="AU146" s="229">
        <f>SUMIFS($X$2:$X879, $D$2:$D879, "Common", $E$2:$E879, "Blackrock", $F$2:F879, "Rogue")</f>
        <v>1</v>
      </c>
      <c r="AV146" s="229">
        <f>COUNTIFS($D$2:$D879, "Common", $E$2:$E879, "Blackrock", $F$2:F879, "Rogue" )</f>
        <v>1</v>
      </c>
      <c r="AW146" s="229">
        <f>SUMIFS($X$2:$X879, $D$2:$D879, "Common", $E$2:$E879, "TGT", $F$2:F879, "Rogue")</f>
        <v>3</v>
      </c>
      <c r="AX146" s="230">
        <f>COUNTIFS($D$2:$D879, "Common", $E$2:$E879, "TGT", $F$2:F879, "Rogue" )</f>
        <v>3</v>
      </c>
      <c r="AY146" s="229">
        <f>SUMIFS($X$2:$X879, $D$2:$D879, "Common", $E$2:$E879, "LoE", $F$2:F879, "Rogue")</f>
        <v>2</v>
      </c>
      <c r="AZ146" s="230">
        <f>COUNTIFS($D$2:$D879, "Common", $E$2:$E879, "LoE", $F$2:F879, "Rogue" )</f>
        <v>2</v>
      </c>
      <c r="BA146" s="229">
        <f>SUMIFS($X$2:$X879, $D$2:$D879, "Common", $E$2:$E879, "TOG", $F$2:F879, "Rogue")</f>
        <v>3</v>
      </c>
      <c r="BB146" s="230">
        <f>COUNTIFS($D$2:$D879, "Common", $E$2:$E879, "TOG", $F$2:F879, "Rogue" )</f>
        <v>3</v>
      </c>
      <c r="BC146" s="229">
        <f>SUMIFS($X$2:$X879, $D$2:$D879, "Common", $E$2:$E879, "Adv4", $F$2:F879, "Rogue")</f>
        <v>0</v>
      </c>
      <c r="BD146" s="230">
        <f>COUNTIFS($D$2:$D879, "Common", $E$2:$E879, "Adv4", $F$2:F879, "Rogue" )</f>
        <v>0</v>
      </c>
    </row>
    <row r="147" spans="1:56" ht="14.25">
      <c r="A147" s="206"/>
      <c r="B147" s="211">
        <v>5</v>
      </c>
      <c r="C147" s="282" t="s">
        <v>440</v>
      </c>
      <c r="D147" s="283" t="s">
        <v>63</v>
      </c>
      <c r="E147" s="283" t="s">
        <v>81</v>
      </c>
      <c r="F147" s="283" t="s">
        <v>16</v>
      </c>
      <c r="G147" s="284">
        <f>IF(Setup!$N$11&gt;=VLOOKUP(C147,Reference!$N$6:$O$36,2,0),2,0)</f>
        <v>2</v>
      </c>
      <c r="H147" s="284">
        <v>0</v>
      </c>
      <c r="I147" s="285">
        <v>1</v>
      </c>
      <c r="J147" s="293"/>
      <c r="K147" s="284" t="s">
        <v>146</v>
      </c>
      <c r="L147" s="284"/>
      <c r="M147" s="284"/>
      <c r="N147" s="284"/>
      <c r="O147" s="287" t="s">
        <v>441</v>
      </c>
      <c r="P147" s="289"/>
      <c r="Q147" s="283" t="s">
        <v>148</v>
      </c>
      <c r="R147" s="173"/>
      <c r="S147" s="195">
        <f>MATCH($D147,Reference!$J$5:$J$9,0)</f>
        <v>2</v>
      </c>
      <c r="T147" s="195">
        <f>MATCH($E147,Reference!$J$26:$J$32,0)</f>
        <v>6</v>
      </c>
      <c r="U147" s="195">
        <f>MATCH($F147,Reference!$J$45:$J$54,0)</f>
        <v>4</v>
      </c>
      <c r="V147" s="196">
        <f>MATCH($K147,Reference!$J$37:$J$39,0)</f>
        <v>2</v>
      </c>
      <c r="W147" s="197">
        <f t="shared" si="0"/>
        <v>2</v>
      </c>
      <c r="X147" s="197">
        <f t="shared" si="1"/>
        <v>1</v>
      </c>
      <c r="Y147" s="197">
        <f t="shared" si="234"/>
        <v>0</v>
      </c>
      <c r="Z147" s="197">
        <f t="shared" si="2"/>
        <v>2</v>
      </c>
      <c r="AA147" s="199" t="b">
        <f t="shared" si="3"/>
        <v>0</v>
      </c>
      <c r="AB147" s="199" t="b">
        <f t="shared" si="4"/>
        <v>0</v>
      </c>
      <c r="AC147" s="200">
        <f t="shared" ref="AC147:AD147" si="257">1-I147</f>
        <v>0</v>
      </c>
      <c r="AD147" s="200">
        <f t="shared" si="257"/>
        <v>1</v>
      </c>
      <c r="AE147" s="199">
        <f t="shared" si="6"/>
        <v>2</v>
      </c>
      <c r="AF147" s="201">
        <f t="shared" si="7"/>
        <v>0</v>
      </c>
      <c r="AG147" s="201">
        <f t="shared" si="8"/>
        <v>1</v>
      </c>
      <c r="AH147" s="202">
        <f t="shared" si="236"/>
        <v>0</v>
      </c>
      <c r="AI147" s="205"/>
      <c r="AJ147" s="241" t="s">
        <v>68</v>
      </c>
      <c r="AK147" s="242">
        <f t="shared" ref="AK147:AL147" si="258">SUM(AO147+AM147+AQ147+AS147+AU147+AW147+AY147+BA147+BC147)</f>
        <v>16</v>
      </c>
      <c r="AL147" s="242">
        <f t="shared" si="258"/>
        <v>16</v>
      </c>
      <c r="AM147" s="269">
        <f>SUMIFS($X$2:$X879, $D$2:$D879, "Rare", $E$2:$E879, "Classic", $F$2:F879, "Rogue")</f>
        <v>5</v>
      </c>
      <c r="AN147" s="269">
        <f>COUNTIFS($D$2:$D879, "Rare", $E$2:$E879, "Classic", $F$2:F879, "Rogue" )</f>
        <v>5</v>
      </c>
      <c r="AO147" s="270">
        <f>SUMIFS($X$2:$X879, $D$2:$D879, "Rare", $E$2:$E879, "Promo", $F$2:F879, "Rogue")</f>
        <v>0</v>
      </c>
      <c r="AP147" s="271">
        <f>COUNTIFS($D$2:$D879, "Rare", $E$2:$E879, "Promo", $F$2:F879, "Rogue" )</f>
        <v>0</v>
      </c>
      <c r="AQ147" s="269">
        <f>SUMIFS($X$2:$X879, $D$2:$D879, "Rare", $E$2:$E879, "Naxx", $F$2:F879, "Rogue")</f>
        <v>0</v>
      </c>
      <c r="AR147" s="269">
        <f>COUNTIFS($D$2:$D879, "Rare", $E$2:$E879, "Naxx", $F$2:F879, "Rogue" )</f>
        <v>0</v>
      </c>
      <c r="AS147" s="270">
        <f>SUMIFS($X$2:$X879, $D$2:$D879, "Rare", $E$2:$E879, "GvG", $F$2:F879, "Rogue")</f>
        <v>3</v>
      </c>
      <c r="AT147" s="271">
        <f>COUNTIFS($D$2:$D879, "Rare", $E$2:$E879, "GvG", $F$2:F879, "Rogue" )</f>
        <v>3</v>
      </c>
      <c r="AU147" s="269">
        <f>SUMIFS($X$2:$X879, $D$2:$D879, "Rare", $E$2:$E879, "Blackrock", $F$2:F879, "Rogue")</f>
        <v>1</v>
      </c>
      <c r="AV147" s="269">
        <f>COUNTIFS($D$2:$D879, "Rare", $E$2:$E879, "Blackrock", $F$2:F879, "Rogue" )</f>
        <v>1</v>
      </c>
      <c r="AW147" s="269">
        <f>SUMIFS($X$2:$X879, $D$2:$D879, "Rare", $E$2:$E879, "TGT", $F$2:F879, "Rogue")</f>
        <v>3</v>
      </c>
      <c r="AX147" s="271">
        <f>COUNTIFS($D$2:$D879, "Rare", $E$2:$E879, "TGT", $F$2:F879, "Rogue" )</f>
        <v>3</v>
      </c>
      <c r="AY147" s="269">
        <f>SUMIFS($X$2:$X879, $D$2:$D879, "Rare", $E$2:$E879, "LoE", $F$2:F879, "Rogue")</f>
        <v>1</v>
      </c>
      <c r="AZ147" s="271">
        <f>COUNTIFS($D$2:$D879, "Rare", $E$2:$E879, "LoE", $F$2:F879, "Rogue" )</f>
        <v>1</v>
      </c>
      <c r="BA147" s="269">
        <f>SUMIFS($X$2:$X879, $D$2:$D879, "Rare", $E$2:$E879, "TOG", $F$2:F879, "Rogue")</f>
        <v>3</v>
      </c>
      <c r="BB147" s="271">
        <f>COUNTIFS($D$2:$D879, "Rare", $E$2:$E879, "TOG", $F$2:F879, "Rogue" )</f>
        <v>3</v>
      </c>
      <c r="BC147" s="269">
        <f>SUMIFS($X$2:$X879, $D$2:$D879, "Rare", $E$2:$E879, "Adv4", $F$2:F879, "Rogue")</f>
        <v>0</v>
      </c>
      <c r="BD147" s="271">
        <f>COUNTIFS($D$2:$D879, "Rare", $E$2:$E879, "Adv4", $F$2:F879, "Rogue" )</f>
        <v>0</v>
      </c>
    </row>
    <row r="148" spans="1:56" ht="14.25">
      <c r="A148" s="187"/>
      <c r="B148" s="211">
        <v>6</v>
      </c>
      <c r="C148" s="282" t="s">
        <v>442</v>
      </c>
      <c r="D148" s="283" t="s">
        <v>63</v>
      </c>
      <c r="E148" s="283" t="s">
        <v>81</v>
      </c>
      <c r="F148" s="283" t="s">
        <v>115</v>
      </c>
      <c r="G148" s="284">
        <f>IF(Setup!$N$11&gt;=VLOOKUP(C148,Reference!$N$6:$O$36,2,0),2,0)</f>
        <v>2</v>
      </c>
      <c r="H148" s="284">
        <v>0</v>
      </c>
      <c r="I148" s="285">
        <v>1</v>
      </c>
      <c r="J148" s="286"/>
      <c r="K148" s="284" t="s">
        <v>182</v>
      </c>
      <c r="L148" s="284" t="s">
        <v>415</v>
      </c>
      <c r="M148" s="284">
        <v>6</v>
      </c>
      <c r="N148" s="284">
        <v>6</v>
      </c>
      <c r="O148" s="287" t="s">
        <v>443</v>
      </c>
      <c r="P148" s="288" t="s">
        <v>275</v>
      </c>
      <c r="Q148" s="283" t="s">
        <v>148</v>
      </c>
      <c r="R148" s="173"/>
      <c r="S148" s="195">
        <f>MATCH($D148,Reference!$J$5:$J$9,0)</f>
        <v>2</v>
      </c>
      <c r="T148" s="195">
        <f>MATCH($E148,Reference!$J$26:$J$32,0)</f>
        <v>6</v>
      </c>
      <c r="U148" s="195">
        <f>MATCH($F148,Reference!$J$45:$J$54,0)</f>
        <v>10</v>
      </c>
      <c r="V148" s="196">
        <f>MATCH($K148,Reference!$J$37:$J$39,0)</f>
        <v>3</v>
      </c>
      <c r="W148" s="197">
        <f t="shared" si="0"/>
        <v>2</v>
      </c>
      <c r="X148" s="197">
        <f t="shared" si="1"/>
        <v>1</v>
      </c>
      <c r="Y148" s="197">
        <f t="shared" si="234"/>
        <v>0</v>
      </c>
      <c r="Z148" s="197">
        <f t="shared" si="2"/>
        <v>2</v>
      </c>
      <c r="AA148" s="199" t="b">
        <f t="shared" si="3"/>
        <v>0</v>
      </c>
      <c r="AB148" s="199" t="b">
        <f t="shared" si="4"/>
        <v>0</v>
      </c>
      <c r="AC148" s="200">
        <f t="shared" ref="AC148:AD148" si="259">1-I148</f>
        <v>0</v>
      </c>
      <c r="AD148" s="200">
        <f t="shared" si="259"/>
        <v>1</v>
      </c>
      <c r="AE148" s="199">
        <f t="shared" si="6"/>
        <v>2</v>
      </c>
      <c r="AF148" s="201">
        <f t="shared" si="7"/>
        <v>0</v>
      </c>
      <c r="AG148" s="201">
        <f t="shared" si="8"/>
        <v>1</v>
      </c>
      <c r="AH148" s="202">
        <f t="shared" si="236"/>
        <v>0</v>
      </c>
      <c r="AI148" s="205"/>
      <c r="AJ148" s="245" t="s">
        <v>69</v>
      </c>
      <c r="AK148" s="246">
        <f t="shared" ref="AK148:AL148" si="260">SUM(AO148+AM148+AQ148+AS148+AU148+AW148+AY148+BA148+BC148)</f>
        <v>7</v>
      </c>
      <c r="AL148" s="246">
        <f t="shared" si="260"/>
        <v>9</v>
      </c>
      <c r="AM148" s="272">
        <f>SUMIFS($X$2:$X879, $D$2:$D879, "Epic", $E$2:$E879, "Classic", $F$2:F879, "Rogue")</f>
        <v>2</v>
      </c>
      <c r="AN148" s="272">
        <f>COUNTIFS($D$2:$D879, "Epic", $E$2:$E879, "Classic", $F$2:F879, "Rogue" )</f>
        <v>3</v>
      </c>
      <c r="AO148" s="273">
        <f>SUMIFS($X$2:$X879, $D$2:$D879, "Epic", $E$2:$E879, "Promo", $F$2:F879, "Rogue")</f>
        <v>0</v>
      </c>
      <c r="AP148" s="274">
        <f>COUNTIFS($D$2:$D879, "Epic", $E$2:$E879, "Promo", $F$2:F879, "Rogue" )</f>
        <v>0</v>
      </c>
      <c r="AQ148" s="272">
        <f>SUMIFS($X$2:$X879, $D$2:$D879, "Epic", $E$2:$E879, "Naxx", $F$2:F879, "Rogue")</f>
        <v>0</v>
      </c>
      <c r="AR148" s="272">
        <f>COUNTIFS($D$2:$D879, "Epic", $E$2:$E879, "Naxx", $F$2:F879, "Rogue" )</f>
        <v>0</v>
      </c>
      <c r="AS148" s="273">
        <f>SUMIFS($X$2:$X879, $D$2:$D879, "Epic", $E$2:$E879, "GvG", $F$2:F879, "Rogue")</f>
        <v>2</v>
      </c>
      <c r="AT148" s="274">
        <f>COUNTIFS($D$2:$D879, "Epic", $E$2:$E879, "GvG", $F$2:F879, "Rogue" )</f>
        <v>2</v>
      </c>
      <c r="AU148" s="272">
        <f>SUMIFS($X$2:$X879, $D$2:$D879, "Epic", $E$2:$E879, "Blackrock", $F$2:F879, "Rogue")</f>
        <v>0</v>
      </c>
      <c r="AV148" s="272">
        <f>COUNTIFS($D$2:$D879, "Epic", $E$2:$E879, "Blackrock", $F$2:F879, "Rogue" )</f>
        <v>0</v>
      </c>
      <c r="AW148" s="272">
        <f>SUMIFS($X$2:$X879, $D$2:$D879, "Epic", $E$2:$E879, "TGT", $F$2:F879, "Rogue")</f>
        <v>1</v>
      </c>
      <c r="AX148" s="274">
        <f>COUNTIFS($D$2:$D879, "Epic", $E$2:$E879, "TGT", $F$2:F879, "Rogue" )</f>
        <v>2</v>
      </c>
      <c r="AY148" s="272">
        <f>SUMIFS($X$2:$X879, $D$2:$D879, "Epic", $E$2:$E879, "LoE", $F$2:F879, "Rogue")</f>
        <v>0</v>
      </c>
      <c r="AZ148" s="274">
        <f>COUNTIFS($D$2:$D879, "Epic", $E$2:$E879, "LoE", $F$2:F879, "Rogue" )</f>
        <v>0</v>
      </c>
      <c r="BA148" s="272">
        <f>SUMIFS($X$2:$X879, $D$2:$D879, "Epic", $E$2:$E879, "TOG", $F$2:F879, "Rogue")</f>
        <v>2</v>
      </c>
      <c r="BB148" s="274">
        <f>COUNTIFS($D$2:$D879, "Epic", $E$2:$E879, "TOG", $F$2:F879, "Rogue" )</f>
        <v>2</v>
      </c>
      <c r="BC148" s="272">
        <f>SUMIFS($X$2:$X879, $D$2:$D879, "Epic", $E$2:$E879, "Adv4", $F$2:F879, "Rogue")</f>
        <v>0</v>
      </c>
      <c r="BD148" s="274">
        <f>COUNTIFS($D$2:$D879, "Epic", $E$2:$E879, "Adv4", $F$2:F879, "Rogue" )</f>
        <v>0</v>
      </c>
    </row>
    <row r="149" spans="1:56" ht="14.25">
      <c r="A149" s="187"/>
      <c r="B149" s="211">
        <v>6</v>
      </c>
      <c r="C149" s="282" t="s">
        <v>444</v>
      </c>
      <c r="D149" s="283" t="s">
        <v>63</v>
      </c>
      <c r="E149" s="283" t="s">
        <v>81</v>
      </c>
      <c r="F149" s="283" t="s">
        <v>115</v>
      </c>
      <c r="G149" s="284">
        <f>IF(Setup!$N$11&gt;=VLOOKUP(C149,Reference!$N$6:$O$36,2,0),2,0)</f>
        <v>2</v>
      </c>
      <c r="H149" s="284">
        <v>0</v>
      </c>
      <c r="I149" s="285">
        <v>1</v>
      </c>
      <c r="J149" s="286"/>
      <c r="K149" s="284" t="s">
        <v>182</v>
      </c>
      <c r="L149" s="284" t="s">
        <v>415</v>
      </c>
      <c r="M149" s="284">
        <v>6</v>
      </c>
      <c r="N149" s="284">
        <v>4</v>
      </c>
      <c r="O149" s="287" t="s">
        <v>445</v>
      </c>
      <c r="P149" s="289"/>
      <c r="Q149" s="283" t="s">
        <v>148</v>
      </c>
      <c r="R149" s="173"/>
      <c r="S149" s="195">
        <f>MATCH($D149,Reference!$J$5:$J$9,0)</f>
        <v>2</v>
      </c>
      <c r="T149" s="195">
        <f>MATCH($E149,Reference!$J$26:$J$32,0)</f>
        <v>6</v>
      </c>
      <c r="U149" s="195">
        <f>MATCH($F149,Reference!$J$45:$J$54,0)</f>
        <v>10</v>
      </c>
      <c r="V149" s="196">
        <f>MATCH($K149,Reference!$J$37:$J$39,0)</f>
        <v>3</v>
      </c>
      <c r="W149" s="197">
        <f t="shared" si="0"/>
        <v>2</v>
      </c>
      <c r="X149" s="197">
        <f t="shared" si="1"/>
        <v>1</v>
      </c>
      <c r="Y149" s="197">
        <f t="shared" si="234"/>
        <v>0</v>
      </c>
      <c r="Z149" s="197">
        <f t="shared" si="2"/>
        <v>2</v>
      </c>
      <c r="AA149" s="199" t="b">
        <f t="shared" si="3"/>
        <v>0</v>
      </c>
      <c r="AB149" s="199" t="b">
        <f t="shared" si="4"/>
        <v>0</v>
      </c>
      <c r="AC149" s="200">
        <f t="shared" ref="AC149:AD149" si="261">1-I149</f>
        <v>0</v>
      </c>
      <c r="AD149" s="200">
        <f t="shared" si="261"/>
        <v>1</v>
      </c>
      <c r="AE149" s="199">
        <f t="shared" si="6"/>
        <v>2</v>
      </c>
      <c r="AF149" s="201">
        <f t="shared" si="7"/>
        <v>0</v>
      </c>
      <c r="AG149" s="201">
        <f t="shared" si="8"/>
        <v>1</v>
      </c>
      <c r="AH149" s="202">
        <f t="shared" si="236"/>
        <v>0</v>
      </c>
      <c r="AI149" s="205"/>
      <c r="AJ149" s="249" t="s">
        <v>70</v>
      </c>
      <c r="AK149" s="250">
        <f t="shared" ref="AK149:AL149" si="262">SUM(AO149+AM149+AQ149+AS149+AU149+AW149+AY149+BA149+BC149)</f>
        <v>1</v>
      </c>
      <c r="AL149" s="250">
        <f t="shared" si="262"/>
        <v>4</v>
      </c>
      <c r="AM149" s="275">
        <f>SUMIFS($X$2:$X879, $D$2:$D879, "Legendary", $E$2:$E879, "Classic", $F$2:F879, "Rogue")</f>
        <v>1</v>
      </c>
      <c r="AN149" s="275">
        <f>COUNTIFS($D$2:$D879, "Legendary", $E$2:$E879, "Classic", $F$2:F879, "Rogue" )</f>
        <v>1</v>
      </c>
      <c r="AO149" s="276">
        <f>SUMIFS($X$2:$X879, $D$2:$D879, "Legendary", $E$2:$E879, "Promo", $F$2:F879, "Rogue")</f>
        <v>0</v>
      </c>
      <c r="AP149" s="277">
        <f>COUNTIFS($D$2:$D879, "Legendary", $E$2:$E879, "Promo", $F$2:F879, "Rogue" )</f>
        <v>0</v>
      </c>
      <c r="AQ149" s="275">
        <f>SUMIFS($X$2:$X879, $D$2:$D879, "Legendary", $E$2:$E879, "Naxx", $F$2:F879, "Rogue")</f>
        <v>0</v>
      </c>
      <c r="AR149" s="275">
        <f>COUNTIFS($D$2:$D879, "Legendary", $E$2:$E879, "Naxx", $F$2:F879, "Rogue" )</f>
        <v>0</v>
      </c>
      <c r="AS149" s="276">
        <f>SUMIFS($X$2:$X879, $D$2:$D879, "Legendary", $E$2:$E879, "GvG", $F$2:F879, "Rogue")</f>
        <v>0</v>
      </c>
      <c r="AT149" s="277">
        <f>COUNTIFS($D$2:$D879, "Legendary", $E$2:$E879, "GvG", $F$2:F879, "Rogue" )</f>
        <v>1</v>
      </c>
      <c r="AU149" s="275">
        <f>SUMIFS($X$2:$X879, $D$2:$D879, "Legendary", $E$2:$E879, "Blackrock", $F$2:F879, "Rogue")</f>
        <v>0</v>
      </c>
      <c r="AV149" s="275">
        <f>COUNTIFS($D$2:$D879, "Legendary", $E$2:$E879, "Blackrock", $F$2:F879, "Rogue" )</f>
        <v>0</v>
      </c>
      <c r="AW149" s="275">
        <f>SUMIFS($X$2:$X879, $D$2:$D879, "Legendary", $E$2:$E879, "TGT", $F$2:F879, "Rogue")</f>
        <v>0</v>
      </c>
      <c r="AX149" s="277">
        <f>COUNTIFS($D$2:$D879, "Legendary", $E$2:$E879, "TGT", $F$2:F879, "Rogue" )</f>
        <v>1</v>
      </c>
      <c r="AY149" s="275">
        <f>SUMIFS($X$2:$X879, $D$2:$D879, "Legendary", $E$2:$E879, "LoE", $F$2:F879, "Rogue")</f>
        <v>0</v>
      </c>
      <c r="AZ149" s="277">
        <f>COUNTIFS($D$2:$D879, "Legendary", $E$2:$E879, "LoE", $F$2:F879, "Rogue" )</f>
        <v>0</v>
      </c>
      <c r="BA149" s="275">
        <f>SUMIFS($X$2:$X879, $D$2:$D879, "Legendary", $E$2:$E879, "TOG", $F$2:F879, "Rogue")</f>
        <v>0</v>
      </c>
      <c r="BB149" s="277">
        <f>COUNTIFS($D$2:$D879, "Legendary", $E$2:$E879, "TOG", $F$2:F879, "Rogue" )</f>
        <v>1</v>
      </c>
      <c r="BC149" s="275">
        <f>SUMIFS($X$2:$X879, $D$2:$D879, "Legendary", $E$2:$E879, "Adv4", $F$2:F879, "Rogue")</f>
        <v>0</v>
      </c>
      <c r="BD149" s="277">
        <f>COUNTIFS($D$2:$D879, "Legendary", $E$2:$E879, "Adv4", $F$2:F879, "Rogue" )</f>
        <v>0</v>
      </c>
    </row>
    <row r="150" spans="1:56" ht="14.25">
      <c r="A150" s="187"/>
      <c r="B150" s="294">
        <v>6</v>
      </c>
      <c r="C150" s="295" t="s">
        <v>446</v>
      </c>
      <c r="D150" s="296" t="s">
        <v>70</v>
      </c>
      <c r="E150" s="296" t="s">
        <v>81</v>
      </c>
      <c r="F150" s="296" t="s">
        <v>115</v>
      </c>
      <c r="G150" s="297">
        <f>IF(Setup!$N$11&gt;=VLOOKUP(C150,Reference!$N$6:$O$36,2,0),1,0)</f>
        <v>1</v>
      </c>
      <c r="H150" s="297">
        <v>0</v>
      </c>
      <c r="I150" s="298">
        <v>1</v>
      </c>
      <c r="J150" s="299"/>
      <c r="K150" s="297" t="s">
        <v>182</v>
      </c>
      <c r="L150" s="297"/>
      <c r="M150" s="297">
        <v>5</v>
      </c>
      <c r="N150" s="297">
        <v>5</v>
      </c>
      <c r="O150" s="300" t="s">
        <v>447</v>
      </c>
      <c r="P150" s="301"/>
      <c r="Q150" s="296" t="s">
        <v>148</v>
      </c>
      <c r="R150" s="173"/>
      <c r="S150" s="195">
        <f>MATCH($D150,Reference!$J$5:$J$9,0)</f>
        <v>5</v>
      </c>
      <c r="T150" s="195">
        <f>MATCH($E150,Reference!$J$26:$J$32,0)</f>
        <v>6</v>
      </c>
      <c r="U150" s="195">
        <f>MATCH($F150,Reference!$J$45:$J$54,0)</f>
        <v>10</v>
      </c>
      <c r="V150" s="196">
        <f>MATCH($K150,Reference!$J$37:$J$39,0)</f>
        <v>3</v>
      </c>
      <c r="W150" s="197">
        <f t="shared" ref="W150:W154" si="263">MIN((G150+H150),1)</f>
        <v>1</v>
      </c>
      <c r="X150" s="197">
        <f t="shared" si="1"/>
        <v>1</v>
      </c>
      <c r="Y150" s="197">
        <f t="shared" ref="Y150:Y154" si="264">(MIN(G150,1)+H150-W150)*1600</f>
        <v>0</v>
      </c>
      <c r="Z150" s="197">
        <f t="shared" ref="Z150:Z154" si="265">MIN((G150+H150+1),2)</f>
        <v>2</v>
      </c>
      <c r="AA150" s="199" t="b">
        <f t="shared" si="3"/>
        <v>0</v>
      </c>
      <c r="AB150" s="199" t="b">
        <f t="shared" si="4"/>
        <v>0</v>
      </c>
      <c r="AC150" s="200">
        <f t="shared" ref="AC150:AD150" si="266">1-I150</f>
        <v>0</v>
      </c>
      <c r="AD150" s="200">
        <f t="shared" si="266"/>
        <v>1</v>
      </c>
      <c r="AE150" s="199">
        <f t="shared" si="6"/>
        <v>1</v>
      </c>
      <c r="AF150" s="201">
        <f t="shared" ref="AF150:AF154" si="267">MIN((H150),1)</f>
        <v>0</v>
      </c>
      <c r="AG150" s="201">
        <f t="shared" si="8"/>
        <v>1</v>
      </c>
      <c r="AH150" s="202">
        <f t="shared" ref="AH150:AH154" si="268">(MIN(H150,2)+G150-W150)*400</f>
        <v>0</v>
      </c>
      <c r="AI150" s="205"/>
      <c r="AJ150" s="253" t="s">
        <v>240</v>
      </c>
      <c r="AK150" s="237">
        <f t="shared" ref="AK150:AL150" si="269">SUM(AO150+AM150+AQ150+AS150+AU150+AW150+AY150+BA150+BC150)</f>
        <v>0</v>
      </c>
      <c r="AL150" s="238">
        <f t="shared" si="269"/>
        <v>0</v>
      </c>
      <c r="AM150" s="229"/>
      <c r="AN150" s="230"/>
      <c r="AO150" s="254"/>
      <c r="AP150" s="255"/>
      <c r="AQ150" s="229"/>
      <c r="AR150" s="230"/>
      <c r="AS150" s="254"/>
      <c r="AT150" s="255"/>
      <c r="AU150" s="229"/>
      <c r="AV150" s="230"/>
      <c r="AW150" s="229"/>
      <c r="AX150" s="230"/>
      <c r="AY150" s="229"/>
      <c r="AZ150" s="230"/>
      <c r="BA150" s="229"/>
      <c r="BB150" s="230"/>
      <c r="BC150" s="229"/>
      <c r="BD150" s="230"/>
    </row>
    <row r="151" spans="1:56" ht="14.25">
      <c r="A151" s="209"/>
      <c r="B151" s="294">
        <v>7</v>
      </c>
      <c r="C151" s="295" t="s">
        <v>448</v>
      </c>
      <c r="D151" s="296" t="s">
        <v>70</v>
      </c>
      <c r="E151" s="296" t="s">
        <v>81</v>
      </c>
      <c r="F151" s="296" t="s">
        <v>115</v>
      </c>
      <c r="G151" s="297">
        <f>IF(Setup!$N$11&gt;=VLOOKUP(C151,Reference!$N$6:$O$36,2,0),1,0)</f>
        <v>1</v>
      </c>
      <c r="H151" s="297">
        <v>0</v>
      </c>
      <c r="I151" s="298">
        <v>0.33</v>
      </c>
      <c r="J151" s="299"/>
      <c r="K151" s="297" t="s">
        <v>182</v>
      </c>
      <c r="L151" s="297"/>
      <c r="M151" s="297">
        <v>8</v>
      </c>
      <c r="N151" s="297">
        <v>4</v>
      </c>
      <c r="O151" s="300" t="s">
        <v>449</v>
      </c>
      <c r="P151" s="302" t="s">
        <v>184</v>
      </c>
      <c r="Q151" s="296" t="s">
        <v>148</v>
      </c>
      <c r="R151" s="173"/>
      <c r="S151" s="195">
        <f>MATCH($D151,Reference!$J$5:$J$9,0)</f>
        <v>5</v>
      </c>
      <c r="T151" s="195">
        <f>MATCH($E151,Reference!$J$26:$J$32,0)</f>
        <v>6</v>
      </c>
      <c r="U151" s="195">
        <f>MATCH($F151,Reference!$J$45:$J$54,0)</f>
        <v>10</v>
      </c>
      <c r="V151" s="196">
        <f>MATCH($K151,Reference!$J$37:$J$39,0)</f>
        <v>3</v>
      </c>
      <c r="W151" s="197">
        <f t="shared" si="263"/>
        <v>1</v>
      </c>
      <c r="X151" s="197">
        <f t="shared" si="1"/>
        <v>1</v>
      </c>
      <c r="Y151" s="197">
        <f t="shared" si="264"/>
        <v>0</v>
      </c>
      <c r="Z151" s="197">
        <f t="shared" si="265"/>
        <v>2</v>
      </c>
      <c r="AA151" s="199" t="b">
        <f t="shared" si="3"/>
        <v>0</v>
      </c>
      <c r="AB151" s="199" t="b">
        <f t="shared" si="4"/>
        <v>0</v>
      </c>
      <c r="AC151" s="200">
        <f t="shared" ref="AC151:AD151" si="270">1-I151</f>
        <v>0.66999999999999993</v>
      </c>
      <c r="AD151" s="200">
        <f t="shared" si="270"/>
        <v>1</v>
      </c>
      <c r="AE151" s="199">
        <f t="shared" si="6"/>
        <v>1</v>
      </c>
      <c r="AF151" s="201">
        <f t="shared" si="267"/>
        <v>0</v>
      </c>
      <c r="AG151" s="201">
        <f t="shared" si="8"/>
        <v>1</v>
      </c>
      <c r="AH151" s="202">
        <f t="shared" si="268"/>
        <v>0</v>
      </c>
      <c r="AI151" s="205"/>
      <c r="AJ151" s="231" t="s">
        <v>58</v>
      </c>
      <c r="AK151" s="232">
        <f t="shared" ref="AK151:AL151" si="271">SUM(AO151+AM151+AQ151+AS151+AU151+AW151+AY151+BA151+BC151)</f>
        <v>20</v>
      </c>
      <c r="AL151" s="232">
        <f t="shared" si="271"/>
        <v>20</v>
      </c>
      <c r="AM151" s="191">
        <f>SUMIFS($W$2:$W879, $E$2:$E879, "Basic", $F$2:F879, "Rogue")</f>
        <v>20</v>
      </c>
      <c r="AN151" s="232">
        <f>COUNTIFS($E$2:$E879, "Basic", $F$2:F879, "Rogue" )*2</f>
        <v>20</v>
      </c>
      <c r="AO151" s="234"/>
      <c r="AP151" s="235"/>
      <c r="AQ151" s="191"/>
      <c r="AR151" s="191"/>
      <c r="AS151" s="234"/>
      <c r="AT151" s="235"/>
      <c r="AU151" s="191"/>
      <c r="AV151" s="191"/>
      <c r="AW151" s="191"/>
      <c r="AX151" s="235"/>
      <c r="AY151" s="191"/>
      <c r="AZ151" s="235"/>
      <c r="BA151" s="191"/>
      <c r="BB151" s="235"/>
      <c r="BC151" s="191"/>
      <c r="BD151" s="235"/>
    </row>
    <row r="152" spans="1:56" ht="14.25">
      <c r="A152" s="187"/>
      <c r="B152" s="294">
        <v>8</v>
      </c>
      <c r="C152" s="295" t="s">
        <v>450</v>
      </c>
      <c r="D152" s="296" t="s">
        <v>70</v>
      </c>
      <c r="E152" s="296" t="s">
        <v>81</v>
      </c>
      <c r="F152" s="296" t="s">
        <v>115</v>
      </c>
      <c r="G152" s="297">
        <f>IF(Setup!$N$11&gt;=VLOOKUP(C152,Reference!$N$6:$O$36,2,0),1,0)</f>
        <v>1</v>
      </c>
      <c r="H152" s="297">
        <v>0</v>
      </c>
      <c r="I152" s="298">
        <v>1</v>
      </c>
      <c r="J152" s="299"/>
      <c r="K152" s="297" t="s">
        <v>182</v>
      </c>
      <c r="L152" s="297" t="s">
        <v>415</v>
      </c>
      <c r="M152" s="297">
        <v>6</v>
      </c>
      <c r="N152" s="297">
        <v>8</v>
      </c>
      <c r="O152" s="300" t="s">
        <v>451</v>
      </c>
      <c r="P152" s="301"/>
      <c r="Q152" s="296" t="s">
        <v>148</v>
      </c>
      <c r="R152" s="173"/>
      <c r="S152" s="195">
        <f>MATCH($D152,Reference!$J$5:$J$9,0)</f>
        <v>5</v>
      </c>
      <c r="T152" s="195">
        <f>MATCH($E152,Reference!$J$26:$J$32,0)</f>
        <v>6</v>
      </c>
      <c r="U152" s="195">
        <f>MATCH($F152,Reference!$J$45:$J$54,0)</f>
        <v>10</v>
      </c>
      <c r="V152" s="196">
        <f>MATCH($K152,Reference!$J$37:$J$39,0)</f>
        <v>3</v>
      </c>
      <c r="W152" s="197">
        <f t="shared" si="263"/>
        <v>1</v>
      </c>
      <c r="X152" s="197">
        <f t="shared" si="1"/>
        <v>1</v>
      </c>
      <c r="Y152" s="197">
        <f t="shared" si="264"/>
        <v>0</v>
      </c>
      <c r="Z152" s="197">
        <f t="shared" si="265"/>
        <v>2</v>
      </c>
      <c r="AA152" s="199" t="b">
        <f t="shared" si="3"/>
        <v>0</v>
      </c>
      <c r="AB152" s="199" t="b">
        <f t="shared" si="4"/>
        <v>0</v>
      </c>
      <c r="AC152" s="200">
        <f t="shared" ref="AC152:AD152" si="272">1-I152</f>
        <v>0</v>
      </c>
      <c r="AD152" s="200">
        <f t="shared" si="272"/>
        <v>1</v>
      </c>
      <c r="AE152" s="199">
        <f t="shared" si="6"/>
        <v>1</v>
      </c>
      <c r="AF152" s="201">
        <f t="shared" si="267"/>
        <v>0</v>
      </c>
      <c r="AG152" s="201">
        <f t="shared" si="8"/>
        <v>1</v>
      </c>
      <c r="AH152" s="202">
        <f t="shared" si="268"/>
        <v>0</v>
      </c>
      <c r="AI152" s="205"/>
      <c r="AJ152" s="256" t="s">
        <v>63</v>
      </c>
      <c r="AK152" s="237">
        <f t="shared" ref="AK152:AL152" si="273">SUM(AO152+AM152+AQ152+AS152+AU152+AW152+AY152+BA152+BC152)</f>
        <v>36</v>
      </c>
      <c r="AL152" s="237">
        <f t="shared" si="273"/>
        <v>36</v>
      </c>
      <c r="AM152" s="229">
        <f>SUMIFS($W$2:$W879, $D$2:$D879, "Common", $E$2:$E879, "Classic", $F$2:F879, "Rogue")</f>
        <v>12</v>
      </c>
      <c r="AN152" s="237">
        <f>COUNTIFS($D$2:$D879, "Common", $E$2:$E879, "Classic", $F$2:F879, "Rogue" )*2</f>
        <v>12</v>
      </c>
      <c r="AO152" s="268">
        <f>SUMIFS($W$2:$W879, $D$2:$D879, "Common", $E$2:$E879, "Promo", $F$2:F879, "Rogue")</f>
        <v>0</v>
      </c>
      <c r="AP152" s="238">
        <f>COUNTIFS($D$2:$D879, "Common", $E$2:$E879, "Promo", $F$2:F879, "Rogue" )*2</f>
        <v>0</v>
      </c>
      <c r="AQ152" s="229">
        <f>SUMIFS($W$2:$W879, $D$2:$D879, "Common", $E$2:$E879, "Naxx", $F$2:F879, "Rogue")</f>
        <v>2</v>
      </c>
      <c r="AR152" s="237">
        <f>COUNTIFS($D$2:$D879, "Common", $E$2:$E879, "Naxx", $F$2:F879, "Rogue" )*2</f>
        <v>2</v>
      </c>
      <c r="AS152" s="268">
        <f>SUMIFS($W$2:$W879, $D$2:$D879, "Common", $E$2:$E879, "GvG", $F$2:F879, "Rogue")</f>
        <v>4</v>
      </c>
      <c r="AT152" s="238">
        <f>COUNTIFS($D$2:$D879, "Common", $E$2:$E879, "GvG", $F$2:F879, "Rogue" )*2</f>
        <v>4</v>
      </c>
      <c r="AU152" s="229">
        <f>SUMIFS($W$2:$W879, $D$2:$D879, "Common", $E$2:$E879, "Blackrock", $F$2:F879, "Rogue")</f>
        <v>2</v>
      </c>
      <c r="AV152" s="237">
        <f>COUNTIFS($D$2:$D879, "Common", $E$2:$E879, "Blackrock", $F$2:F879, "Rogue" )*2</f>
        <v>2</v>
      </c>
      <c r="AW152" s="229">
        <f>SUMIFS($W$2:$W879, $D$2:$D879, "Common", $E$2:$E879, "TGT", $F$2:F879, "Rogue")</f>
        <v>6</v>
      </c>
      <c r="AX152" s="238">
        <f>COUNTIFS($D$2:$D879, "Common", $E$2:$E879, "TGT", $F$2:F879, "Rogue" )*2</f>
        <v>6</v>
      </c>
      <c r="AY152" s="229">
        <f>SUMIFS($W$2:$W879, $D$2:$D879, "Common", $E$2:$E879, "LoE", $F$2:F879, "Rogue")</f>
        <v>4</v>
      </c>
      <c r="AZ152" s="238">
        <f>COUNTIFS($D$2:$D879, "Common", $E$2:$E879, "LoE", $F$2:F879, "Rogue" )*2</f>
        <v>4</v>
      </c>
      <c r="BA152" s="229">
        <f>SUMIFS($W$2:$W879, $D$2:$D879, "Common", $E$2:$E879, "TOG", $F$2:F879, "Rogue")</f>
        <v>6</v>
      </c>
      <c r="BB152" s="238">
        <f>COUNTIFS($D$2:$D879, "Common", $E$2:$E879, "TOG", $F$2:F879, "Rogue" )*2</f>
        <v>6</v>
      </c>
      <c r="BC152" s="229">
        <f>SUMIFS($W$2:$W879, $D$2:$D879, "Common", $E$2:$E879, "Adv4", $F$2:F879, "Rogue")</f>
        <v>0</v>
      </c>
      <c r="BD152" s="238">
        <f>COUNTIFS($D$2:$D879, "Common", $E$2:$E879, "Adv4", $F$2:F879, "Rogue" )*2</f>
        <v>0</v>
      </c>
    </row>
    <row r="153" spans="1:56" ht="14.25">
      <c r="A153" s="187"/>
      <c r="B153" s="294">
        <v>9</v>
      </c>
      <c r="C153" s="295" t="s">
        <v>452</v>
      </c>
      <c r="D153" s="296" t="s">
        <v>70</v>
      </c>
      <c r="E153" s="296" t="s">
        <v>81</v>
      </c>
      <c r="F153" s="296" t="s">
        <v>115</v>
      </c>
      <c r="G153" s="297">
        <f>IF(Setup!$N$11&gt;=VLOOKUP(C153,Reference!$N$6:$O$36,2,0),1,0)</f>
        <v>1</v>
      </c>
      <c r="H153" s="297">
        <v>0</v>
      </c>
      <c r="I153" s="298">
        <v>0</v>
      </c>
      <c r="J153" s="299"/>
      <c r="K153" s="296" t="s">
        <v>182</v>
      </c>
      <c r="L153" s="296"/>
      <c r="M153" s="303">
        <v>9</v>
      </c>
      <c r="N153" s="304">
        <v>7</v>
      </c>
      <c r="O153" s="300" t="s">
        <v>453</v>
      </c>
      <c r="P153" s="302" t="s">
        <v>454</v>
      </c>
      <c r="Q153" s="296" t="s">
        <v>148</v>
      </c>
      <c r="R153" s="173"/>
      <c r="S153" s="195">
        <f>MATCH($D153,Reference!$J$5:$J$9,0)</f>
        <v>5</v>
      </c>
      <c r="T153" s="195">
        <f>MATCH($E153,Reference!$J$26:$J$32,0)</f>
        <v>6</v>
      </c>
      <c r="U153" s="195">
        <f>MATCH($F153,Reference!$J$45:$J$54,0)</f>
        <v>10</v>
      </c>
      <c r="V153" s="196">
        <f>MATCH($K153,Reference!$J$37:$J$39,0)</f>
        <v>3</v>
      </c>
      <c r="W153" s="197">
        <f t="shared" si="263"/>
        <v>1</v>
      </c>
      <c r="X153" s="197">
        <f t="shared" si="1"/>
        <v>1</v>
      </c>
      <c r="Y153" s="197">
        <f t="shared" si="264"/>
        <v>0</v>
      </c>
      <c r="Z153" s="197">
        <f t="shared" si="265"/>
        <v>2</v>
      </c>
      <c r="AA153" s="199" t="b">
        <f t="shared" si="3"/>
        <v>0</v>
      </c>
      <c r="AB153" s="199" t="b">
        <f t="shared" si="4"/>
        <v>0</v>
      </c>
      <c r="AC153" s="200">
        <f t="shared" ref="AC153:AD153" si="274">1-I153</f>
        <v>1</v>
      </c>
      <c r="AD153" s="200">
        <f t="shared" si="274"/>
        <v>1</v>
      </c>
      <c r="AE153" s="199">
        <f t="shared" si="6"/>
        <v>1</v>
      </c>
      <c r="AF153" s="201">
        <f t="shared" si="267"/>
        <v>0</v>
      </c>
      <c r="AG153" s="201">
        <f t="shared" si="8"/>
        <v>1</v>
      </c>
      <c r="AH153" s="202">
        <f t="shared" si="268"/>
        <v>0</v>
      </c>
      <c r="AI153" s="205"/>
      <c r="AJ153" s="257" t="s">
        <v>68</v>
      </c>
      <c r="AK153" s="242">
        <f t="shared" ref="AK153:AL153" si="275">SUM(AO153+AM153+AQ153+AS153+AU153+AW153+AY153+BA153+BC153)</f>
        <v>30</v>
      </c>
      <c r="AL153" s="242">
        <f t="shared" si="275"/>
        <v>32</v>
      </c>
      <c r="AM153" s="269">
        <f>SUMIFS($W$2:$W879, $D$2:$D879, "Rare", $E$2:$E879, "Classic", $F$2:F879, "Rogue")</f>
        <v>10</v>
      </c>
      <c r="AN153" s="242">
        <f>COUNTIFS($D$2:$D879, "Rare", $E$2:$E879, "Classic", $F$2:F879, "Rogue" )*2</f>
        <v>10</v>
      </c>
      <c r="AO153" s="270">
        <f>SUMIFS($W$2:$W879, $D$2:$D879, "Rare", $E$2:$E879, "Promo", $F$2:F879, "Rogue")</f>
        <v>0</v>
      </c>
      <c r="AP153" s="243">
        <f>COUNTIFS($D$2:$D879, "Rare", $E$2:$E879, "Promo", $F$2:F879, "Rogue" )*2</f>
        <v>0</v>
      </c>
      <c r="AQ153" s="269">
        <f>SUMIFS($W$2:$W879, $D$2:$D879, "Rare", $E$2:$E879, "Naxx", $F$2:F879, "Rogue")</f>
        <v>0</v>
      </c>
      <c r="AR153" s="242">
        <f>COUNTIFS($D$2:$D879, "Rare", $E$2:$E879, "Naxx", $F$2:F879, "Rogue" )*2</f>
        <v>0</v>
      </c>
      <c r="AS153" s="270">
        <f>SUMIFS($W$2:$W879, $D$2:$D879, "Rare", $E$2:$E879, "GvG", $F$2:F879, "Rogue")</f>
        <v>5</v>
      </c>
      <c r="AT153" s="243">
        <f>COUNTIFS($D$2:$D879, "Rare", $E$2:$E879, "GvG", $F$2:F879, "Rogue" )*2</f>
        <v>6</v>
      </c>
      <c r="AU153" s="269">
        <f>SUMIFS($W$2:$W879, $D$2:$D879, "Rare", $E$2:$E879, "Blackrock", $F$2:F879, "Rogue")</f>
        <v>2</v>
      </c>
      <c r="AV153" s="242">
        <f>COUNTIFS($D$2:$D879, "Rare", $E$2:$E879, "Blackrock", $F$2:F879, "Rogue" )*2</f>
        <v>2</v>
      </c>
      <c r="AW153" s="269">
        <f>SUMIFS($W$2:$W879, $D$2:$D879, "Rare", $E$2:$E879, "TGT", $F$2:F879, "Rogue")</f>
        <v>6</v>
      </c>
      <c r="AX153" s="243">
        <f>COUNTIFS($D$2:$D879, "Rare", $E$2:$E879, "TGT", $F$2:F879, "Rogue" )*2</f>
        <v>6</v>
      </c>
      <c r="AY153" s="269">
        <f>SUMIFS($W$2:$W879, $D$2:$D879, "Rare", $E$2:$E879, "LoE", $F$2:F879, "Rogue")</f>
        <v>2</v>
      </c>
      <c r="AZ153" s="243">
        <f>COUNTIFS($D$2:$D879, "Rare", $E$2:$E879, "LoE", $F$2:F879, "Rogue" )*2</f>
        <v>2</v>
      </c>
      <c r="BA153" s="269">
        <f>SUMIFS($W$2:$W879, $D$2:$D879, "Rare", $E$2:$E879, "TOG", $F$2:F879, "Rogue")</f>
        <v>5</v>
      </c>
      <c r="BB153" s="243">
        <f>COUNTIFS($D$2:$D879, "Rare", $E$2:$E879, "TOG", $F$2:F879, "Rogue" )*2</f>
        <v>6</v>
      </c>
      <c r="BC153" s="269">
        <f>SUMIFS($W$2:$W879, $D$2:$D879, "Rare", $E$2:$E879, "Adv4", $F$2:F879, "Rogue")</f>
        <v>0</v>
      </c>
      <c r="BD153" s="243">
        <f>COUNTIFS($D$2:$D879, "Rare", $E$2:$E879, "Adv4", $F$2:F879, "Rogue" )*2</f>
        <v>0</v>
      </c>
    </row>
    <row r="154" spans="1:56" ht="14.25">
      <c r="A154" s="187"/>
      <c r="B154" s="294">
        <v>9</v>
      </c>
      <c r="C154" s="295" t="s">
        <v>455</v>
      </c>
      <c r="D154" s="296" t="s">
        <v>70</v>
      </c>
      <c r="E154" s="296" t="s">
        <v>81</v>
      </c>
      <c r="F154" s="296" t="s">
        <v>115</v>
      </c>
      <c r="G154" s="297">
        <f>IF(Setup!$N$11&gt;=VLOOKUP(C154,Reference!$N$6:$O$36,2,0),1,0)</f>
        <v>1</v>
      </c>
      <c r="H154" s="297">
        <v>0</v>
      </c>
      <c r="I154" s="298">
        <v>1</v>
      </c>
      <c r="J154" s="299"/>
      <c r="K154" s="296" t="s">
        <v>182</v>
      </c>
      <c r="L154" s="296" t="s">
        <v>415</v>
      </c>
      <c r="M154" s="303">
        <v>8</v>
      </c>
      <c r="N154" s="304">
        <v>8</v>
      </c>
      <c r="O154" s="300" t="s">
        <v>456</v>
      </c>
      <c r="P154" s="302" t="s">
        <v>184</v>
      </c>
      <c r="Q154" s="296" t="s">
        <v>148</v>
      </c>
      <c r="R154" s="173"/>
      <c r="S154" s="195">
        <f>MATCH($D154,Reference!$J$5:$J$9,0)</f>
        <v>5</v>
      </c>
      <c r="T154" s="195">
        <f>MATCH($E154,Reference!$J$26:$J$32,0)</f>
        <v>6</v>
      </c>
      <c r="U154" s="195">
        <f>MATCH($F154,Reference!$J$45:$J$54,0)</f>
        <v>10</v>
      </c>
      <c r="V154" s="196">
        <f>MATCH($K154,Reference!$J$37:$J$39,0)</f>
        <v>3</v>
      </c>
      <c r="W154" s="197">
        <f t="shared" si="263"/>
        <v>1</v>
      </c>
      <c r="X154" s="197">
        <f t="shared" si="1"/>
        <v>1</v>
      </c>
      <c r="Y154" s="197">
        <f t="shared" si="264"/>
        <v>0</v>
      </c>
      <c r="Z154" s="197">
        <f t="shared" si="265"/>
        <v>2</v>
      </c>
      <c r="AA154" s="199" t="b">
        <f t="shared" si="3"/>
        <v>0</v>
      </c>
      <c r="AB154" s="199" t="b">
        <f t="shared" si="4"/>
        <v>0</v>
      </c>
      <c r="AC154" s="200">
        <f t="shared" ref="AC154:AD154" si="276">1-I154</f>
        <v>0</v>
      </c>
      <c r="AD154" s="200">
        <f t="shared" si="276"/>
        <v>1</v>
      </c>
      <c r="AE154" s="199">
        <f t="shared" si="6"/>
        <v>1</v>
      </c>
      <c r="AF154" s="201">
        <f t="shared" si="267"/>
        <v>0</v>
      </c>
      <c r="AG154" s="201">
        <f t="shared" si="8"/>
        <v>1</v>
      </c>
      <c r="AH154" s="202">
        <f t="shared" si="268"/>
        <v>0</v>
      </c>
      <c r="AI154" s="205"/>
      <c r="AJ154" s="258" t="s">
        <v>69</v>
      </c>
      <c r="AK154" s="246">
        <f t="shared" ref="AK154:AL154" si="277">SUM(AO154+AM154+AQ154+AS154+AU154+AW154+AY154+BA154+BC154)</f>
        <v>9</v>
      </c>
      <c r="AL154" s="246">
        <f t="shared" si="277"/>
        <v>18</v>
      </c>
      <c r="AM154" s="272">
        <f>SUMIFS($W$2:$W879, $D$2:$D879, "Epic", $E$2:$E879, "Classic", $F$2:F879, "Rogue")</f>
        <v>3</v>
      </c>
      <c r="AN154" s="246">
        <f>COUNTIFS($D$2:$D879, "Epic", $E$2:$E879, "Classic", $F$2:F879, "Rogue" )*2</f>
        <v>6</v>
      </c>
      <c r="AO154" s="273">
        <f>SUMIFS($W$2:$W879, $D$2:$D879, "Epic", $E$2:$E879, "Promo", $F$2:F879, "Rogue")</f>
        <v>0</v>
      </c>
      <c r="AP154" s="247">
        <f>COUNTIFS($D$2:$D879, "Epic", $E$2:$E879, "Promo", $F$2:F879, "Rogue" )*2</f>
        <v>0</v>
      </c>
      <c r="AQ154" s="272">
        <f>SUMIFS($W$2:$W879, $D$2:$D879, "Epic", $E$2:$E879, "Naxx", $F$2:F879, "Rogue")</f>
        <v>0</v>
      </c>
      <c r="AR154" s="246">
        <f>COUNTIFS($D$2:$D879, "Epic", $E$2:$E879, "Naxx", $F$2:F879, "Rogue" )*2</f>
        <v>0</v>
      </c>
      <c r="AS154" s="273">
        <f>SUMIFS($W$2:$W879, $D$2:$D879, "Epic", $E$2:$E879, "GvG", $F$2:F879, "Rogue")</f>
        <v>2</v>
      </c>
      <c r="AT154" s="247">
        <f>COUNTIFS($D$2:$D879, "Epic", $E$2:$E879, "GvG", $F$2:F879, "Rogue" )*2</f>
        <v>4</v>
      </c>
      <c r="AU154" s="272">
        <f>SUMIFS($W$2:$W879, $D$2:$D879, "Epic", $E$2:$E879, "Blackrock", $F$2:F879, "Rogue")</f>
        <v>0</v>
      </c>
      <c r="AV154" s="246">
        <f>COUNTIFS($D$2:$D879, "Epic", $E$2:$E879, "Blackrock", $F$2:F879, "Rogue" )*2</f>
        <v>0</v>
      </c>
      <c r="AW154" s="272">
        <f>SUMIFS($W$2:$W879, $D$2:$D879, "Epic", $E$2:$E879, "TGT", $F$2:F879, "Rogue")</f>
        <v>2</v>
      </c>
      <c r="AX154" s="247">
        <f>COUNTIFS($D$2:$D879, "Epic", $E$2:$E879, "TGT", $F$2:F879, "Rogue" )*2</f>
        <v>4</v>
      </c>
      <c r="AY154" s="272">
        <f>SUMIFS($W$2:$W879, $D$2:$D879, "Epic", $E$2:$E879, "LoE", $F$2:F879, "Rogue")</f>
        <v>0</v>
      </c>
      <c r="AZ154" s="247">
        <f>COUNTIFS($D$2:$D879, "Epic", $E$2:$E879, "LoE", $F$2:F879, "Rogue" )*2</f>
        <v>0</v>
      </c>
      <c r="BA154" s="272">
        <f>SUMIFS($W$2:$W879, $D$2:$D879, "Epic", $E$2:$E879, "TOG", $F$2:F879, "Rogue")</f>
        <v>2</v>
      </c>
      <c r="BB154" s="247">
        <f>COUNTIFS($D$2:$D879, "Epic", $E$2:$E879, "TOG", $F$2:F879, "Rogue" )*2</f>
        <v>4</v>
      </c>
      <c r="BC154" s="272">
        <f>SUMIFS($W$2:$W879, $D$2:$D879, "Epic", $E$2:$E879, "Adv4", $F$2:F879, "Rogue")</f>
        <v>0</v>
      </c>
      <c r="BD154" s="247">
        <f>COUNTIFS($D$2:$D879, "Epic", $E$2:$E879, "Adv4", $F$2:F879, "Rogue" )*2</f>
        <v>0</v>
      </c>
    </row>
    <row r="155" spans="1:56" ht="14.25">
      <c r="A155" s="211"/>
      <c r="B155" s="305">
        <v>1</v>
      </c>
      <c r="C155" s="306" t="s">
        <v>457</v>
      </c>
      <c r="D155" s="307" t="s">
        <v>68</v>
      </c>
      <c r="E155" s="307" t="s">
        <v>81</v>
      </c>
      <c r="F155" s="307" t="s">
        <v>115</v>
      </c>
      <c r="G155" s="308">
        <f>IF(Setup!$N$11&gt;=VLOOKUP(C155,Reference!$N$6:$O$36,2,0),2,0)</f>
        <v>2</v>
      </c>
      <c r="H155" s="308">
        <v>0</v>
      </c>
      <c r="I155" s="309">
        <v>1</v>
      </c>
      <c r="J155" s="310"/>
      <c r="K155" s="311" t="s">
        <v>182</v>
      </c>
      <c r="L155" s="311"/>
      <c r="M155" s="311">
        <v>0</v>
      </c>
      <c r="N155" s="311">
        <v>2</v>
      </c>
      <c r="O155" s="312" t="s">
        <v>458</v>
      </c>
      <c r="P155" s="313"/>
      <c r="Q155" s="307" t="s">
        <v>148</v>
      </c>
      <c r="R155" s="173"/>
      <c r="S155" s="195">
        <f>MATCH($D155,Reference!$J$5:$J$9,0)</f>
        <v>3</v>
      </c>
      <c r="T155" s="195">
        <f>MATCH($E155,Reference!$J$26:$J$32,0)</f>
        <v>6</v>
      </c>
      <c r="U155" s="195">
        <f>MATCH($F155,Reference!$J$45:$J$54,0)</f>
        <v>10</v>
      </c>
      <c r="V155" s="196">
        <f>MATCH($K155,Reference!$J$37:$J$39,0)</f>
        <v>3</v>
      </c>
      <c r="W155" s="197">
        <f t="shared" ref="W155:W296" si="278">MIN((G155+H155),2)</f>
        <v>2</v>
      </c>
      <c r="X155" s="197">
        <f t="shared" si="1"/>
        <v>1</v>
      </c>
      <c r="Y155" s="198">
        <v>0</v>
      </c>
      <c r="Z155" s="197">
        <f t="shared" ref="Z155:Z296" si="279">MIN((G155+H155),2)</f>
        <v>2</v>
      </c>
      <c r="AA155" s="199" t="b">
        <f t="shared" si="3"/>
        <v>0</v>
      </c>
      <c r="AB155" s="199" t="b">
        <f t="shared" si="4"/>
        <v>0</v>
      </c>
      <c r="AC155" s="200">
        <f t="shared" ref="AC155:AD155" si="280">1-I155</f>
        <v>0</v>
      </c>
      <c r="AD155" s="200">
        <f t="shared" si="280"/>
        <v>1</v>
      </c>
      <c r="AE155" s="199">
        <f t="shared" si="6"/>
        <v>2</v>
      </c>
      <c r="AF155" s="201">
        <f t="shared" ref="AF155:AF296" si="281">MIN((H155),2)</f>
        <v>0</v>
      </c>
      <c r="AG155" s="201">
        <f t="shared" si="8"/>
        <v>1</v>
      </c>
      <c r="AH155" s="202">
        <f t="shared" ref="AH155:AH165" si="282">(MIN(H155,2)+G155-W155)*20</f>
        <v>0</v>
      </c>
      <c r="AI155" s="205"/>
      <c r="AJ155" s="249" t="s">
        <v>70</v>
      </c>
      <c r="AK155" s="250">
        <f t="shared" ref="AK155:AL155" si="283">SUM(AO155+AM155+AQ155+AS155+AU155+AW155+AY155+BA155+BC155)</f>
        <v>1</v>
      </c>
      <c r="AL155" s="250">
        <f t="shared" si="283"/>
        <v>4</v>
      </c>
      <c r="AM155" s="275">
        <f>SUMIFS($W$2:$W879, $D$2:$D879, "Legendary", $E$2:$E879, "Classic", $F$2:F879, "Rogue")</f>
        <v>1</v>
      </c>
      <c r="AN155" s="275">
        <f>COUNTIFS($D$2:$D879, "Legendary", $E$2:$E879, "Classic", $F$2:F879, "Rogue" )</f>
        <v>1</v>
      </c>
      <c r="AO155" s="276">
        <f>SUMIFS($W$2:$W879, $D$2:$D879, "Legendary", $E$2:$E879, "Promo", $F$2:F879, "Rogue")</f>
        <v>0</v>
      </c>
      <c r="AP155" s="277">
        <f>COUNTIFS($D$2:$D879, "Legendary", $E$2:$E879, "Promo", $F$2:F879, "Rogue" )</f>
        <v>0</v>
      </c>
      <c r="AQ155" s="275">
        <f>SUMIFS($W$2:$W879, $D$2:$D879, "Legendary", $E$2:$E879, "Naxx", $F$2:F879, "Rogue")</f>
        <v>0</v>
      </c>
      <c r="AR155" s="275">
        <f>COUNTIFS($D$2:$D879, "Legendary", $E$2:$E879, "Naxx", $F$2:F879, "Rogue" )</f>
        <v>0</v>
      </c>
      <c r="AS155" s="276">
        <f>SUMIFS($W$2:$W879, $D$2:$D879, "Legendary", $E$2:$E879, "GvG", $F$2:F879, "Rogue")</f>
        <v>0</v>
      </c>
      <c r="AT155" s="277">
        <f>COUNTIFS($D$2:$D879, "Legendary", $E$2:$E879, "GvG", $F$2:F879, "Rogue" )</f>
        <v>1</v>
      </c>
      <c r="AU155" s="275">
        <f>SUMIFS($W$2:$W879, $D$2:$D879, "Legendary", $E$2:$E879, "Blackrock", $F$2:F879, "Rogue")</f>
        <v>0</v>
      </c>
      <c r="AV155" s="275">
        <f>COUNTIFS($D$2:$D879, "Legendary", $E$2:$E879, "Blackrock", $F$2:F879, "Rogue" )</f>
        <v>0</v>
      </c>
      <c r="AW155" s="275">
        <f>SUMIFS($W$2:$W879, $D$2:$D879, "Legendary", $E$2:$E879, "TGT", $F$2:F879, "Rogue")</f>
        <v>0</v>
      </c>
      <c r="AX155" s="277">
        <f>COUNTIFS($D$2:$D879, "Legendary", $E$2:$E879, "TGT", $F$2:F879, "Rogue" )</f>
        <v>1</v>
      </c>
      <c r="AY155" s="275">
        <f>SUMIFS($W$2:$W879, $D$2:$D879, "Legendary", $E$2:$E879, "LoE", $F$2:F879, "Rogue")</f>
        <v>0</v>
      </c>
      <c r="AZ155" s="277">
        <f>COUNTIFS($D$2:$D879, "Legendary", $E$2:$E879, "LoE", $F$2:F879, "Rogue" )</f>
        <v>0</v>
      </c>
      <c r="BA155" s="275">
        <f>SUMIFS($W$2:$W879, $D$2:$D879, "Legendary", $E$2:$E879, "TOG", $F$2:F879, "Rogue")</f>
        <v>0</v>
      </c>
      <c r="BB155" s="277">
        <f>COUNTIFS($D$2:$D879, "Legendary", $E$2:$E879, "TOG", $F$2:F879, "Rogue" )</f>
        <v>1</v>
      </c>
      <c r="BC155" s="275">
        <f>SUMIFS($W$2:$W879, $D$2:$D879, "Legendary", $E$2:$E879, "Adv4", $F$2:F879, "Rogue")</f>
        <v>0</v>
      </c>
      <c r="BD155" s="251">
        <f>COUNTIFS($D$2:$D879, "Legendary", $E$2:$E879, "Adv4", $F$2:F879, "Rogue" )*2</f>
        <v>0</v>
      </c>
    </row>
    <row r="156" spans="1:56" ht="14.25">
      <c r="A156" s="187"/>
      <c r="B156" s="305">
        <v>2</v>
      </c>
      <c r="C156" s="306" t="s">
        <v>459</v>
      </c>
      <c r="D156" s="307" t="s">
        <v>68</v>
      </c>
      <c r="E156" s="307" t="s">
        <v>81</v>
      </c>
      <c r="F156" s="307" t="s">
        <v>21</v>
      </c>
      <c r="G156" s="308">
        <f>IF(Setup!$N$11&gt;=VLOOKUP(C156,Reference!$N$6:$O$36,2,0),2,0)</f>
        <v>2</v>
      </c>
      <c r="H156" s="308">
        <v>0</v>
      </c>
      <c r="I156" s="309">
        <v>0.33</v>
      </c>
      <c r="J156" s="310"/>
      <c r="K156" s="311" t="s">
        <v>146</v>
      </c>
      <c r="L156" s="311"/>
      <c r="M156" s="311"/>
      <c r="N156" s="311"/>
      <c r="O156" s="312" t="s">
        <v>460</v>
      </c>
      <c r="P156" s="313"/>
      <c r="Q156" s="307" t="s">
        <v>148</v>
      </c>
      <c r="R156" s="173"/>
      <c r="S156" s="195">
        <f>MATCH($D156,Reference!$J$5:$J$9,0)</f>
        <v>3</v>
      </c>
      <c r="T156" s="195">
        <f>MATCH($E156,Reference!$J$26:$J$32,0)</f>
        <v>6</v>
      </c>
      <c r="U156" s="195">
        <f>MATCH($F156,Reference!$J$45:$J$54,0)</f>
        <v>7</v>
      </c>
      <c r="V156" s="196">
        <f>MATCH($K156,Reference!$J$37:$J$39,0)</f>
        <v>2</v>
      </c>
      <c r="W156" s="197">
        <f t="shared" si="278"/>
        <v>2</v>
      </c>
      <c r="X156" s="197">
        <f t="shared" si="1"/>
        <v>1</v>
      </c>
      <c r="Y156" s="198">
        <v>0</v>
      </c>
      <c r="Z156" s="197">
        <f t="shared" si="279"/>
        <v>2</v>
      </c>
      <c r="AA156" s="199" t="b">
        <f t="shared" si="3"/>
        <v>0</v>
      </c>
      <c r="AB156" s="199" t="b">
        <f t="shared" si="4"/>
        <v>0</v>
      </c>
      <c r="AC156" s="200">
        <f t="shared" ref="AC156:AD156" si="284">1-I156</f>
        <v>0.66999999999999993</v>
      </c>
      <c r="AD156" s="200">
        <f t="shared" si="284"/>
        <v>1</v>
      </c>
      <c r="AE156" s="199">
        <f t="shared" si="6"/>
        <v>2</v>
      </c>
      <c r="AF156" s="201">
        <f t="shared" si="281"/>
        <v>0</v>
      </c>
      <c r="AG156" s="201">
        <f t="shared" si="8"/>
        <v>1</v>
      </c>
      <c r="AH156" s="202">
        <f t="shared" si="282"/>
        <v>0</v>
      </c>
      <c r="AI156" s="205"/>
      <c r="AJ156" s="259" t="s">
        <v>22</v>
      </c>
      <c r="AK156" s="260"/>
      <c r="AL156" s="261"/>
      <c r="AM156" s="260"/>
      <c r="AN156" s="261"/>
      <c r="AO156" s="260"/>
      <c r="AP156" s="261"/>
      <c r="AQ156" s="260"/>
      <c r="AR156" s="261"/>
      <c r="AS156" s="260"/>
      <c r="AT156" s="261"/>
      <c r="AU156" s="260"/>
      <c r="AV156" s="261"/>
      <c r="AW156" s="260"/>
      <c r="AX156" s="261"/>
      <c r="AY156" s="260"/>
      <c r="AZ156" s="261"/>
      <c r="BA156" s="260"/>
      <c r="BB156" s="261"/>
      <c r="BC156" s="260"/>
      <c r="BD156" s="261"/>
    </row>
    <row r="157" spans="1:56" ht="14.25">
      <c r="A157" s="187"/>
      <c r="B157" s="305">
        <v>2</v>
      </c>
      <c r="C157" s="314" t="s">
        <v>461</v>
      </c>
      <c r="D157" s="307" t="s">
        <v>68</v>
      </c>
      <c r="E157" s="307" t="s">
        <v>81</v>
      </c>
      <c r="F157" s="307" t="s">
        <v>18</v>
      </c>
      <c r="G157" s="308">
        <f>IF(Setup!$N$11&gt;=VLOOKUP(C157,Reference!$N$6:$O$36,2,0),2,0)</f>
        <v>2</v>
      </c>
      <c r="H157" s="308">
        <v>0</v>
      </c>
      <c r="I157" s="309">
        <v>1</v>
      </c>
      <c r="J157" s="310"/>
      <c r="K157" s="311" t="s">
        <v>146</v>
      </c>
      <c r="L157" s="311"/>
      <c r="M157" s="311"/>
      <c r="N157" s="311"/>
      <c r="O157" s="312" t="s">
        <v>462</v>
      </c>
      <c r="P157" s="313"/>
      <c r="Q157" s="307" t="s">
        <v>148</v>
      </c>
      <c r="R157" s="173"/>
      <c r="S157" s="195">
        <f>MATCH($D157,Reference!$J$5:$J$9,0)</f>
        <v>3</v>
      </c>
      <c r="T157" s="195">
        <f>MATCH($E157,Reference!$J$26:$J$32,0)</f>
        <v>6</v>
      </c>
      <c r="U157" s="195">
        <f>MATCH($F157,Reference!$J$45:$J$54,0)</f>
        <v>5</v>
      </c>
      <c r="V157" s="196">
        <f>MATCH($K157,Reference!$J$37:$J$39,0)</f>
        <v>2</v>
      </c>
      <c r="W157" s="197">
        <f t="shared" si="278"/>
        <v>2</v>
      </c>
      <c r="X157" s="197">
        <f t="shared" si="1"/>
        <v>1</v>
      </c>
      <c r="Y157" s="198">
        <v>0</v>
      </c>
      <c r="Z157" s="197">
        <f t="shared" si="279"/>
        <v>2</v>
      </c>
      <c r="AA157" s="199" t="b">
        <f t="shared" si="3"/>
        <v>0</v>
      </c>
      <c r="AB157" s="199" t="b">
        <f t="shared" si="4"/>
        <v>0</v>
      </c>
      <c r="AC157" s="200">
        <f t="shared" ref="AC157:AD157" si="285">1-I157</f>
        <v>0</v>
      </c>
      <c r="AD157" s="200">
        <f t="shared" si="285"/>
        <v>1</v>
      </c>
      <c r="AE157" s="199">
        <f t="shared" si="6"/>
        <v>2</v>
      </c>
      <c r="AF157" s="201">
        <f t="shared" si="281"/>
        <v>0</v>
      </c>
      <c r="AG157" s="201">
        <f t="shared" si="8"/>
        <v>1</v>
      </c>
      <c r="AH157" s="202">
        <f t="shared" si="282"/>
        <v>0</v>
      </c>
      <c r="AI157" s="205"/>
      <c r="AJ157" s="262" t="s">
        <v>224</v>
      </c>
      <c r="AK157" s="263">
        <f t="shared" ref="AK157:AP157" si="286">SUM(AK145:AK149)</f>
        <v>52</v>
      </c>
      <c r="AL157" s="264">
        <f t="shared" si="286"/>
        <v>57</v>
      </c>
      <c r="AM157" s="263">
        <f t="shared" si="286"/>
        <v>24</v>
      </c>
      <c r="AN157" s="264">
        <f t="shared" si="286"/>
        <v>25</v>
      </c>
      <c r="AO157" s="263">
        <f t="shared" si="286"/>
        <v>0</v>
      </c>
      <c r="AP157" s="264">
        <f t="shared" si="286"/>
        <v>0</v>
      </c>
      <c r="AQ157" s="263">
        <f>SUM(AQ145:AQ149)</f>
        <v>1</v>
      </c>
      <c r="AR157" s="264">
        <f>SUM(AR145:AR149)</f>
        <v>1</v>
      </c>
      <c r="AS157" s="263">
        <f>SUM(AS145:AS149)</f>
        <v>7</v>
      </c>
      <c r="AT157" s="264">
        <f>SUM(AT145:AT149)</f>
        <v>8</v>
      </c>
      <c r="AU157" s="263">
        <f t="shared" ref="AU157:BD157" si="287">SUM(AU145:AU149)</f>
        <v>2</v>
      </c>
      <c r="AV157" s="264">
        <f t="shared" si="287"/>
        <v>2</v>
      </c>
      <c r="AW157" s="263">
        <f t="shared" si="287"/>
        <v>7</v>
      </c>
      <c r="AX157" s="264">
        <f t="shared" si="287"/>
        <v>9</v>
      </c>
      <c r="AY157" s="263">
        <f t="shared" si="287"/>
        <v>3</v>
      </c>
      <c r="AZ157" s="264">
        <f t="shared" si="287"/>
        <v>3</v>
      </c>
      <c r="BA157" s="263">
        <f t="shared" si="287"/>
        <v>8</v>
      </c>
      <c r="BB157" s="264">
        <f t="shared" si="287"/>
        <v>9</v>
      </c>
      <c r="BC157" s="263">
        <f t="shared" si="287"/>
        <v>0</v>
      </c>
      <c r="BD157" s="264">
        <f t="shared" si="287"/>
        <v>0</v>
      </c>
    </row>
    <row r="158" spans="1:56" ht="14.25">
      <c r="A158" s="209"/>
      <c r="B158" s="305">
        <v>2</v>
      </c>
      <c r="C158" s="306" t="s">
        <v>463</v>
      </c>
      <c r="D158" s="307" t="s">
        <v>68</v>
      </c>
      <c r="E158" s="307" t="s">
        <v>81</v>
      </c>
      <c r="F158" s="307" t="s">
        <v>26</v>
      </c>
      <c r="G158" s="308">
        <f>IF(Setup!$N$11&gt;=VLOOKUP(C158,Reference!$N$6:$O$36,2,0),2,0)</f>
        <v>2</v>
      </c>
      <c r="H158" s="315">
        <v>0</v>
      </c>
      <c r="I158" s="309">
        <v>1</v>
      </c>
      <c r="J158" s="310"/>
      <c r="K158" s="311" t="s">
        <v>146</v>
      </c>
      <c r="L158" s="316"/>
      <c r="M158" s="311"/>
      <c r="N158" s="311"/>
      <c r="O158" s="317" t="s">
        <v>464</v>
      </c>
      <c r="P158" s="318"/>
      <c r="Q158" s="307" t="s">
        <v>148</v>
      </c>
      <c r="R158" s="173"/>
      <c r="S158" s="195">
        <f>MATCH($D158,Reference!$J$5:$J$9,0)</f>
        <v>3</v>
      </c>
      <c r="T158" s="195">
        <f>MATCH($E158,Reference!$J$26:$J$32,0)</f>
        <v>6</v>
      </c>
      <c r="U158" s="195">
        <f>MATCH($F158,Reference!$J$45:$J$54,0)</f>
        <v>9</v>
      </c>
      <c r="V158" s="196">
        <f>MATCH($K158,Reference!$J$37:$J$39,0)</f>
        <v>2</v>
      </c>
      <c r="W158" s="197">
        <f t="shared" si="278"/>
        <v>2</v>
      </c>
      <c r="X158" s="197">
        <f t="shared" si="1"/>
        <v>1</v>
      </c>
      <c r="Y158" s="198">
        <v>0</v>
      </c>
      <c r="Z158" s="197">
        <f t="shared" si="279"/>
        <v>2</v>
      </c>
      <c r="AA158" s="199" t="b">
        <f t="shared" si="3"/>
        <v>0</v>
      </c>
      <c r="AB158" s="199" t="b">
        <f t="shared" si="4"/>
        <v>0</v>
      </c>
      <c r="AC158" s="200">
        <f t="shared" ref="AC158:AD158" si="288">1-I158</f>
        <v>0</v>
      </c>
      <c r="AD158" s="200">
        <f t="shared" si="288"/>
        <v>1</v>
      </c>
      <c r="AE158" s="199">
        <f t="shared" si="6"/>
        <v>2</v>
      </c>
      <c r="AF158" s="201">
        <f t="shared" si="281"/>
        <v>0</v>
      </c>
      <c r="AG158" s="201">
        <f t="shared" si="8"/>
        <v>1</v>
      </c>
      <c r="AH158" s="202">
        <f t="shared" si="282"/>
        <v>0</v>
      </c>
      <c r="AI158" s="205"/>
      <c r="AJ158" s="265" t="s">
        <v>240</v>
      </c>
      <c r="AK158" s="266">
        <f t="shared" ref="AK158:AL158" si="289">SUM(AK151:AK155)</f>
        <v>96</v>
      </c>
      <c r="AL158" s="267">
        <f t="shared" si="289"/>
        <v>110</v>
      </c>
      <c r="AM158" s="266">
        <f t="shared" ref="AM158:AR158" si="290">SUM(AM151:AM155)</f>
        <v>46</v>
      </c>
      <c r="AN158" s="267">
        <f t="shared" si="290"/>
        <v>49</v>
      </c>
      <c r="AO158" s="266">
        <f t="shared" si="290"/>
        <v>0</v>
      </c>
      <c r="AP158" s="267">
        <f t="shared" si="290"/>
        <v>0</v>
      </c>
      <c r="AQ158" s="266">
        <f t="shared" si="290"/>
        <v>2</v>
      </c>
      <c r="AR158" s="267">
        <f t="shared" si="290"/>
        <v>2</v>
      </c>
      <c r="AS158" s="266">
        <f>SUM(AS152:AS155)</f>
        <v>11</v>
      </c>
      <c r="AT158" s="267">
        <f>SUM(AT151:AT155)</f>
        <v>15</v>
      </c>
      <c r="AU158" s="266">
        <f t="shared" ref="AU158:BD158" si="291">SUM(AU151:AU155)</f>
        <v>4</v>
      </c>
      <c r="AV158" s="267">
        <f t="shared" si="291"/>
        <v>4</v>
      </c>
      <c r="AW158" s="266">
        <f t="shared" si="291"/>
        <v>14</v>
      </c>
      <c r="AX158" s="267">
        <f t="shared" si="291"/>
        <v>17</v>
      </c>
      <c r="AY158" s="266">
        <f t="shared" si="291"/>
        <v>6</v>
      </c>
      <c r="AZ158" s="267">
        <f t="shared" si="291"/>
        <v>6</v>
      </c>
      <c r="BA158" s="266">
        <f t="shared" si="291"/>
        <v>13</v>
      </c>
      <c r="BB158" s="267">
        <f t="shared" si="291"/>
        <v>17</v>
      </c>
      <c r="BC158" s="266">
        <f t="shared" si="291"/>
        <v>0</v>
      </c>
      <c r="BD158" s="267">
        <f t="shared" si="291"/>
        <v>0</v>
      </c>
    </row>
    <row r="159" spans="1:56" ht="14.25">
      <c r="A159" s="187"/>
      <c r="B159" s="305">
        <v>3</v>
      </c>
      <c r="C159" s="306" t="s">
        <v>465</v>
      </c>
      <c r="D159" s="307" t="s">
        <v>68</v>
      </c>
      <c r="E159" s="307" t="s">
        <v>81</v>
      </c>
      <c r="F159" s="307" t="s">
        <v>25</v>
      </c>
      <c r="G159" s="308">
        <f>IF(Setup!$N$11&gt;=VLOOKUP(C159,Reference!$N$6:$O$36,2,0),2,0)</f>
        <v>2</v>
      </c>
      <c r="H159" s="308">
        <v>0</v>
      </c>
      <c r="I159" s="309">
        <v>1</v>
      </c>
      <c r="J159" s="310"/>
      <c r="K159" s="311" t="s">
        <v>146</v>
      </c>
      <c r="L159" s="311"/>
      <c r="M159" s="311"/>
      <c r="N159" s="311"/>
      <c r="O159" s="312" t="s">
        <v>466</v>
      </c>
      <c r="P159" s="313"/>
      <c r="Q159" s="307" t="s">
        <v>148</v>
      </c>
      <c r="R159" s="173"/>
      <c r="S159" s="195">
        <f>MATCH($D159,Reference!$J$5:$J$9,0)</f>
        <v>3</v>
      </c>
      <c r="T159" s="195">
        <f>MATCH($E159,Reference!$J$26:$J$32,0)</f>
        <v>6</v>
      </c>
      <c r="U159" s="195">
        <f>MATCH($F159,Reference!$J$45:$J$54,0)</f>
        <v>8</v>
      </c>
      <c r="V159" s="196">
        <f>MATCH($K159,Reference!$J$37:$J$39,0)</f>
        <v>2</v>
      </c>
      <c r="W159" s="197">
        <f t="shared" si="278"/>
        <v>2</v>
      </c>
      <c r="X159" s="197">
        <f t="shared" si="1"/>
        <v>1</v>
      </c>
      <c r="Y159" s="198">
        <v>0</v>
      </c>
      <c r="Z159" s="197">
        <f t="shared" si="279"/>
        <v>2</v>
      </c>
      <c r="AA159" s="199" t="b">
        <f t="shared" si="3"/>
        <v>0</v>
      </c>
      <c r="AB159" s="199" t="b">
        <f t="shared" si="4"/>
        <v>0</v>
      </c>
      <c r="AC159" s="200">
        <f t="shared" ref="AC159:AD159" si="292">1-I159</f>
        <v>0</v>
      </c>
      <c r="AD159" s="200">
        <f t="shared" si="292"/>
        <v>1</v>
      </c>
      <c r="AE159" s="199">
        <f t="shared" si="6"/>
        <v>2</v>
      </c>
      <c r="AF159" s="201">
        <f t="shared" si="281"/>
        <v>0</v>
      </c>
      <c r="AG159" s="201">
        <f t="shared" si="8"/>
        <v>1</v>
      </c>
      <c r="AH159" s="202">
        <f t="shared" si="282"/>
        <v>0</v>
      </c>
      <c r="AI159" s="205"/>
      <c r="AJ159" s="173"/>
      <c r="AK159" s="173"/>
      <c r="AL159" s="173"/>
      <c r="AM159" s="173"/>
      <c r="AN159" s="173"/>
      <c r="AO159" s="173"/>
      <c r="AP159" s="173"/>
      <c r="AQ159" s="173"/>
      <c r="AR159" s="173"/>
      <c r="AS159" s="173"/>
      <c r="AT159" s="173"/>
      <c r="AU159" s="173"/>
      <c r="AV159" s="173"/>
    </row>
    <row r="160" spans="1:56" ht="14.25">
      <c r="A160" s="209"/>
      <c r="B160" s="305">
        <v>3</v>
      </c>
      <c r="C160" s="306" t="s">
        <v>467</v>
      </c>
      <c r="D160" s="307" t="s">
        <v>68</v>
      </c>
      <c r="E160" s="307" t="s">
        <v>81</v>
      </c>
      <c r="F160" s="307" t="s">
        <v>13</v>
      </c>
      <c r="G160" s="308">
        <f>IF(Setup!$N$11&gt;=VLOOKUP(C160,Reference!$N$6:$O$36,2,0),2,0)</f>
        <v>2</v>
      </c>
      <c r="H160" s="308">
        <v>0</v>
      </c>
      <c r="I160" s="309">
        <v>1</v>
      </c>
      <c r="J160" s="310"/>
      <c r="K160" s="311" t="s">
        <v>182</v>
      </c>
      <c r="L160" s="311"/>
      <c r="M160" s="311">
        <v>2</v>
      </c>
      <c r="N160" s="311">
        <v>4</v>
      </c>
      <c r="O160" s="312" t="s">
        <v>468</v>
      </c>
      <c r="P160" s="313"/>
      <c r="Q160" s="307" t="s">
        <v>148</v>
      </c>
      <c r="R160" s="173"/>
      <c r="S160" s="195">
        <f>MATCH($D160,Reference!$J$5:$J$9,0)</f>
        <v>3</v>
      </c>
      <c r="T160" s="195">
        <f>MATCH($E160,Reference!$J$26:$J$32,0)</f>
        <v>6</v>
      </c>
      <c r="U160" s="195">
        <f>MATCH($F160,Reference!$J$45:$J$54,0)</f>
        <v>3</v>
      </c>
      <c r="V160" s="196">
        <f>MATCH($K160,Reference!$J$37:$J$39,0)</f>
        <v>3</v>
      </c>
      <c r="W160" s="197">
        <f t="shared" si="278"/>
        <v>2</v>
      </c>
      <c r="X160" s="197">
        <f t="shared" si="1"/>
        <v>1</v>
      </c>
      <c r="Y160" s="198">
        <v>0</v>
      </c>
      <c r="Z160" s="197">
        <f t="shared" si="279"/>
        <v>2</v>
      </c>
      <c r="AA160" s="199" t="b">
        <f t="shared" si="3"/>
        <v>0</v>
      </c>
      <c r="AB160" s="199" t="b">
        <f t="shared" si="4"/>
        <v>0</v>
      </c>
      <c r="AC160" s="200">
        <f t="shared" ref="AC160:AD160" si="293">1-I160</f>
        <v>0</v>
      </c>
      <c r="AD160" s="200">
        <f t="shared" si="293"/>
        <v>1</v>
      </c>
      <c r="AE160" s="199">
        <f t="shared" si="6"/>
        <v>2</v>
      </c>
      <c r="AF160" s="201">
        <f t="shared" si="281"/>
        <v>0</v>
      </c>
      <c r="AG160" s="201">
        <f t="shared" si="8"/>
        <v>1</v>
      </c>
      <c r="AH160" s="202">
        <f t="shared" si="282"/>
        <v>0</v>
      </c>
      <c r="AI160" s="205"/>
    </row>
    <row r="161" spans="1:56">
      <c r="A161" s="187"/>
      <c r="B161" s="305">
        <v>4</v>
      </c>
      <c r="C161" s="306" t="s">
        <v>469</v>
      </c>
      <c r="D161" s="307" t="s">
        <v>68</v>
      </c>
      <c r="E161" s="307" t="s">
        <v>81</v>
      </c>
      <c r="F161" s="307" t="s">
        <v>11</v>
      </c>
      <c r="G161" s="308">
        <f>IF(Setup!$N$11&gt;=VLOOKUP(C161,Reference!$N$6:$O$36,2,0),2,0)</f>
        <v>2</v>
      </c>
      <c r="H161" s="308">
        <v>0</v>
      </c>
      <c r="I161" s="309">
        <v>1</v>
      </c>
      <c r="J161" s="310"/>
      <c r="K161" s="311" t="s">
        <v>182</v>
      </c>
      <c r="L161" s="311"/>
      <c r="M161" s="311">
        <v>4</v>
      </c>
      <c r="N161" s="311">
        <v>4</v>
      </c>
      <c r="O161" s="312" t="s">
        <v>470</v>
      </c>
      <c r="P161" s="319" t="s">
        <v>184</v>
      </c>
      <c r="Q161" s="307" t="s">
        <v>148</v>
      </c>
      <c r="R161" s="173"/>
      <c r="S161" s="195">
        <f>MATCH($D161,Reference!$J$5:$J$9,0)</f>
        <v>3</v>
      </c>
      <c r="T161" s="195">
        <f>MATCH($E161,Reference!$J$26:$J$32,0)</f>
        <v>6</v>
      </c>
      <c r="U161" s="195">
        <f>MATCH($F161,Reference!$J$45:$J$54,0)</f>
        <v>2</v>
      </c>
      <c r="V161" s="196">
        <f>MATCH($K161,Reference!$J$37:$J$39,0)</f>
        <v>3</v>
      </c>
      <c r="W161" s="197">
        <f t="shared" si="278"/>
        <v>2</v>
      </c>
      <c r="X161" s="197">
        <f t="shared" si="1"/>
        <v>1</v>
      </c>
      <c r="Y161" s="198">
        <v>0</v>
      </c>
      <c r="Z161" s="197">
        <f t="shared" si="279"/>
        <v>2</v>
      </c>
      <c r="AA161" s="199" t="b">
        <f t="shared" si="3"/>
        <v>0</v>
      </c>
      <c r="AB161" s="199" t="b">
        <f t="shared" si="4"/>
        <v>0</v>
      </c>
      <c r="AC161" s="200">
        <f t="shared" ref="AC161:AD161" si="294">1-I161</f>
        <v>0</v>
      </c>
      <c r="AD161" s="200">
        <f t="shared" si="294"/>
        <v>1</v>
      </c>
      <c r="AE161" s="199">
        <f t="shared" si="6"/>
        <v>2</v>
      </c>
      <c r="AF161" s="201">
        <f t="shared" si="281"/>
        <v>0</v>
      </c>
      <c r="AG161" s="201">
        <f t="shared" si="8"/>
        <v>1</v>
      </c>
      <c r="AH161" s="202">
        <f t="shared" si="282"/>
        <v>0</v>
      </c>
      <c r="AI161" s="205"/>
      <c r="AJ161" s="1134" t="s">
        <v>21</v>
      </c>
      <c r="AK161" s="1102"/>
      <c r="AL161" s="1102"/>
      <c r="AM161" s="1102"/>
      <c r="AN161" s="1102"/>
      <c r="AO161" s="1102"/>
      <c r="AP161" s="1102"/>
      <c r="AQ161" s="1102"/>
      <c r="AR161" s="1102"/>
      <c r="AS161" s="1102"/>
      <c r="AT161" s="1102"/>
      <c r="AU161" s="1102"/>
      <c r="AV161" s="1102"/>
      <c r="AW161" s="1102"/>
      <c r="AX161" s="1102"/>
      <c r="AY161" s="1102"/>
      <c r="AZ161" s="1102"/>
      <c r="BA161" s="1102"/>
      <c r="BB161" s="1102"/>
      <c r="BC161" s="1102"/>
      <c r="BD161" s="1102"/>
    </row>
    <row r="162" spans="1:56" ht="14.25">
      <c r="A162" s="206"/>
      <c r="B162" s="305">
        <v>5</v>
      </c>
      <c r="C162" s="306" t="s">
        <v>471</v>
      </c>
      <c r="D162" s="307" t="s">
        <v>68</v>
      </c>
      <c r="E162" s="307" t="s">
        <v>81</v>
      </c>
      <c r="F162" s="307" t="s">
        <v>20</v>
      </c>
      <c r="G162" s="308">
        <f>IF(Setup!$N$11&gt;=VLOOKUP(C162,Reference!$N$6:$O$36,2,0),2,0)</f>
        <v>2</v>
      </c>
      <c r="H162" s="308">
        <v>0</v>
      </c>
      <c r="I162" s="309">
        <v>1</v>
      </c>
      <c r="J162" s="310"/>
      <c r="K162" s="311" t="s">
        <v>182</v>
      </c>
      <c r="L162" s="311"/>
      <c r="M162" s="311">
        <v>4</v>
      </c>
      <c r="N162" s="311">
        <v>3</v>
      </c>
      <c r="O162" s="312" t="s">
        <v>472</v>
      </c>
      <c r="P162" s="319" t="s">
        <v>275</v>
      </c>
      <c r="Q162" s="307" t="s">
        <v>148</v>
      </c>
      <c r="R162" s="173"/>
      <c r="S162" s="195">
        <f>MATCH($D162,Reference!$J$5:$J$9,0)</f>
        <v>3</v>
      </c>
      <c r="T162" s="195">
        <f>MATCH($E162,Reference!$J$26:$J$32,0)</f>
        <v>6</v>
      </c>
      <c r="U162" s="195">
        <f>MATCH($F162,Reference!$J$45:$J$54,0)</f>
        <v>6</v>
      </c>
      <c r="V162" s="196">
        <f>MATCH($K162,Reference!$J$37:$J$39,0)</f>
        <v>3</v>
      </c>
      <c r="W162" s="197">
        <f t="shared" si="278"/>
        <v>2</v>
      </c>
      <c r="X162" s="197">
        <f t="shared" si="1"/>
        <v>1</v>
      </c>
      <c r="Y162" s="198">
        <v>0</v>
      </c>
      <c r="Z162" s="197">
        <f t="shared" si="279"/>
        <v>2</v>
      </c>
      <c r="AA162" s="199" t="b">
        <f t="shared" si="3"/>
        <v>0</v>
      </c>
      <c r="AB162" s="199" t="b">
        <f t="shared" si="4"/>
        <v>0</v>
      </c>
      <c r="AC162" s="200">
        <f t="shared" ref="AC162:AD162" si="295">1-I162</f>
        <v>0</v>
      </c>
      <c r="AD162" s="200">
        <f t="shared" si="295"/>
        <v>1</v>
      </c>
      <c r="AE162" s="199">
        <f t="shared" si="6"/>
        <v>2</v>
      </c>
      <c r="AF162" s="201">
        <f t="shared" si="281"/>
        <v>0</v>
      </c>
      <c r="AG162" s="201">
        <f t="shared" si="8"/>
        <v>1</v>
      </c>
      <c r="AH162" s="202">
        <f t="shared" si="282"/>
        <v>0</v>
      </c>
      <c r="AI162" s="205"/>
      <c r="AJ162" s="224" t="s">
        <v>122</v>
      </c>
      <c r="AK162" s="1133" t="s">
        <v>22</v>
      </c>
      <c r="AL162" s="1102"/>
      <c r="AM162" s="1133" t="s">
        <v>77</v>
      </c>
      <c r="AN162" s="1102"/>
      <c r="AO162" s="1133" t="s">
        <v>78</v>
      </c>
      <c r="AP162" s="1102"/>
      <c r="AQ162" s="1133" t="s">
        <v>79</v>
      </c>
      <c r="AR162" s="1102"/>
      <c r="AS162" s="1133" t="s">
        <v>80</v>
      </c>
      <c r="AT162" s="1102"/>
      <c r="AU162" s="1133" t="s">
        <v>220</v>
      </c>
      <c r="AV162" s="1102"/>
      <c r="AW162" s="1133" t="s">
        <v>82</v>
      </c>
      <c r="AX162" s="1102"/>
      <c r="AY162" s="1133" t="s">
        <v>84</v>
      </c>
      <c r="AZ162" s="1102"/>
      <c r="BA162" s="1133" t="s">
        <v>73</v>
      </c>
      <c r="BB162" s="1102"/>
      <c r="BC162" s="1133" t="s">
        <v>221</v>
      </c>
      <c r="BD162" s="1102"/>
    </row>
    <row r="163" spans="1:56" ht="14.25">
      <c r="A163" s="222"/>
      <c r="B163" s="305">
        <v>5</v>
      </c>
      <c r="C163" s="306" t="s">
        <v>473</v>
      </c>
      <c r="D163" s="307" t="s">
        <v>68</v>
      </c>
      <c r="E163" s="307" t="s">
        <v>81</v>
      </c>
      <c r="F163" s="307" t="s">
        <v>16</v>
      </c>
      <c r="G163" s="308">
        <f>IF(Setup!$N$11&gt;=VLOOKUP(C163,Reference!$N$6:$O$36,2,0),2,0)</f>
        <v>2</v>
      </c>
      <c r="H163" s="308">
        <v>0</v>
      </c>
      <c r="I163" s="309">
        <v>1</v>
      </c>
      <c r="J163" s="310"/>
      <c r="K163" s="311" t="s">
        <v>182</v>
      </c>
      <c r="L163" s="311" t="s">
        <v>415</v>
      </c>
      <c r="M163" s="311">
        <v>5</v>
      </c>
      <c r="N163" s="311">
        <v>5</v>
      </c>
      <c r="O163" s="312" t="s">
        <v>474</v>
      </c>
      <c r="P163" s="319" t="s">
        <v>275</v>
      </c>
      <c r="Q163" s="307" t="s">
        <v>148</v>
      </c>
      <c r="R163" s="173"/>
      <c r="S163" s="195">
        <f>MATCH($D163,Reference!$J$5:$J$9,0)</f>
        <v>3</v>
      </c>
      <c r="T163" s="195">
        <f>MATCH($E163,Reference!$J$26:$J$32,0)</f>
        <v>6</v>
      </c>
      <c r="U163" s="195">
        <f>MATCH($F163,Reference!$J$45:$J$54,0)</f>
        <v>4</v>
      </c>
      <c r="V163" s="196">
        <f>MATCH($K163,Reference!$J$37:$J$39,0)</f>
        <v>3</v>
      </c>
      <c r="W163" s="197">
        <f t="shared" si="278"/>
        <v>2</v>
      </c>
      <c r="X163" s="197">
        <f t="shared" si="1"/>
        <v>1</v>
      </c>
      <c r="Y163" s="198">
        <v>0</v>
      </c>
      <c r="Z163" s="197">
        <f t="shared" si="279"/>
        <v>2</v>
      </c>
      <c r="AA163" s="199" t="b">
        <f t="shared" si="3"/>
        <v>0</v>
      </c>
      <c r="AB163" s="199" t="b">
        <f t="shared" si="4"/>
        <v>0</v>
      </c>
      <c r="AC163" s="200">
        <f t="shared" ref="AC163:AD163" si="296">1-I163</f>
        <v>0</v>
      </c>
      <c r="AD163" s="200">
        <f t="shared" si="296"/>
        <v>1</v>
      </c>
      <c r="AE163" s="199">
        <f t="shared" si="6"/>
        <v>2</v>
      </c>
      <c r="AF163" s="201">
        <f t="shared" si="281"/>
        <v>0</v>
      </c>
      <c r="AG163" s="201">
        <f t="shared" si="8"/>
        <v>1</v>
      </c>
      <c r="AH163" s="202">
        <f t="shared" si="282"/>
        <v>0</v>
      </c>
      <c r="AI163" s="205"/>
      <c r="AJ163" s="225" t="s">
        <v>224</v>
      </c>
      <c r="AK163" s="226"/>
      <c r="AL163" s="227"/>
      <c r="AM163" s="226"/>
      <c r="AN163" s="227"/>
      <c r="AO163" s="228"/>
      <c r="AP163" s="227"/>
      <c r="AQ163" s="226"/>
      <c r="AR163" s="227"/>
      <c r="AS163" s="228"/>
      <c r="AT163" s="227"/>
      <c r="AU163" s="226"/>
      <c r="AV163" s="227"/>
      <c r="AW163" s="229"/>
      <c r="AX163" s="230"/>
      <c r="AY163" s="229"/>
      <c r="AZ163" s="230"/>
      <c r="BA163" s="229"/>
      <c r="BB163" s="230"/>
      <c r="BC163" s="229"/>
      <c r="BD163" s="230"/>
    </row>
    <row r="164" spans="1:56" ht="14.25">
      <c r="A164" s="187"/>
      <c r="B164" s="305">
        <v>5</v>
      </c>
      <c r="C164" s="306" t="s">
        <v>475</v>
      </c>
      <c r="D164" s="307" t="s">
        <v>68</v>
      </c>
      <c r="E164" s="307" t="s">
        <v>81</v>
      </c>
      <c r="F164" s="307" t="s">
        <v>115</v>
      </c>
      <c r="G164" s="308">
        <f>IF(Setup!$N$11&gt;=VLOOKUP(C164,Reference!$N$6:$O$36,2,0),2,0)</f>
        <v>2</v>
      </c>
      <c r="H164" s="308">
        <v>0</v>
      </c>
      <c r="I164" s="309">
        <v>1</v>
      </c>
      <c r="J164" s="310"/>
      <c r="K164" s="311" t="s">
        <v>182</v>
      </c>
      <c r="L164" s="311"/>
      <c r="M164" s="311">
        <v>3</v>
      </c>
      <c r="N164" s="311">
        <v>3</v>
      </c>
      <c r="O164" s="312" t="s">
        <v>476</v>
      </c>
      <c r="P164" s="313"/>
      <c r="Q164" s="307" t="s">
        <v>148</v>
      </c>
      <c r="R164" s="173"/>
      <c r="S164" s="195">
        <f>MATCH($D164,Reference!$J$5:$J$9,0)</f>
        <v>3</v>
      </c>
      <c r="T164" s="195">
        <f>MATCH($E164,Reference!$J$26:$J$32,0)</f>
        <v>6</v>
      </c>
      <c r="U164" s="195">
        <f>MATCH($F164,Reference!$J$45:$J$54,0)</f>
        <v>10</v>
      </c>
      <c r="V164" s="196">
        <f>MATCH($K164,Reference!$J$37:$J$39,0)</f>
        <v>3</v>
      </c>
      <c r="W164" s="197">
        <f t="shared" si="278"/>
        <v>2</v>
      </c>
      <c r="X164" s="197">
        <f t="shared" si="1"/>
        <v>1</v>
      </c>
      <c r="Y164" s="198">
        <v>0</v>
      </c>
      <c r="Z164" s="197">
        <f t="shared" si="279"/>
        <v>2</v>
      </c>
      <c r="AA164" s="199" t="b">
        <f t="shared" si="3"/>
        <v>0</v>
      </c>
      <c r="AB164" s="199" t="b">
        <f t="shared" si="4"/>
        <v>0</v>
      </c>
      <c r="AC164" s="200">
        <f t="shared" ref="AC164:AD164" si="297">1-I164</f>
        <v>0</v>
      </c>
      <c r="AD164" s="200">
        <f t="shared" si="297"/>
        <v>1</v>
      </c>
      <c r="AE164" s="199">
        <f t="shared" si="6"/>
        <v>2</v>
      </c>
      <c r="AF164" s="201">
        <f t="shared" si="281"/>
        <v>0</v>
      </c>
      <c r="AG164" s="201">
        <f t="shared" si="8"/>
        <v>1</v>
      </c>
      <c r="AH164" s="202">
        <f t="shared" si="282"/>
        <v>0</v>
      </c>
      <c r="AI164" s="205"/>
      <c r="AJ164" s="231" t="s">
        <v>58</v>
      </c>
      <c r="AK164" s="232">
        <f t="shared" ref="AK164:AL164" si="298">SUM(AO164+AM164+AQ164+AS164+AU164+AW164+AY164+BA164+BC164)</f>
        <v>10</v>
      </c>
      <c r="AL164" s="232">
        <f t="shared" si="298"/>
        <v>10</v>
      </c>
      <c r="AM164" s="191">
        <f>SUMIFS($X$2:$X879, $E$2:$E879, "Basic", $F$2:F879, "Shaman")</f>
        <v>10</v>
      </c>
      <c r="AN164" s="191">
        <f>COUNTIFS($E$2:$E879, "Basic", $E$2:$E879, "Basic", $F$2:F879, "Shaman" )</f>
        <v>10</v>
      </c>
      <c r="AO164" s="234"/>
      <c r="AP164" s="235"/>
      <c r="AQ164" s="191"/>
      <c r="AR164" s="235"/>
      <c r="AS164" s="234"/>
      <c r="AT164" s="235"/>
      <c r="AU164" s="191"/>
      <c r="AV164" s="235"/>
      <c r="AW164" s="191"/>
      <c r="AX164" s="235"/>
      <c r="AY164" s="191"/>
      <c r="AZ164" s="235"/>
      <c r="BA164" s="191"/>
      <c r="BB164" s="235"/>
      <c r="BC164" s="191"/>
      <c r="BD164" s="235"/>
    </row>
    <row r="165" spans="1:56" ht="14.25">
      <c r="A165" s="206"/>
      <c r="B165" s="305">
        <v>9</v>
      </c>
      <c r="C165" s="306" t="s">
        <v>477</v>
      </c>
      <c r="D165" s="307" t="s">
        <v>68</v>
      </c>
      <c r="E165" s="307" t="s">
        <v>81</v>
      </c>
      <c r="F165" s="307" t="s">
        <v>8</v>
      </c>
      <c r="G165" s="308">
        <f>IF(Setup!$N$11&gt;=VLOOKUP(C165,Reference!$N$6:$O$36,2,0),2,0)</f>
        <v>2</v>
      </c>
      <c r="H165" s="308">
        <v>0</v>
      </c>
      <c r="I165" s="309">
        <v>1</v>
      </c>
      <c r="J165" s="310"/>
      <c r="K165" s="311" t="s">
        <v>182</v>
      </c>
      <c r="L165" s="311"/>
      <c r="M165" s="311">
        <v>7</v>
      </c>
      <c r="N165" s="311">
        <v>8</v>
      </c>
      <c r="O165" s="312" t="s">
        <v>478</v>
      </c>
      <c r="P165" s="319" t="s">
        <v>193</v>
      </c>
      <c r="Q165" s="307" t="s">
        <v>148</v>
      </c>
      <c r="R165" s="173"/>
      <c r="S165" s="195">
        <f>MATCH($D165,Reference!$J$5:$J$9,0)</f>
        <v>3</v>
      </c>
      <c r="T165" s="195">
        <f>MATCH($E165,Reference!$J$26:$J$32,0)</f>
        <v>6</v>
      </c>
      <c r="U165" s="195">
        <f>MATCH($F165,Reference!$J$45:$J$54,0)</f>
        <v>1</v>
      </c>
      <c r="V165" s="196">
        <f>MATCH($K165,Reference!$J$37:$J$39,0)</f>
        <v>3</v>
      </c>
      <c r="W165" s="197">
        <f t="shared" si="278"/>
        <v>2</v>
      </c>
      <c r="X165" s="197">
        <f t="shared" si="1"/>
        <v>1</v>
      </c>
      <c r="Y165" s="198">
        <v>0</v>
      </c>
      <c r="Z165" s="197">
        <f t="shared" si="279"/>
        <v>2</v>
      </c>
      <c r="AA165" s="199" t="b">
        <f t="shared" si="3"/>
        <v>0</v>
      </c>
      <c r="AB165" s="199" t="b">
        <f t="shared" si="4"/>
        <v>0</v>
      </c>
      <c r="AC165" s="200">
        <f t="shared" ref="AC165:AD165" si="299">1-I165</f>
        <v>0</v>
      </c>
      <c r="AD165" s="200">
        <f t="shared" si="299"/>
        <v>1</v>
      </c>
      <c r="AE165" s="199">
        <f t="shared" si="6"/>
        <v>2</v>
      </c>
      <c r="AF165" s="201">
        <f t="shared" si="281"/>
        <v>0</v>
      </c>
      <c r="AG165" s="201">
        <f t="shared" si="8"/>
        <v>1</v>
      </c>
      <c r="AH165" s="202">
        <f t="shared" si="282"/>
        <v>0</v>
      </c>
      <c r="AI165" s="205"/>
      <c r="AJ165" s="236" t="s">
        <v>63</v>
      </c>
      <c r="AK165" s="237">
        <f t="shared" ref="AK165:AL165" si="300">SUM(AO165+AM165+AQ165+AS165+AU165+AW165+AY165+BA165+BC165)</f>
        <v>18</v>
      </c>
      <c r="AL165" s="237">
        <f t="shared" si="300"/>
        <v>18</v>
      </c>
      <c r="AM165" s="229">
        <f>SUMIFS($X$2:$X879, $D$2:$D879, "Common", $E$2:$E879, "Classic", $F$2:F879, "Shaman")</f>
        <v>6</v>
      </c>
      <c r="AN165" s="229">
        <f>COUNTIFS($D$2:$D879, "Common", $E$2:$E879, "Classic", $F$2:F879, "Shaman" )</f>
        <v>6</v>
      </c>
      <c r="AO165" s="268">
        <f>SUMIFS($X$2:$X879, $D$2:$D879, "Common", $E$2:$E879, "Promo", $F$2:F879, "Shaman")</f>
        <v>0</v>
      </c>
      <c r="AP165" s="230">
        <f>COUNTIFS($D$2:$D879, "Common", $E$2:$E879, "Promo", $F$2:F879, "Shaman" )</f>
        <v>0</v>
      </c>
      <c r="AQ165" s="229">
        <f>SUMIFS($X$2:$X879, $D$2:$D879, "Common", $E$2:$E879, "Naxx", $F$2:F879, "Shaman")</f>
        <v>1</v>
      </c>
      <c r="AR165" s="229">
        <f>COUNTIFS($D$2:$D879, "Common", $E$2:$E879, "Naxx", $F$2:F879, "Shaman" )</f>
        <v>1</v>
      </c>
      <c r="AS165" s="268">
        <f>SUMIFS($X$2:$X879, $D$2:$D879, "Common", $E$2:$E879, "GvG", $F$2:F879, "Shaman")</f>
        <v>2</v>
      </c>
      <c r="AT165" s="230">
        <f>COUNTIFS($D$2:$D879, "Common", $E$2:$E879, "GvG", $F$2:F879, "Shaman" )</f>
        <v>2</v>
      </c>
      <c r="AU165" s="229">
        <f>SUMIFS($X$2:$X879, $D$2:$D879, "Common", $E$2:$E879, "Blackrock", $F$2:F879, "Shaman")</f>
        <v>1</v>
      </c>
      <c r="AV165" s="229">
        <f>COUNTIFS($D$2:$D879, "Common", $E$2:$E879, "Blackrock", $F$2:F879, "Shaman" )</f>
        <v>1</v>
      </c>
      <c r="AW165" s="229">
        <f>SUMIFS($X$2:$X879, $D$2:$D879, "Common", $E$2:$E879, "TGT", $F$2:F879, "Shaman")</f>
        <v>3</v>
      </c>
      <c r="AX165" s="230">
        <f>COUNTIFS($D$2:$D879, "Common", $E$2:$E879, "TGT", $F$2:F879, "Shaman" )</f>
        <v>3</v>
      </c>
      <c r="AY165" s="229">
        <f>SUMIFS($X$2:$X879, $D$2:$D879, "Common", $E$2:$E879, "LoE", $F$2:F879, "Shaman")</f>
        <v>2</v>
      </c>
      <c r="AZ165" s="230">
        <f>COUNTIFS($D$2:$D879, "Common", $E$2:$E879, "LoE", $F$2:F879, "Shaman" )</f>
        <v>2</v>
      </c>
      <c r="BA165" s="229">
        <f>SUMIFS($X$2:$X879, $D$2:$D879, "Common", $E$2:$E879, "TOG", $F$2:F879, "Shaman")</f>
        <v>3</v>
      </c>
      <c r="BB165" s="230">
        <f>COUNTIFS($D$2:$D879, "Common", $E$2:$E879, "TOG", $F$2:F879, "Shaman" )</f>
        <v>3</v>
      </c>
      <c r="BC165" s="229">
        <f>SUMIFS($X$2:$X879, $D$2:$D879, "Common", $E$2:$E879, "Adv4", $F$2:F879, "Shaman")</f>
        <v>0</v>
      </c>
      <c r="BD165" s="230">
        <f>COUNTIFS($D$2:$D879, "Common", $E$2:$E879, "Adv4", $F$2:F879, "Shaman" )</f>
        <v>0</v>
      </c>
    </row>
    <row r="166" spans="1:56" ht="14.25">
      <c r="A166" s="187"/>
      <c r="B166" s="187">
        <v>0</v>
      </c>
      <c r="C166" s="320" t="s">
        <v>479</v>
      </c>
      <c r="D166" s="321" t="s">
        <v>63</v>
      </c>
      <c r="E166" s="321" t="s">
        <v>77</v>
      </c>
      <c r="F166" s="321" t="s">
        <v>18</v>
      </c>
      <c r="G166" s="322">
        <v>2</v>
      </c>
      <c r="H166" s="322">
        <v>0</v>
      </c>
      <c r="I166" s="323">
        <v>1</v>
      </c>
      <c r="J166" s="323">
        <v>1</v>
      </c>
      <c r="K166" s="237" t="s">
        <v>146</v>
      </c>
      <c r="L166" s="237"/>
      <c r="M166" s="237"/>
      <c r="N166" s="237"/>
      <c r="O166" s="324" t="s">
        <v>480</v>
      </c>
      <c r="P166" s="292"/>
      <c r="Q166" s="321" t="s">
        <v>148</v>
      </c>
      <c r="R166" s="173"/>
      <c r="S166" s="195">
        <f>MATCH($D166,Reference!$J$5:$J$9,0)</f>
        <v>2</v>
      </c>
      <c r="T166" s="195">
        <f>MATCH($E166,Reference!$J$26:$J$32,0)</f>
        <v>2</v>
      </c>
      <c r="U166" s="195">
        <f>MATCH($F166,Reference!$J$45:$J$54,0)</f>
        <v>5</v>
      </c>
      <c r="V166" s="196">
        <f>MATCH($K166,Reference!$J$37:$J$39,0)</f>
        <v>2</v>
      </c>
      <c r="W166" s="197">
        <f t="shared" si="278"/>
        <v>2</v>
      </c>
      <c r="X166" s="197">
        <f t="shared" si="1"/>
        <v>1</v>
      </c>
      <c r="Y166" s="197">
        <f t="shared" ref="Y166:Y259" si="301">(MIN(G166,2)+H166-W166)*50</f>
        <v>0</v>
      </c>
      <c r="Z166" s="197">
        <f t="shared" si="279"/>
        <v>2</v>
      </c>
      <c r="AA166" s="199" t="b">
        <f t="shared" si="3"/>
        <v>0</v>
      </c>
      <c r="AB166" s="199" t="b">
        <f t="shared" si="4"/>
        <v>0</v>
      </c>
      <c r="AC166" s="200">
        <f t="shared" ref="AC166:AD166" si="302">1-I166</f>
        <v>0</v>
      </c>
      <c r="AD166" s="200">
        <f t="shared" si="302"/>
        <v>0</v>
      </c>
      <c r="AE166" s="199">
        <f t="shared" si="6"/>
        <v>2</v>
      </c>
      <c r="AF166" s="201">
        <f t="shared" si="281"/>
        <v>0</v>
      </c>
      <c r="AG166" s="201">
        <f t="shared" si="8"/>
        <v>1</v>
      </c>
      <c r="AH166" s="202">
        <f t="shared" ref="AH166:AH259" si="303">(MIN(H166,2)+G166-W166)*5</f>
        <v>0</v>
      </c>
      <c r="AI166" s="205"/>
      <c r="AJ166" s="241" t="s">
        <v>68</v>
      </c>
      <c r="AK166" s="242">
        <f t="shared" ref="AK166:AL166" si="304">SUM(AO166+AM166+AQ166+AS166+AU166+AW166+AY166+BA166+BC166)</f>
        <v>15</v>
      </c>
      <c r="AL166" s="242">
        <f t="shared" si="304"/>
        <v>16</v>
      </c>
      <c r="AM166" s="269">
        <f>SUMIFS($X$2:$X879, $D$2:$D879, "Rare", $E$2:$E879, "Classic", $F$2:F879, "Shaman")</f>
        <v>4</v>
      </c>
      <c r="AN166" s="269">
        <f>COUNTIFS($D$2:$D879, "Rare", $E$2:$E879, "Classic", $F$2:F879, "Shaman" )</f>
        <v>5</v>
      </c>
      <c r="AO166" s="270">
        <f>SUMIFS($X$2:$X879, $D$2:$D879, "Rare", $E$2:$E879, "Promo", $F$2:F879, "Shaman")</f>
        <v>0</v>
      </c>
      <c r="AP166" s="271">
        <f>COUNTIFS($D$2:$D879, "Rare", $E$2:$E879, "Promo", $F$2:F879, "Shaman" )</f>
        <v>0</v>
      </c>
      <c r="AQ166" s="269">
        <f>SUMIFS($X$2:$X879, $D$2:$D879, "Rare", $E$2:$E879, "Naxx", $F$2:F879, "Shaman")</f>
        <v>0</v>
      </c>
      <c r="AR166" s="269">
        <f>COUNTIFS($D$2:$D879, "Rare", $E$2:$E879, "Naxx", $F$2:F879, "Shaman" )</f>
        <v>0</v>
      </c>
      <c r="AS166" s="270">
        <f>SUMIFS($X$2:$X879, $D$2:$D879, "Rare", $E$2:$E879, "GvG", $F$2:F879, "Shaman")</f>
        <v>3</v>
      </c>
      <c r="AT166" s="271">
        <f>COUNTIFS($D$2:$D879, "Rare", $E$2:$E879, "GvG", $F$2:F879, "Shaman" )</f>
        <v>3</v>
      </c>
      <c r="AU166" s="269">
        <f>SUMIFS($X$2:$X879, $D$2:$D879, "Rare", $E$2:$E879, "Blackrock", $F$2:F879, "Shaman")</f>
        <v>1</v>
      </c>
      <c r="AV166" s="269">
        <f>COUNTIFS($D$2:$D879, "Rare", $E$2:$E879, "Blackrock", $F$2:F879, "Shaman" )</f>
        <v>1</v>
      </c>
      <c r="AW166" s="269">
        <f>SUMIFS($X$2:$X879, $D$2:$D879, "Rare", $E$2:$E879, "TGT", $F$2:F879, "Shaman")</f>
        <v>3</v>
      </c>
      <c r="AX166" s="271">
        <f>COUNTIFS($D$2:$D879, "Rare", $E$2:$E879, "TGT", $F$2:F879, "Shaman" )</f>
        <v>3</v>
      </c>
      <c r="AY166" s="269">
        <f>SUMIFS($X$2:$X879, $D$2:$D879, "Rare", $E$2:$E879, "LoE", $F$2:F879, "Shaman")</f>
        <v>1</v>
      </c>
      <c r="AZ166" s="271">
        <f>COUNTIFS($D$2:$D879, "Rare", $E$2:$E879, "LoE", $F$2:F879, "Shaman" )</f>
        <v>1</v>
      </c>
      <c r="BA166" s="269">
        <f>SUMIFS($X$2:$X879, $D$2:$D879, "Rare", $E$2:$E879, "TOG", $F$2:F879, "Shaman")</f>
        <v>3</v>
      </c>
      <c r="BB166" s="271">
        <f>COUNTIFS($D$2:$D879, "Rare", $E$2:$E879, "TOG", $F$2:F879, "Shaman" )</f>
        <v>3</v>
      </c>
      <c r="BC166" s="269">
        <f>SUMIFS($X$2:$X879, $D$2:$D879, "Rare", $E$2:$E879, "Adv4", $F$2:F879, "Shaman")</f>
        <v>0</v>
      </c>
      <c r="BD166" s="271">
        <f>COUNTIFS($D$2:$D879, "Rare", $E$2:$E879, "Adv4", $F$2:F879, "Shaman" )</f>
        <v>0</v>
      </c>
    </row>
    <row r="167" spans="1:56" ht="14.25">
      <c r="A167" s="187"/>
      <c r="B167" s="187">
        <v>0</v>
      </c>
      <c r="C167" s="320" t="s">
        <v>481</v>
      </c>
      <c r="D167" s="321" t="s">
        <v>63</v>
      </c>
      <c r="E167" s="321" t="s">
        <v>77</v>
      </c>
      <c r="F167" s="321" t="s">
        <v>26</v>
      </c>
      <c r="G167" s="325">
        <v>2</v>
      </c>
      <c r="H167" s="325">
        <v>0</v>
      </c>
      <c r="I167" s="323">
        <v>1</v>
      </c>
      <c r="J167" s="323">
        <v>1</v>
      </c>
      <c r="K167" s="229" t="s">
        <v>146</v>
      </c>
      <c r="L167" s="229"/>
      <c r="M167" s="229"/>
      <c r="N167" s="229"/>
      <c r="O167" s="326" t="s">
        <v>482</v>
      </c>
      <c r="P167" s="289"/>
      <c r="Q167" s="321" t="s">
        <v>148</v>
      </c>
      <c r="R167" s="173"/>
      <c r="S167" s="195">
        <f>MATCH($D167,Reference!$J$5:$J$9,0)</f>
        <v>2</v>
      </c>
      <c r="T167" s="195">
        <f>MATCH($E167,Reference!$J$26:$J$32,0)</f>
        <v>2</v>
      </c>
      <c r="U167" s="195">
        <f>MATCH($F167,Reference!$J$45:$J$54,0)</f>
        <v>9</v>
      </c>
      <c r="V167" s="196">
        <f>MATCH($K167,Reference!$J$37:$J$39,0)</f>
        <v>2</v>
      </c>
      <c r="W167" s="197">
        <f t="shared" si="278"/>
        <v>2</v>
      </c>
      <c r="X167" s="197">
        <f t="shared" si="1"/>
        <v>1</v>
      </c>
      <c r="Y167" s="197">
        <f t="shared" si="301"/>
        <v>0</v>
      </c>
      <c r="Z167" s="197">
        <f t="shared" si="279"/>
        <v>2</v>
      </c>
      <c r="AA167" s="199" t="b">
        <f t="shared" si="3"/>
        <v>0</v>
      </c>
      <c r="AB167" s="199" t="b">
        <f t="shared" si="4"/>
        <v>0</v>
      </c>
      <c r="AC167" s="200">
        <f t="shared" ref="AC167:AD167" si="305">1-I167</f>
        <v>0</v>
      </c>
      <c r="AD167" s="200">
        <f t="shared" si="305"/>
        <v>0</v>
      </c>
      <c r="AE167" s="199">
        <f t="shared" si="6"/>
        <v>2</v>
      </c>
      <c r="AF167" s="201">
        <f t="shared" si="281"/>
        <v>0</v>
      </c>
      <c r="AG167" s="201">
        <f t="shared" si="8"/>
        <v>1</v>
      </c>
      <c r="AH167" s="202">
        <f t="shared" si="303"/>
        <v>0</v>
      </c>
      <c r="AI167" s="205"/>
      <c r="AJ167" s="245" t="s">
        <v>69</v>
      </c>
      <c r="AK167" s="246">
        <f t="shared" ref="AK167:AL167" si="306">SUM(AO167+AM167+AQ167+AS167+AU167+AW167+AY167+BA167+BC167)</f>
        <v>5</v>
      </c>
      <c r="AL167" s="246">
        <f t="shared" si="306"/>
        <v>9</v>
      </c>
      <c r="AM167" s="272">
        <f>SUMIFS($X$2:$X879, $D$2:$D879, "Epic", $E$2:$E879, "Classic", $F$2:F879, "Shaman")</f>
        <v>2</v>
      </c>
      <c r="AN167" s="272">
        <f>COUNTIFS($D$2:$D879, "Epic", $E$2:$E879, "Classic", $F$2:F879, "Shaman" )</f>
        <v>3</v>
      </c>
      <c r="AO167" s="273">
        <f>SUMIFS($X$2:$X879, $D$2:$D879, "Epic", $E$2:$E879, "Promo", $F$2:F879, "Shaman")</f>
        <v>0</v>
      </c>
      <c r="AP167" s="274">
        <f>COUNTIFS($D$2:$D879, "Epic", $E$2:$E879, "Promo", $F$2:F879, "Shaman" )</f>
        <v>0</v>
      </c>
      <c r="AQ167" s="272">
        <f>SUMIFS($X$2:$X879, $D$2:$D879, "Epic", $E$2:$E879, "Naxx", $F$2:F879, "Shaman")</f>
        <v>0</v>
      </c>
      <c r="AR167" s="272">
        <f>COUNTIFS($D$2:$D879, "Epic", $E$2:$E879, "Naxx", $F$2:F879, "Shaman" )</f>
        <v>0</v>
      </c>
      <c r="AS167" s="273">
        <f>SUMIFS($X$2:$X879, $D$2:$D879, "Epic", $E$2:$E879, "GvG", $F$2:F879, "Shaman")</f>
        <v>0</v>
      </c>
      <c r="AT167" s="274">
        <f>COUNTIFS($D$2:$D879, "Epic", $E$2:$E879, "GvG", $F$2:F879, "Shaman" )</f>
        <v>2</v>
      </c>
      <c r="AU167" s="272">
        <f>SUMIFS($X$2:$X879, $D$2:$D879, "Epic", $E$2:$E879, "Blackrock", $F$2:F879, "Shaman")</f>
        <v>0</v>
      </c>
      <c r="AV167" s="272">
        <f>COUNTIFS($D$2:$D879, "Epic", $E$2:$E879, "Blackrock", $F$2:F879, "Shaman" )</f>
        <v>0</v>
      </c>
      <c r="AW167" s="272">
        <f>SUMIFS($X$2:$X879, $D$2:$D879, "Epic", $E$2:$E879, "TGT", $F$2:F879, "Shaman")</f>
        <v>1</v>
      </c>
      <c r="AX167" s="274">
        <f>COUNTIFS($D$2:$D879, "Epic", $E$2:$E879, "TGT", $F$2:F879, "Shaman" )</f>
        <v>2</v>
      </c>
      <c r="AY167" s="272">
        <f>SUMIFS($X$2:$X879, $D$2:$D879, "Epic", $E$2:$E879, "LoE", $F$2:F879, "Shaman")</f>
        <v>0</v>
      </c>
      <c r="AZ167" s="274">
        <f>COUNTIFS($D$2:$D879, "Epic", $E$2:$E879, "LoE", $F$2:F879, "Shaman" )</f>
        <v>0</v>
      </c>
      <c r="BA167" s="272">
        <f>SUMIFS($X$2:$X879, $D$2:$D879, "Epic", $E$2:$E879, "TOG", $F$2:F879, "Shaman")</f>
        <v>2</v>
      </c>
      <c r="BB167" s="274">
        <f>COUNTIFS($D$2:$D879, "Epic", $E$2:$E879, "TOG", $F$2:F879, "Shaman" )</f>
        <v>2</v>
      </c>
      <c r="BC167" s="272">
        <f>SUMIFS($X$2:$X879, $D$2:$D879, "Epic", $E$2:$E879, "Adv4", $F$2:F879, "Shaman")</f>
        <v>0</v>
      </c>
      <c r="BD167" s="274">
        <f>COUNTIFS($D$2:$D879, "Epic", $E$2:$E879, "Adv4", $F$2:F879, "Shaman" )</f>
        <v>0</v>
      </c>
    </row>
    <row r="168" spans="1:56" ht="14.25">
      <c r="A168" s="206"/>
      <c r="B168" s="187">
        <v>0</v>
      </c>
      <c r="C168" s="320" t="s">
        <v>483</v>
      </c>
      <c r="D168" s="321" t="s">
        <v>63</v>
      </c>
      <c r="E168" s="321" t="s">
        <v>77</v>
      </c>
      <c r="F168" s="321" t="s">
        <v>20</v>
      </c>
      <c r="G168" s="325">
        <v>2</v>
      </c>
      <c r="H168" s="325">
        <v>0</v>
      </c>
      <c r="I168" s="323">
        <v>1</v>
      </c>
      <c r="J168" s="323">
        <v>1</v>
      </c>
      <c r="K168" s="229" t="s">
        <v>146</v>
      </c>
      <c r="L168" s="229"/>
      <c r="M168" s="229"/>
      <c r="N168" s="229"/>
      <c r="O168" s="326" t="s">
        <v>484</v>
      </c>
      <c r="P168" s="289"/>
      <c r="Q168" s="321" t="s">
        <v>148</v>
      </c>
      <c r="R168" s="173"/>
      <c r="S168" s="195">
        <f>MATCH($D168,Reference!$J$5:$J$9,0)</f>
        <v>2</v>
      </c>
      <c r="T168" s="195">
        <f>MATCH($E168,Reference!$J$26:$J$32,0)</f>
        <v>2</v>
      </c>
      <c r="U168" s="195">
        <f>MATCH($F168,Reference!$J$45:$J$54,0)</f>
        <v>6</v>
      </c>
      <c r="V168" s="196">
        <f>MATCH($K168,Reference!$J$37:$J$39,0)</f>
        <v>2</v>
      </c>
      <c r="W168" s="197">
        <f t="shared" si="278"/>
        <v>2</v>
      </c>
      <c r="X168" s="197">
        <f t="shared" si="1"/>
        <v>1</v>
      </c>
      <c r="Y168" s="197">
        <f t="shared" si="301"/>
        <v>0</v>
      </c>
      <c r="Z168" s="197">
        <f t="shared" si="279"/>
        <v>2</v>
      </c>
      <c r="AA168" s="199" t="b">
        <f t="shared" si="3"/>
        <v>0</v>
      </c>
      <c r="AB168" s="199" t="b">
        <f t="shared" si="4"/>
        <v>0</v>
      </c>
      <c r="AC168" s="200">
        <f t="shared" ref="AC168:AD168" si="307">1-I168</f>
        <v>0</v>
      </c>
      <c r="AD168" s="200">
        <f t="shared" si="307"/>
        <v>0</v>
      </c>
      <c r="AE168" s="199">
        <f t="shared" si="6"/>
        <v>2</v>
      </c>
      <c r="AF168" s="201">
        <f t="shared" si="281"/>
        <v>0</v>
      </c>
      <c r="AG168" s="201">
        <f t="shared" si="8"/>
        <v>1</v>
      </c>
      <c r="AH168" s="202">
        <f t="shared" si="303"/>
        <v>0</v>
      </c>
      <c r="AI168" s="205"/>
      <c r="AJ168" s="249" t="s">
        <v>70</v>
      </c>
      <c r="AK168" s="250">
        <f t="shared" ref="AK168:AL168" si="308">SUM(AO168+AM168+AQ168+AS168+AU168+AW168+AY168+BA168+BC168)</f>
        <v>1</v>
      </c>
      <c r="AL168" s="250">
        <f t="shared" si="308"/>
        <v>4</v>
      </c>
      <c r="AM168" s="275">
        <f>SUMIFS($X$2:$X879, $D$2:$D879, "Legendary", $E$2:$E879, "Classic", $F$2:F879, "Shaman")</f>
        <v>1</v>
      </c>
      <c r="AN168" s="275">
        <f>COUNTIFS($D$2:$D879, "Legendary", $E$2:$E879, "Classic", $F$2:F879, "Shaman" )</f>
        <v>1</v>
      </c>
      <c r="AO168" s="276">
        <f>SUMIFS($X$2:$X879, $D$2:$D879, "Legendary", $E$2:$E879, "Promo", $F$2:F879, "Shaman")</f>
        <v>0</v>
      </c>
      <c r="AP168" s="277">
        <f>COUNTIFS($D$2:$D879, "Legendary", $E$2:$E879, "Promo", $F$2:F879, "Shaman" )</f>
        <v>0</v>
      </c>
      <c r="AQ168" s="275">
        <f>SUMIFS($X$2:$X879, $D$2:$D879, "Legendary", $E$2:$E879, "Naxx", $F$2:F879, "Shaman")</f>
        <v>0</v>
      </c>
      <c r="AR168" s="275">
        <f>COUNTIFS($D$2:$D879, "Legendary", $E$2:$E879, "Naxx", $F$2:F879, "Shaman" )</f>
        <v>0</v>
      </c>
      <c r="AS168" s="276">
        <f>SUMIFS($X$2:$X879, $D$2:$D879, "Legendary", $E$2:$E879, "GvG", $F$2:F879, "Shaman")</f>
        <v>0</v>
      </c>
      <c r="AT168" s="277">
        <f>COUNTIFS($D$2:$D879, "Legendary", $E$2:$E879, "GvG", $F$2:F879, "Shaman" )</f>
        <v>1</v>
      </c>
      <c r="AU168" s="275">
        <f>SUMIFS($X$2:$X879, $D$2:$D879, "Legendary", $E$2:$E879, "Blackrock", $F$2:F879, "Shaman")</f>
        <v>0</v>
      </c>
      <c r="AV168" s="275">
        <f>COUNTIFS($D$2:$D879, "Legendary", $E$2:$E879, "Blackrock", $F$2:F879, "Shaman" )</f>
        <v>0</v>
      </c>
      <c r="AW168" s="275">
        <f>SUMIFS($X$2:$X879, $D$2:$D879, "Legendary", $E$2:$E879, "TGT", $F$2:F879, "Shaman")</f>
        <v>0</v>
      </c>
      <c r="AX168" s="277">
        <f>COUNTIFS($D$2:$D879, "Legendary", $E$2:$E879, "TGT", $F$2:F879, "Shaman" )</f>
        <v>1</v>
      </c>
      <c r="AY168" s="275">
        <f>SUMIFS($X$2:$X879, $D$2:$D879, "Legendary", $E$2:$E879, "LoE", $F$2:F879, "Shaman")</f>
        <v>0</v>
      </c>
      <c r="AZ168" s="277">
        <f>COUNTIFS($D$2:$D879, "Legendary", $E$2:$E879, "LoE", $F$2:F879, "Shaman" )</f>
        <v>0</v>
      </c>
      <c r="BA168" s="275">
        <f>SUMIFS($X$2:$X879, $D$2:$D879, "Legendary", $E$2:$E879, "TOG", $F$2:F879, "Shaman")</f>
        <v>0</v>
      </c>
      <c r="BB168" s="277">
        <f>COUNTIFS($D$2:$D879, "Legendary", $E$2:$E879, "TOG", $F$2:F879, "Shaman" )</f>
        <v>1</v>
      </c>
      <c r="BC168" s="275">
        <f>SUMIFS($X$2:$X879, $D$2:$D879, "Legendary", $E$2:$E879, "Adv4", $F$2:F879, "Shaman")</f>
        <v>0</v>
      </c>
      <c r="BD168" s="277">
        <f>COUNTIFS($D$2:$D879, "Legendary", $E$2:$E879, "Adv4", $F$2:F879, "Shaman" )</f>
        <v>0</v>
      </c>
    </row>
    <row r="169" spans="1:56" ht="14.25">
      <c r="A169" s="187"/>
      <c r="B169" s="240">
        <v>0</v>
      </c>
      <c r="C169" s="327" t="s">
        <v>485</v>
      </c>
      <c r="D169" s="328" t="s">
        <v>63</v>
      </c>
      <c r="E169" s="328" t="s">
        <v>77</v>
      </c>
      <c r="F169" s="328" t="s">
        <v>18</v>
      </c>
      <c r="G169" s="322">
        <v>2</v>
      </c>
      <c r="H169" s="322">
        <v>0</v>
      </c>
      <c r="I169" s="323">
        <v>0.33</v>
      </c>
      <c r="J169" s="323">
        <v>0.33</v>
      </c>
      <c r="K169" s="237" t="s">
        <v>146</v>
      </c>
      <c r="L169" s="237"/>
      <c r="M169" s="237"/>
      <c r="N169" s="237"/>
      <c r="O169" s="324" t="s">
        <v>486</v>
      </c>
      <c r="P169" s="292"/>
      <c r="Q169" s="328" t="s">
        <v>148</v>
      </c>
      <c r="R169" s="173"/>
      <c r="S169" s="195">
        <f>MATCH($D169,Reference!$J$5:$J$9,0)</f>
        <v>2</v>
      </c>
      <c r="T169" s="195">
        <f>MATCH($E169,Reference!$J$26:$J$32,0)</f>
        <v>2</v>
      </c>
      <c r="U169" s="195">
        <f>MATCH($F169,Reference!$J$45:$J$54,0)</f>
        <v>5</v>
      </c>
      <c r="V169" s="196">
        <f>MATCH($K169,Reference!$J$37:$J$39,0)</f>
        <v>2</v>
      </c>
      <c r="W169" s="197">
        <f t="shared" si="278"/>
        <v>2</v>
      </c>
      <c r="X169" s="197">
        <f t="shared" si="1"/>
        <v>1</v>
      </c>
      <c r="Y169" s="197">
        <f t="shared" si="301"/>
        <v>0</v>
      </c>
      <c r="Z169" s="197">
        <f t="shared" si="279"/>
        <v>2</v>
      </c>
      <c r="AA169" s="199" t="b">
        <f t="shared" si="3"/>
        <v>0</v>
      </c>
      <c r="AB169" s="199" t="b">
        <f t="shared" si="4"/>
        <v>0</v>
      </c>
      <c r="AC169" s="200">
        <f t="shared" ref="AC169:AD169" si="309">1-I169</f>
        <v>0.66999999999999993</v>
      </c>
      <c r="AD169" s="200">
        <f t="shared" si="309"/>
        <v>0.66999999999999993</v>
      </c>
      <c r="AE169" s="199">
        <f t="shared" si="6"/>
        <v>2</v>
      </c>
      <c r="AF169" s="201">
        <f t="shared" si="281"/>
        <v>0</v>
      </c>
      <c r="AG169" s="201">
        <f t="shared" si="8"/>
        <v>1</v>
      </c>
      <c r="AH169" s="202">
        <f t="shared" si="303"/>
        <v>0</v>
      </c>
      <c r="AI169" s="205"/>
      <c r="AJ169" s="253" t="s">
        <v>240</v>
      </c>
      <c r="AK169" s="237">
        <f t="shared" ref="AK169:AL169" si="310">SUM(AO169+AM169+AQ169+AS169+AU169+AW169+AY169+BA169+BC169)</f>
        <v>0</v>
      </c>
      <c r="AL169" s="238">
        <f t="shared" si="310"/>
        <v>0</v>
      </c>
      <c r="AM169" s="229"/>
      <c r="AN169" s="230"/>
      <c r="AO169" s="254"/>
      <c r="AP169" s="255"/>
      <c r="AQ169" s="229"/>
      <c r="AR169" s="230"/>
      <c r="AS169" s="254"/>
      <c r="AT169" s="255"/>
      <c r="AU169" s="229"/>
      <c r="AV169" s="230"/>
      <c r="AW169" s="229"/>
      <c r="AX169" s="230"/>
      <c r="AY169" s="229"/>
      <c r="AZ169" s="230"/>
      <c r="BA169" s="229"/>
      <c r="BB169" s="230"/>
      <c r="BC169" s="229"/>
      <c r="BD169" s="230"/>
    </row>
    <row r="170" spans="1:56" ht="14.25">
      <c r="A170" s="187"/>
      <c r="B170" s="187">
        <v>0</v>
      </c>
      <c r="C170" s="320" t="s">
        <v>487</v>
      </c>
      <c r="D170" s="321" t="s">
        <v>63</v>
      </c>
      <c r="E170" s="321" t="s">
        <v>77</v>
      </c>
      <c r="F170" s="321" t="s">
        <v>115</v>
      </c>
      <c r="G170" s="325">
        <v>0</v>
      </c>
      <c r="H170" s="325">
        <v>0</v>
      </c>
      <c r="I170" s="323">
        <v>0</v>
      </c>
      <c r="J170" s="323">
        <v>0</v>
      </c>
      <c r="K170" s="229" t="s">
        <v>182</v>
      </c>
      <c r="L170" s="229"/>
      <c r="M170" s="229">
        <v>1</v>
      </c>
      <c r="N170" s="229">
        <v>1</v>
      </c>
      <c r="O170" s="326"/>
      <c r="P170" s="289"/>
      <c r="Q170" s="321" t="s">
        <v>148</v>
      </c>
      <c r="R170" s="173"/>
      <c r="S170" s="195">
        <f>MATCH($D170,Reference!$J$5:$J$9,0)</f>
        <v>2</v>
      </c>
      <c r="T170" s="195">
        <f>MATCH($E170,Reference!$J$26:$J$32,0)</f>
        <v>2</v>
      </c>
      <c r="U170" s="195">
        <f>MATCH($F170,Reference!$J$45:$J$54,0)</f>
        <v>10</v>
      </c>
      <c r="V170" s="196">
        <f>MATCH($K170,Reference!$J$37:$J$39,0)</f>
        <v>3</v>
      </c>
      <c r="W170" s="197">
        <f t="shared" si="278"/>
        <v>0</v>
      </c>
      <c r="X170" s="197">
        <f t="shared" si="1"/>
        <v>0</v>
      </c>
      <c r="Y170" s="197">
        <f t="shared" si="301"/>
        <v>0</v>
      </c>
      <c r="Z170" s="197">
        <f t="shared" si="279"/>
        <v>0</v>
      </c>
      <c r="AA170" s="199" t="b">
        <f t="shared" si="3"/>
        <v>1</v>
      </c>
      <c r="AB170" s="199" t="b">
        <f t="shared" si="4"/>
        <v>1</v>
      </c>
      <c r="AC170" s="200">
        <f t="shared" ref="AC170:AD170" si="311">1-I170</f>
        <v>1</v>
      </c>
      <c r="AD170" s="200">
        <f t="shared" si="311"/>
        <v>1</v>
      </c>
      <c r="AE170" s="199">
        <f t="shared" si="6"/>
        <v>2</v>
      </c>
      <c r="AF170" s="201">
        <f t="shared" si="281"/>
        <v>0</v>
      </c>
      <c r="AG170" s="201">
        <f t="shared" si="8"/>
        <v>0</v>
      </c>
      <c r="AH170" s="202">
        <f t="shared" si="303"/>
        <v>0</v>
      </c>
      <c r="AI170" s="205"/>
      <c r="AJ170" s="231" t="s">
        <v>58</v>
      </c>
      <c r="AK170" s="232">
        <f t="shared" ref="AK170:AL170" si="312">SUM(AO170+AM170+AQ170+AS170+AU170+AW170+AY170+BA170+BC170)</f>
        <v>20</v>
      </c>
      <c r="AL170" s="232">
        <f t="shared" si="312"/>
        <v>20</v>
      </c>
      <c r="AM170" s="191">
        <f>SUMIFS($W$2:$W879, $E$2:$E879, "Basic", $F$2:F879, "Shaman")</f>
        <v>20</v>
      </c>
      <c r="AN170" s="232">
        <f>COUNTIFS($E$2:$E879, "Basic", $F$2:F879, "Shaman" )*2</f>
        <v>20</v>
      </c>
      <c r="AO170" s="234"/>
      <c r="AP170" s="235"/>
      <c r="AQ170" s="191"/>
      <c r="AR170" s="191"/>
      <c r="AS170" s="234"/>
      <c r="AT170" s="235"/>
      <c r="AU170" s="191"/>
      <c r="AV170" s="191"/>
      <c r="AW170" s="191"/>
      <c r="AX170" s="235"/>
      <c r="AY170" s="191"/>
      <c r="AZ170" s="235"/>
      <c r="BA170" s="191"/>
      <c r="BB170" s="235"/>
      <c r="BC170" s="191"/>
      <c r="BD170" s="235"/>
    </row>
    <row r="171" spans="1:56" ht="14.25">
      <c r="A171" s="209"/>
      <c r="B171" s="187">
        <v>1</v>
      </c>
      <c r="C171" s="320" t="s">
        <v>488</v>
      </c>
      <c r="D171" s="321" t="s">
        <v>63</v>
      </c>
      <c r="E171" s="321" t="s">
        <v>77</v>
      </c>
      <c r="F171" s="321" t="s">
        <v>115</v>
      </c>
      <c r="G171" s="325">
        <v>2</v>
      </c>
      <c r="H171" s="325">
        <v>0</v>
      </c>
      <c r="I171" s="323">
        <v>1</v>
      </c>
      <c r="J171" s="323">
        <v>1</v>
      </c>
      <c r="K171" s="229" t="s">
        <v>182</v>
      </c>
      <c r="L171" s="229"/>
      <c r="M171" s="229">
        <v>2</v>
      </c>
      <c r="N171" s="229">
        <v>1</v>
      </c>
      <c r="O171" s="326" t="s">
        <v>489</v>
      </c>
      <c r="P171" s="289" t="s">
        <v>184</v>
      </c>
      <c r="Q171" s="321" t="s">
        <v>148</v>
      </c>
      <c r="R171" s="173"/>
      <c r="S171" s="195">
        <f>MATCH($D171,Reference!$J$5:$J$9,0)</f>
        <v>2</v>
      </c>
      <c r="T171" s="195">
        <f>MATCH($E171,Reference!$J$26:$J$32,0)</f>
        <v>2</v>
      </c>
      <c r="U171" s="195">
        <f>MATCH($F171,Reference!$J$45:$J$54,0)</f>
        <v>10</v>
      </c>
      <c r="V171" s="196">
        <f>MATCH($K171,Reference!$J$37:$J$39,0)</f>
        <v>3</v>
      </c>
      <c r="W171" s="197">
        <f t="shared" si="278"/>
        <v>2</v>
      </c>
      <c r="X171" s="197">
        <f t="shared" si="1"/>
        <v>1</v>
      </c>
      <c r="Y171" s="197">
        <f t="shared" si="301"/>
        <v>0</v>
      </c>
      <c r="Z171" s="197">
        <f t="shared" si="279"/>
        <v>2</v>
      </c>
      <c r="AA171" s="199" t="b">
        <f t="shared" si="3"/>
        <v>0</v>
      </c>
      <c r="AB171" s="199" t="b">
        <f t="shared" si="4"/>
        <v>0</v>
      </c>
      <c r="AC171" s="200">
        <f t="shared" ref="AC171:AD171" si="313">1-I171</f>
        <v>0</v>
      </c>
      <c r="AD171" s="200">
        <f t="shared" si="313"/>
        <v>0</v>
      </c>
      <c r="AE171" s="199">
        <f t="shared" si="6"/>
        <v>2</v>
      </c>
      <c r="AF171" s="201">
        <f t="shared" si="281"/>
        <v>0</v>
      </c>
      <c r="AG171" s="201">
        <f t="shared" si="8"/>
        <v>1</v>
      </c>
      <c r="AH171" s="202">
        <f t="shared" si="303"/>
        <v>0</v>
      </c>
      <c r="AI171" s="205"/>
      <c r="AJ171" s="256" t="s">
        <v>63</v>
      </c>
      <c r="AK171" s="237">
        <f t="shared" ref="AK171:AL171" si="314">SUM(AO171+AM171+AQ171+AS171+AU171+AW171+AY171+BA171+BC171)</f>
        <v>36</v>
      </c>
      <c r="AL171" s="237">
        <f t="shared" si="314"/>
        <v>36</v>
      </c>
      <c r="AM171" s="229">
        <f>SUMIFS($W$2:$W879, $D$2:$D879, "Common", $E$2:$E879, "Classic", $F$2:F879, "Shaman")</f>
        <v>12</v>
      </c>
      <c r="AN171" s="237">
        <f>COUNTIFS($D$2:$D879, "Common", $E$2:$E879, "Classic", $F$2:F879, "Shaman" )*2</f>
        <v>12</v>
      </c>
      <c r="AO171" s="268">
        <f>SUMIFS($W$2:$W879, $D$2:$D879, "Common", $E$2:$E879, "Promo", $F$2:F879, "Shaman")</f>
        <v>0</v>
      </c>
      <c r="AP171" s="238">
        <f>COUNTIFS($D$2:$D879, "Common", $E$2:$E879, "Promo", $F$2:F879, "Shaman" )*2</f>
        <v>0</v>
      </c>
      <c r="AQ171" s="229">
        <f>SUMIFS($W$2:$W879, $D$2:$D879, "Common", $E$2:$E879, "Naxx", $F$2:F879, "Shaman")</f>
        <v>2</v>
      </c>
      <c r="AR171" s="237">
        <f>COUNTIFS($D$2:$D879, "Common", $E$2:$E879, "Naxx", $F$2:F879, "Shaman" )*2</f>
        <v>2</v>
      </c>
      <c r="AS171" s="268">
        <f>SUMIFS($W$2:$W879, $D$2:$D879, "Common", $E$2:$E879, "GvG", $F$2:F879, "Shaman")</f>
        <v>4</v>
      </c>
      <c r="AT171" s="238">
        <f>COUNTIFS($D$2:$D879, "Common", $E$2:$E879, "GvG", $F$2:F879, "Shaman" )*2</f>
        <v>4</v>
      </c>
      <c r="AU171" s="229">
        <f>SUMIFS($W$2:$W879, $D$2:$D879, "Common", $E$2:$E879, "Blackrock", $F$2:F879, "Shaman")</f>
        <v>2</v>
      </c>
      <c r="AV171" s="237">
        <f>COUNTIFS($D$2:$D879, "Common", $E$2:$E879, "Blackrock", $F$2:F879, "Shaman" )*2</f>
        <v>2</v>
      </c>
      <c r="AW171" s="229">
        <f>SUMIFS($W$2:$W879, $D$2:$D879, "Common", $E$2:$E879, "TGT", $F$2:F879, "Shaman")</f>
        <v>6</v>
      </c>
      <c r="AX171" s="238">
        <f>COUNTIFS($D$2:$D879, "Common", $E$2:$E879, "TGT", $F$2:F879, "Shaman" )*2</f>
        <v>6</v>
      </c>
      <c r="AY171" s="229">
        <f>SUMIFS($W$2:$W879, $D$2:$D879, "Common", $E$2:$E879, "LoE", $F$2:F879, "Shaman")</f>
        <v>4</v>
      </c>
      <c r="AZ171" s="238">
        <f>COUNTIFS($D$2:$D879, "Common", $E$2:$E879, "LoE", $F$2:F879, "Shaman" )*2</f>
        <v>4</v>
      </c>
      <c r="BA171" s="229">
        <f>SUMIFS($W$2:$W879, $D$2:$D879, "Common", $E$2:$E879, "TOG", $F$2:F879, "Shaman")</f>
        <v>6</v>
      </c>
      <c r="BB171" s="238">
        <f>COUNTIFS($D$2:$D879, "Common", $E$2:$E879, "TOG", $F$2:F879, "Shaman" )*2</f>
        <v>6</v>
      </c>
      <c r="BC171" s="229">
        <f>SUMIFS($W$2:$W879, $D$2:$D879, "Common", $E$2:$E879, "Adv4", $F$2:F879, "Shaman")</f>
        <v>0</v>
      </c>
      <c r="BD171" s="238">
        <f>COUNTIFS($D$2:$D879, "Common", $E$2:$E879, "Adv4", $F$2:F879, "Shaman" )*2</f>
        <v>0</v>
      </c>
    </row>
    <row r="172" spans="1:56" ht="14.25">
      <c r="A172" s="206"/>
      <c r="B172" s="187">
        <v>1</v>
      </c>
      <c r="C172" s="320" t="s">
        <v>490</v>
      </c>
      <c r="D172" s="321" t="s">
        <v>63</v>
      </c>
      <c r="E172" s="321" t="s">
        <v>77</v>
      </c>
      <c r="F172" s="321" t="s">
        <v>115</v>
      </c>
      <c r="G172" s="325">
        <v>2</v>
      </c>
      <c r="H172" s="325">
        <v>0</v>
      </c>
      <c r="I172" s="323">
        <v>1</v>
      </c>
      <c r="J172" s="323">
        <v>1</v>
      </c>
      <c r="K172" s="229" t="s">
        <v>182</v>
      </c>
      <c r="L172" s="229"/>
      <c r="M172" s="229">
        <v>1</v>
      </c>
      <c r="N172" s="229">
        <v>1</v>
      </c>
      <c r="O172" s="326" t="s">
        <v>491</v>
      </c>
      <c r="P172" s="289" t="s">
        <v>492</v>
      </c>
      <c r="Q172" s="321" t="s">
        <v>148</v>
      </c>
      <c r="R172" s="278"/>
      <c r="S172" s="195">
        <f>MATCH($D172,Reference!$J$5:$J$9,0)</f>
        <v>2</v>
      </c>
      <c r="T172" s="195">
        <f>MATCH($E172,Reference!$J$26:$J$32,0)</f>
        <v>2</v>
      </c>
      <c r="U172" s="195">
        <f>MATCH($F172,Reference!$J$45:$J$54,0)</f>
        <v>10</v>
      </c>
      <c r="V172" s="196">
        <f>MATCH($K172,Reference!$J$37:$J$39,0)</f>
        <v>3</v>
      </c>
      <c r="W172" s="197">
        <f t="shared" si="278"/>
        <v>2</v>
      </c>
      <c r="X172" s="197">
        <f t="shared" si="1"/>
        <v>1</v>
      </c>
      <c r="Y172" s="197">
        <f t="shared" si="301"/>
        <v>0</v>
      </c>
      <c r="Z172" s="197">
        <f t="shared" si="279"/>
        <v>2</v>
      </c>
      <c r="AA172" s="199" t="b">
        <f t="shared" si="3"/>
        <v>0</v>
      </c>
      <c r="AB172" s="199" t="b">
        <f t="shared" si="4"/>
        <v>0</v>
      </c>
      <c r="AC172" s="200">
        <f t="shared" ref="AC172:AD172" si="315">1-I172</f>
        <v>0</v>
      </c>
      <c r="AD172" s="200">
        <f t="shared" si="315"/>
        <v>0</v>
      </c>
      <c r="AE172" s="199">
        <f t="shared" si="6"/>
        <v>2</v>
      </c>
      <c r="AF172" s="201">
        <f t="shared" si="281"/>
        <v>0</v>
      </c>
      <c r="AG172" s="201">
        <f t="shared" si="8"/>
        <v>1</v>
      </c>
      <c r="AH172" s="202">
        <f t="shared" si="303"/>
        <v>0</v>
      </c>
      <c r="AI172" s="205"/>
      <c r="AJ172" s="257" t="s">
        <v>68</v>
      </c>
      <c r="AK172" s="242">
        <f t="shared" ref="AK172:AL172" si="316">SUM(AO172+AM172+AQ172+AS172+AU172+AW172+AY172+BA172+BC172)</f>
        <v>27</v>
      </c>
      <c r="AL172" s="242">
        <f t="shared" si="316"/>
        <v>32</v>
      </c>
      <c r="AM172" s="269">
        <f>SUMIFS($W$2:$W879, $D$2:$D879, "Rare", $E$2:$E879, "Classic", $F$2:F879, "Shaman")</f>
        <v>7</v>
      </c>
      <c r="AN172" s="242">
        <f>COUNTIFS($D$2:$D879, "Rare", $E$2:$E879, "Classic", $F$2:F879, "Shaman" )*2</f>
        <v>10</v>
      </c>
      <c r="AO172" s="270">
        <f>SUMIFS($W$2:$W879, $D$2:$D879, "Rare", $E$2:$E879, "Promo", $F$2:F879, "Shaman")</f>
        <v>0</v>
      </c>
      <c r="AP172" s="243">
        <f>COUNTIFS($D$2:$D879, "Rare", $E$2:$E879, "Promo", $F$2:F879, "Shaman" )*2</f>
        <v>0</v>
      </c>
      <c r="AQ172" s="269">
        <f>SUMIFS($W$2:$W879, $D$2:$D879, "Rare", $E$2:$E879, "Naxx", $F$2:F879, "Shaman")</f>
        <v>0</v>
      </c>
      <c r="AR172" s="242">
        <f>COUNTIFS($D$2:$D879, "Rare", $E$2:$E879, "Naxx", $F$2:F879, "Shaman" )*2</f>
        <v>0</v>
      </c>
      <c r="AS172" s="270">
        <f>SUMIFS($W$2:$W879, $D$2:$D879, "Rare", $E$2:$E879, "GvG", $F$2:F879, "Shaman")</f>
        <v>4</v>
      </c>
      <c r="AT172" s="243">
        <f>COUNTIFS($D$2:$D879, "Rare", $E$2:$E879, "GvG", $F$2:F879, "Shaman" )*2</f>
        <v>6</v>
      </c>
      <c r="AU172" s="269">
        <f>SUMIFS($W$2:$W879, $D$2:$D879, "Rare", $E$2:$E879, "Blackrock", $F$2:F879, "Shaman")</f>
        <v>2</v>
      </c>
      <c r="AV172" s="242">
        <f>COUNTIFS($D$2:$D879, "Rare", $E$2:$E879, "Blackrock", $F$2:F879, "Shaman" )*2</f>
        <v>2</v>
      </c>
      <c r="AW172" s="269">
        <f>SUMIFS($W$2:$W879, $D$2:$D879, "Rare", $E$2:$E879, "TGT", $F$2:F879, "Shaman")</f>
        <v>6</v>
      </c>
      <c r="AX172" s="243">
        <f>COUNTIFS($D$2:$D879, "Rare", $E$2:$E879, "TGT", $F$2:F879, "Shaman" )*2</f>
        <v>6</v>
      </c>
      <c r="AY172" s="269">
        <f>SUMIFS($W$2:$W879, $D$2:$D879, "Rare", $E$2:$E879, "LoE", $F$2:F879, "Shaman")</f>
        <v>2</v>
      </c>
      <c r="AZ172" s="243">
        <f>COUNTIFS($D$2:$D879, "Rare", $E$2:$E879, "LoE", $F$2:F879, "Shaman" )*2</f>
        <v>2</v>
      </c>
      <c r="BA172" s="269">
        <f>SUMIFS($W$2:$W879, $D$2:$D879, "Rare", $E$2:$E879, "TOG", $F$2:F879, "Shaman")</f>
        <v>6</v>
      </c>
      <c r="BB172" s="243">
        <f>COUNTIFS($D$2:$D879, "Rare", $E$2:$E879, "TOG", $F$2:F879, "Shaman" )*2</f>
        <v>6</v>
      </c>
      <c r="BC172" s="269">
        <f>SUMIFS($W$2:$W879, $D$2:$D879, "Rare", $E$2:$E879, "Adv4", $F$2:F879, "Shaman")</f>
        <v>0</v>
      </c>
      <c r="BD172" s="243">
        <f>COUNTIFS($D$2:$D879, "Rare", $E$2:$E879, "Adv4", $F$2:F879, "Shaman" )*2</f>
        <v>0</v>
      </c>
    </row>
    <row r="173" spans="1:56" ht="14.25">
      <c r="A173" s="240"/>
      <c r="B173" s="240">
        <v>1</v>
      </c>
      <c r="C173" s="327" t="s">
        <v>493</v>
      </c>
      <c r="D173" s="328" t="s">
        <v>63</v>
      </c>
      <c r="E173" s="328" t="s">
        <v>77</v>
      </c>
      <c r="F173" s="328" t="s">
        <v>16</v>
      </c>
      <c r="G173" s="322">
        <v>2</v>
      </c>
      <c r="H173" s="322">
        <v>0</v>
      </c>
      <c r="I173" s="323">
        <v>0.33</v>
      </c>
      <c r="J173" s="323">
        <v>0.33</v>
      </c>
      <c r="K173" s="237" t="s">
        <v>146</v>
      </c>
      <c r="L173" s="237"/>
      <c r="M173" s="237"/>
      <c r="N173" s="237"/>
      <c r="O173" s="324" t="s">
        <v>494</v>
      </c>
      <c r="P173" s="292"/>
      <c r="Q173" s="328" t="s">
        <v>148</v>
      </c>
      <c r="R173" s="173"/>
      <c r="S173" s="195">
        <f>MATCH($D173,Reference!$J$5:$J$9,0)</f>
        <v>2</v>
      </c>
      <c r="T173" s="195">
        <f>MATCH($E173,Reference!$J$26:$J$32,0)</f>
        <v>2</v>
      </c>
      <c r="U173" s="195">
        <f>MATCH($F173,Reference!$J$45:$J$54,0)</f>
        <v>4</v>
      </c>
      <c r="V173" s="196">
        <f>MATCH($K173,Reference!$J$37:$J$39,0)</f>
        <v>2</v>
      </c>
      <c r="W173" s="197">
        <f t="shared" si="278"/>
        <v>2</v>
      </c>
      <c r="X173" s="197">
        <f t="shared" si="1"/>
        <v>1</v>
      </c>
      <c r="Y173" s="197">
        <f t="shared" si="301"/>
        <v>0</v>
      </c>
      <c r="Z173" s="197">
        <f t="shared" si="279"/>
        <v>2</v>
      </c>
      <c r="AA173" s="199" t="b">
        <f t="shared" si="3"/>
        <v>0</v>
      </c>
      <c r="AB173" s="199" t="b">
        <f t="shared" si="4"/>
        <v>0</v>
      </c>
      <c r="AC173" s="200">
        <f t="shared" ref="AC173:AD173" si="317">1-I173</f>
        <v>0.66999999999999993</v>
      </c>
      <c r="AD173" s="200">
        <f t="shared" si="317"/>
        <v>0.66999999999999993</v>
      </c>
      <c r="AE173" s="199">
        <f t="shared" si="6"/>
        <v>2</v>
      </c>
      <c r="AF173" s="201">
        <f t="shared" si="281"/>
        <v>0</v>
      </c>
      <c r="AG173" s="201">
        <f t="shared" si="8"/>
        <v>1</v>
      </c>
      <c r="AH173" s="202">
        <f t="shared" si="303"/>
        <v>0</v>
      </c>
      <c r="AI173" s="205"/>
      <c r="AJ173" s="258" t="s">
        <v>69</v>
      </c>
      <c r="AK173" s="246">
        <f t="shared" ref="AK173:AL173" si="318">SUM(AO173+AM173+AQ173+AS173+AU173+AW173+AY173+BA173+BC173)</f>
        <v>9</v>
      </c>
      <c r="AL173" s="246">
        <f t="shared" si="318"/>
        <v>18</v>
      </c>
      <c r="AM173" s="272">
        <f>SUMIFS($W$2:$W879, $D$2:$D879, "Epic", $E$2:$E879, "Classic", $F$2:F879, "Shaman")</f>
        <v>3</v>
      </c>
      <c r="AN173" s="246">
        <f>COUNTIFS($D$2:$D879, "Epic", $E$2:$E879, "Classic", $F$2:F879, "Shaman" )*2</f>
        <v>6</v>
      </c>
      <c r="AO173" s="273">
        <f>SUMIFS($W$2:$W879, $D$2:$D879, "Epic", $E$2:$E879, "Promo", $F$2:F879, "Shaman")</f>
        <v>0</v>
      </c>
      <c r="AP173" s="247">
        <f>COUNTIFS($D$2:$D879, "Epic", $E$2:$E879, "Promo", $F$2:F879, "Shaman" )*2</f>
        <v>0</v>
      </c>
      <c r="AQ173" s="272">
        <f>SUMIFS($W$2:$W879, $D$2:$D879, "Epic", $E$2:$E879, "Naxx", $F$2:F879, "Shaman")</f>
        <v>0</v>
      </c>
      <c r="AR173" s="246">
        <f>COUNTIFS($D$2:$D879, "Epic", $E$2:$E879, "Naxx", $F$2:F879, "Shaman" )*2</f>
        <v>0</v>
      </c>
      <c r="AS173" s="273">
        <f>SUMIFS($W$2:$W879, $D$2:$D879, "Epic", $E$2:$E879, "GvG", $F$2:F879, "Shaman")</f>
        <v>0</v>
      </c>
      <c r="AT173" s="247">
        <f>COUNTIFS($D$2:$D879, "Epic", $E$2:$E879, "GvG", $F$2:F879, "Shaman" )*2</f>
        <v>4</v>
      </c>
      <c r="AU173" s="272">
        <f>SUMIFS($W$2:$W879, $D$2:$D879, "Epic", $E$2:$E879, "Blackrock", $F$2:F879, "Shaman")</f>
        <v>0</v>
      </c>
      <c r="AV173" s="246">
        <f>COUNTIFS($D$2:$D879, "Epic", $E$2:$E879, "Blackrock", $F$2:F879, "Shaman" )*2</f>
        <v>0</v>
      </c>
      <c r="AW173" s="272">
        <f>SUMIFS($W$2:$W879, $D$2:$D879, "Epic", $E$2:$E879, "TGT", $F$2:F879, "Shaman")</f>
        <v>2</v>
      </c>
      <c r="AX173" s="247">
        <f>COUNTIFS($D$2:$D879, "Epic", $E$2:$E879, "TGT", $F$2:F879, "Shaman" )*2</f>
        <v>4</v>
      </c>
      <c r="AY173" s="272">
        <f>SUMIFS($W$2:$W879, $D$2:$D879, "Epic", $E$2:$E879, "LoE", $F$2:F879, "Shaman")</f>
        <v>0</v>
      </c>
      <c r="AZ173" s="247">
        <f>COUNTIFS($D$2:$D879, "Epic", $E$2:$E879, "LoE", $F$2:F879, "Shaman" )*2</f>
        <v>0</v>
      </c>
      <c r="BA173" s="272">
        <f>SUMIFS($W$2:$W879, $D$2:$D879, "Epic", $E$2:$E879, "TOG", $F$2:F879, "Shaman")</f>
        <v>4</v>
      </c>
      <c r="BB173" s="247">
        <f>COUNTIFS($D$2:$D879, "Epic", $E$2:$E879, "TOG", $F$2:F879, "Shaman" )*2</f>
        <v>4</v>
      </c>
      <c r="BC173" s="272">
        <f>SUMIFS($W$2:$W879, $D$2:$D879, "Epic", $E$2:$E879, "Adv4", $F$2:F879, "Shaman")</f>
        <v>0</v>
      </c>
      <c r="BD173" s="247">
        <f>COUNTIFS($D$2:$D879, "Epic", $E$2:$E879, "Adv4", $F$2:F879, "Shaman" )*2</f>
        <v>0</v>
      </c>
    </row>
    <row r="174" spans="1:56" ht="14.25">
      <c r="A174" s="187"/>
      <c r="B174" s="240">
        <v>1</v>
      </c>
      <c r="C174" s="327" t="s">
        <v>495</v>
      </c>
      <c r="D174" s="328" t="s">
        <v>63</v>
      </c>
      <c r="E174" s="328" t="s">
        <v>77</v>
      </c>
      <c r="F174" s="328" t="s">
        <v>25</v>
      </c>
      <c r="G174" s="322">
        <v>2</v>
      </c>
      <c r="H174" s="322">
        <v>0</v>
      </c>
      <c r="I174" s="323">
        <v>0</v>
      </c>
      <c r="J174" s="323">
        <v>0</v>
      </c>
      <c r="K174" s="237" t="s">
        <v>182</v>
      </c>
      <c r="L174" s="237" t="s">
        <v>239</v>
      </c>
      <c r="M174" s="237">
        <v>0</v>
      </c>
      <c r="N174" s="237">
        <v>1</v>
      </c>
      <c r="O174" s="324" t="s">
        <v>496</v>
      </c>
      <c r="P174" s="292" t="s">
        <v>497</v>
      </c>
      <c r="Q174" s="328" t="s">
        <v>148</v>
      </c>
      <c r="R174" s="173"/>
      <c r="S174" s="195">
        <f>MATCH($D174,Reference!$J$5:$J$9,0)</f>
        <v>2</v>
      </c>
      <c r="T174" s="195">
        <f>MATCH($E174,Reference!$J$26:$J$32,0)</f>
        <v>2</v>
      </c>
      <c r="U174" s="195">
        <f>MATCH($F174,Reference!$J$45:$J$54,0)</f>
        <v>8</v>
      </c>
      <c r="V174" s="196">
        <f>MATCH($K174,Reference!$J$37:$J$39,0)</f>
        <v>3</v>
      </c>
      <c r="W174" s="197">
        <f t="shared" si="278"/>
        <v>2</v>
      </c>
      <c r="X174" s="197">
        <f t="shared" si="1"/>
        <v>1</v>
      </c>
      <c r="Y174" s="197">
        <f t="shared" si="301"/>
        <v>0</v>
      </c>
      <c r="Z174" s="197">
        <f t="shared" si="279"/>
        <v>2</v>
      </c>
      <c r="AA174" s="199" t="b">
        <f t="shared" si="3"/>
        <v>0</v>
      </c>
      <c r="AB174" s="199" t="b">
        <f t="shared" si="4"/>
        <v>0</v>
      </c>
      <c r="AC174" s="200">
        <f t="shared" ref="AC174:AD174" si="319">1-I174</f>
        <v>1</v>
      </c>
      <c r="AD174" s="200">
        <f t="shared" si="319"/>
        <v>1</v>
      </c>
      <c r="AE174" s="199">
        <f t="shared" si="6"/>
        <v>2</v>
      </c>
      <c r="AF174" s="201">
        <f t="shared" si="281"/>
        <v>0</v>
      </c>
      <c r="AG174" s="201">
        <f t="shared" si="8"/>
        <v>1</v>
      </c>
      <c r="AH174" s="202">
        <f t="shared" si="303"/>
        <v>0</v>
      </c>
      <c r="AI174" s="205"/>
      <c r="AJ174" s="249" t="s">
        <v>70</v>
      </c>
      <c r="AK174" s="250">
        <f t="shared" ref="AK174:AL174" si="320">SUM(AO174+AM174+AQ174+AS174+AU174+AW174+AY174+BA174+BC174)</f>
        <v>1</v>
      </c>
      <c r="AL174" s="250">
        <f t="shared" si="320"/>
        <v>4</v>
      </c>
      <c r="AM174" s="275">
        <f>SUMIFS($W$2:$W879, $D$2:$D879, "Legendary", $E$2:$E879, "Classic", $F$2:F879, "Shaman")</f>
        <v>1</v>
      </c>
      <c r="AN174" s="275">
        <f>COUNTIFS($D$2:$D879, "Legendary", $E$2:$E879, "Classic", $F$2:F879, "Shaman" )</f>
        <v>1</v>
      </c>
      <c r="AO174" s="276">
        <f>SUMIFS($W$2:$W879, $D$2:$D879, "Legendary", $E$2:$E879, "Promo", $F$2:F879, "Shaman")</f>
        <v>0</v>
      </c>
      <c r="AP174" s="277">
        <f>COUNTIFS($D$2:$D879, "Legendary", $E$2:$E879, "Promo", $F$2:F879, "Shaman" )</f>
        <v>0</v>
      </c>
      <c r="AQ174" s="275">
        <f>SUMIFS($W$2:$W879, $D$2:$D879, "Legendary", $E$2:$E879, "Naxx", $F$2:F879, "Shaman")</f>
        <v>0</v>
      </c>
      <c r="AR174" s="275">
        <f>COUNTIFS($D$2:$D879, "Legendary", $E$2:$E879, "Naxx", $F$2:F879, "Shaman" )</f>
        <v>0</v>
      </c>
      <c r="AS174" s="276">
        <f>SUMIFS($W$2:$W879, $D$2:$D879, "Legendary", $E$2:$E879, "GvG", $F$2:F879, "Shaman")</f>
        <v>0</v>
      </c>
      <c r="AT174" s="277">
        <f>COUNTIFS($D$2:$D879, "Legendary", $E$2:$E879, "GvG", $F$2:F879, "Shaman" )</f>
        <v>1</v>
      </c>
      <c r="AU174" s="275">
        <f>SUMIFS($W$2:$W879, $D$2:$D879, "Legendary", $E$2:$E879, "Blackrock", $F$2:F879, "Shaman")</f>
        <v>0</v>
      </c>
      <c r="AV174" s="275">
        <f>COUNTIFS($D$2:$D879, "Legendary", $E$2:$E879, "Blackrock", $F$2:F879, "Shaman" )</f>
        <v>0</v>
      </c>
      <c r="AW174" s="275">
        <f>SUMIFS($W$2:$W879, $D$2:$D879, "Legendary", $E$2:$E879, "TGT", $F$2:F879, "Shaman")</f>
        <v>0</v>
      </c>
      <c r="AX174" s="277">
        <f>COUNTIFS($D$2:$D879, "Legendary", $E$2:$E879, "TGT", $F$2:F879, "Shaman" )</f>
        <v>1</v>
      </c>
      <c r="AY174" s="275">
        <f>SUMIFS($W$2:$W879, $D$2:$D879, "Legendary", $E$2:$E879, "LoE", $F$2:F879, "Shaman")</f>
        <v>0</v>
      </c>
      <c r="AZ174" s="277">
        <f>COUNTIFS($D$2:$D879, "Legendary", $E$2:$E879, "LoE", $F$2:F879, "Shaman" )</f>
        <v>0</v>
      </c>
      <c r="BA174" s="275">
        <f>SUMIFS($W$2:$W879, $D$2:$D879, "Legendary", $E$2:$E879, "TOG", $F$2:F879, "Shaman")</f>
        <v>0</v>
      </c>
      <c r="BB174" s="277">
        <f>COUNTIFS($D$2:$D879, "Legendary", $E$2:$E879, "TOG", $F$2:F879, "Shaman" )</f>
        <v>1</v>
      </c>
      <c r="BC174" s="275">
        <f>SUMIFS($W$2:$W879, $D$2:$D879, "Legendary", $E$2:$E879, "Adv4", $F$2:F879, "Shaman")</f>
        <v>0</v>
      </c>
      <c r="BD174" s="251">
        <f>COUNTIFS($D$2:$D879, "Legendary", $E$2:$E879, "Adv4", $F$2:F879, "Shaman" )*2</f>
        <v>0</v>
      </c>
    </row>
    <row r="175" spans="1:56" ht="14.25">
      <c r="A175" s="209"/>
      <c r="B175" s="240">
        <v>1</v>
      </c>
      <c r="C175" s="327" t="s">
        <v>498</v>
      </c>
      <c r="D175" s="328" t="s">
        <v>63</v>
      </c>
      <c r="E175" s="328" t="s">
        <v>77</v>
      </c>
      <c r="F175" s="328" t="s">
        <v>20</v>
      </c>
      <c r="G175" s="322">
        <v>2</v>
      </c>
      <c r="H175" s="322">
        <v>0</v>
      </c>
      <c r="I175" s="323">
        <v>1</v>
      </c>
      <c r="J175" s="323">
        <v>1</v>
      </c>
      <c r="K175" s="237" t="s">
        <v>146</v>
      </c>
      <c r="L175" s="237"/>
      <c r="M175" s="237"/>
      <c r="N175" s="237"/>
      <c r="O175" s="324" t="s">
        <v>499</v>
      </c>
      <c r="P175" s="292"/>
      <c r="Q175" s="328" t="s">
        <v>148</v>
      </c>
      <c r="R175" s="173"/>
      <c r="S175" s="195">
        <f>MATCH($D175,Reference!$J$5:$J$9,0)</f>
        <v>2</v>
      </c>
      <c r="T175" s="195">
        <f>MATCH($E175,Reference!$J$26:$J$32,0)</f>
        <v>2</v>
      </c>
      <c r="U175" s="195">
        <f>MATCH($F175,Reference!$J$45:$J$54,0)</f>
        <v>6</v>
      </c>
      <c r="V175" s="196">
        <f>MATCH($K175,Reference!$J$37:$J$39,0)</f>
        <v>2</v>
      </c>
      <c r="W175" s="197">
        <f t="shared" si="278"/>
        <v>2</v>
      </c>
      <c r="X175" s="197">
        <f t="shared" si="1"/>
        <v>1</v>
      </c>
      <c r="Y175" s="197">
        <f t="shared" si="301"/>
        <v>0</v>
      </c>
      <c r="Z175" s="197">
        <f t="shared" si="279"/>
        <v>2</v>
      </c>
      <c r="AA175" s="199" t="b">
        <f t="shared" si="3"/>
        <v>0</v>
      </c>
      <c r="AB175" s="199" t="b">
        <f t="shared" si="4"/>
        <v>0</v>
      </c>
      <c r="AC175" s="200">
        <f t="shared" ref="AC175:AD175" si="321">1-I175</f>
        <v>0</v>
      </c>
      <c r="AD175" s="200">
        <f t="shared" si="321"/>
        <v>0</v>
      </c>
      <c r="AE175" s="199">
        <f t="shared" si="6"/>
        <v>2</v>
      </c>
      <c r="AF175" s="201">
        <f t="shared" si="281"/>
        <v>0</v>
      </c>
      <c r="AG175" s="201">
        <f t="shared" si="8"/>
        <v>1</v>
      </c>
      <c r="AH175" s="202">
        <f t="shared" si="303"/>
        <v>0</v>
      </c>
      <c r="AI175" s="205"/>
      <c r="AJ175" s="259" t="s">
        <v>22</v>
      </c>
      <c r="AK175" s="260"/>
      <c r="AL175" s="261"/>
      <c r="AM175" s="260"/>
      <c r="AN175" s="261"/>
      <c r="AO175" s="260"/>
      <c r="AP175" s="261"/>
      <c r="AQ175" s="260"/>
      <c r="AR175" s="261"/>
      <c r="AS175" s="260"/>
      <c r="AT175" s="261"/>
      <c r="AU175" s="260"/>
      <c r="AV175" s="261"/>
      <c r="AW175" s="260"/>
      <c r="AX175" s="261"/>
      <c r="AY175" s="260"/>
      <c r="AZ175" s="261"/>
      <c r="BA175" s="260"/>
      <c r="BB175" s="261"/>
      <c r="BC175" s="260"/>
      <c r="BD175" s="261"/>
    </row>
    <row r="176" spans="1:56" ht="14.25">
      <c r="A176" s="209"/>
      <c r="B176" s="240">
        <v>1</v>
      </c>
      <c r="C176" s="327" t="s">
        <v>500</v>
      </c>
      <c r="D176" s="328" t="s">
        <v>63</v>
      </c>
      <c r="E176" s="328" t="s">
        <v>77</v>
      </c>
      <c r="F176" s="328" t="s">
        <v>20</v>
      </c>
      <c r="G176" s="322">
        <v>2</v>
      </c>
      <c r="H176" s="322">
        <v>0</v>
      </c>
      <c r="I176" s="323">
        <v>0.66</v>
      </c>
      <c r="J176" s="323">
        <v>0.33</v>
      </c>
      <c r="K176" s="237" t="s">
        <v>146</v>
      </c>
      <c r="L176" s="237"/>
      <c r="M176" s="237"/>
      <c r="N176" s="237"/>
      <c r="O176" s="324" t="s">
        <v>501</v>
      </c>
      <c r="P176" s="292"/>
      <c r="Q176" s="328" t="s">
        <v>148</v>
      </c>
      <c r="R176" s="173"/>
      <c r="S176" s="195">
        <f>MATCH($D176,Reference!$J$5:$J$9,0)</f>
        <v>2</v>
      </c>
      <c r="T176" s="195">
        <f>MATCH($E176,Reference!$J$26:$J$32,0)</f>
        <v>2</v>
      </c>
      <c r="U176" s="195">
        <f>MATCH($F176,Reference!$J$45:$J$54,0)</f>
        <v>6</v>
      </c>
      <c r="V176" s="196">
        <f>MATCH($K176,Reference!$J$37:$J$39,0)</f>
        <v>2</v>
      </c>
      <c r="W176" s="197">
        <f t="shared" si="278"/>
        <v>2</v>
      </c>
      <c r="X176" s="197">
        <f t="shared" si="1"/>
        <v>1</v>
      </c>
      <c r="Y176" s="197">
        <f t="shared" si="301"/>
        <v>0</v>
      </c>
      <c r="Z176" s="197">
        <f t="shared" si="279"/>
        <v>2</v>
      </c>
      <c r="AA176" s="199" t="b">
        <f t="shared" si="3"/>
        <v>0</v>
      </c>
      <c r="AB176" s="199" t="b">
        <f t="shared" si="4"/>
        <v>0</v>
      </c>
      <c r="AC176" s="200">
        <f t="shared" ref="AC176:AD176" si="322">1-I176</f>
        <v>0.33999999999999997</v>
      </c>
      <c r="AD176" s="200">
        <f t="shared" si="322"/>
        <v>0.66999999999999993</v>
      </c>
      <c r="AE176" s="199">
        <f t="shared" si="6"/>
        <v>2</v>
      </c>
      <c r="AF176" s="201">
        <f t="shared" si="281"/>
        <v>0</v>
      </c>
      <c r="AG176" s="201">
        <f t="shared" si="8"/>
        <v>1</v>
      </c>
      <c r="AH176" s="202">
        <f t="shared" si="303"/>
        <v>0</v>
      </c>
      <c r="AI176" s="205"/>
      <c r="AJ176" s="262" t="s">
        <v>224</v>
      </c>
      <c r="AK176" s="263">
        <f t="shared" ref="AK176:AP176" si="323">SUM(AK164:AK168)</f>
        <v>49</v>
      </c>
      <c r="AL176" s="264">
        <f t="shared" si="323"/>
        <v>57</v>
      </c>
      <c r="AM176" s="263">
        <f t="shared" si="323"/>
        <v>23</v>
      </c>
      <c r="AN176" s="264">
        <f t="shared" si="323"/>
        <v>25</v>
      </c>
      <c r="AO176" s="263">
        <f t="shared" si="323"/>
        <v>0</v>
      </c>
      <c r="AP176" s="264">
        <f t="shared" si="323"/>
        <v>0</v>
      </c>
      <c r="AQ176" s="263">
        <f>SUM(AQ164:AQ168)</f>
        <v>1</v>
      </c>
      <c r="AR176" s="264">
        <f>SUM(AR164:AR168)</f>
        <v>1</v>
      </c>
      <c r="AS176" s="263">
        <f>SUM(AS164:AS168)</f>
        <v>5</v>
      </c>
      <c r="AT176" s="264">
        <f>SUM(AT164:AT168)</f>
        <v>8</v>
      </c>
      <c r="AU176" s="263">
        <f t="shared" ref="AU176:BD176" si="324">SUM(AU164:AU168)</f>
        <v>2</v>
      </c>
      <c r="AV176" s="264">
        <f t="shared" si="324"/>
        <v>2</v>
      </c>
      <c r="AW176" s="263">
        <f t="shared" si="324"/>
        <v>7</v>
      </c>
      <c r="AX176" s="264">
        <f t="shared" si="324"/>
        <v>9</v>
      </c>
      <c r="AY176" s="263">
        <f t="shared" si="324"/>
        <v>3</v>
      </c>
      <c r="AZ176" s="264">
        <f t="shared" si="324"/>
        <v>3</v>
      </c>
      <c r="BA176" s="263">
        <f t="shared" si="324"/>
        <v>8</v>
      </c>
      <c r="BB176" s="264">
        <f t="shared" si="324"/>
        <v>9</v>
      </c>
      <c r="BC176" s="263">
        <f t="shared" si="324"/>
        <v>0</v>
      </c>
      <c r="BD176" s="264">
        <f t="shared" si="324"/>
        <v>0</v>
      </c>
    </row>
    <row r="177" spans="1:56" ht="14.25">
      <c r="A177" s="240"/>
      <c r="B177" s="240">
        <v>1</v>
      </c>
      <c r="C177" s="327" t="s">
        <v>502</v>
      </c>
      <c r="D177" s="328" t="s">
        <v>63</v>
      </c>
      <c r="E177" s="328" t="s">
        <v>77</v>
      </c>
      <c r="F177" s="328" t="s">
        <v>21</v>
      </c>
      <c r="G177" s="322">
        <v>2</v>
      </c>
      <c r="H177" s="322">
        <v>0</v>
      </c>
      <c r="I177" s="323">
        <v>0</v>
      </c>
      <c r="J177" s="323">
        <v>0</v>
      </c>
      <c r="K177" s="237" t="s">
        <v>182</v>
      </c>
      <c r="L177" s="237"/>
      <c r="M177" s="237">
        <v>3</v>
      </c>
      <c r="N177" s="237">
        <v>1</v>
      </c>
      <c r="O177" s="324" t="s">
        <v>503</v>
      </c>
      <c r="P177" s="292" t="s">
        <v>504</v>
      </c>
      <c r="Q177" s="328" t="s">
        <v>148</v>
      </c>
      <c r="R177" s="173"/>
      <c r="S177" s="195">
        <f>MATCH($D177,Reference!$J$5:$J$9,0)</f>
        <v>2</v>
      </c>
      <c r="T177" s="195">
        <f>MATCH($E177,Reference!$J$26:$J$32,0)</f>
        <v>2</v>
      </c>
      <c r="U177" s="195">
        <f>MATCH($F177,Reference!$J$45:$J$54,0)</f>
        <v>7</v>
      </c>
      <c r="V177" s="196">
        <f>MATCH($K177,Reference!$J$37:$J$39,0)</f>
        <v>3</v>
      </c>
      <c r="W177" s="197">
        <f t="shared" si="278"/>
        <v>2</v>
      </c>
      <c r="X177" s="197">
        <f t="shared" si="1"/>
        <v>1</v>
      </c>
      <c r="Y177" s="197">
        <f t="shared" si="301"/>
        <v>0</v>
      </c>
      <c r="Z177" s="197">
        <f t="shared" si="279"/>
        <v>2</v>
      </c>
      <c r="AA177" s="199" t="b">
        <f t="shared" si="3"/>
        <v>0</v>
      </c>
      <c r="AB177" s="199" t="b">
        <f t="shared" si="4"/>
        <v>0</v>
      </c>
      <c r="AC177" s="200">
        <f t="shared" ref="AC177:AD177" si="325">1-I177</f>
        <v>1</v>
      </c>
      <c r="AD177" s="200">
        <f t="shared" si="325"/>
        <v>1</v>
      </c>
      <c r="AE177" s="199">
        <f t="shared" si="6"/>
        <v>2</v>
      </c>
      <c r="AF177" s="201">
        <f t="shared" si="281"/>
        <v>0</v>
      </c>
      <c r="AG177" s="201">
        <f t="shared" si="8"/>
        <v>1</v>
      </c>
      <c r="AH177" s="202">
        <f t="shared" si="303"/>
        <v>0</v>
      </c>
      <c r="AI177" s="205"/>
      <c r="AJ177" s="265" t="s">
        <v>240</v>
      </c>
      <c r="AK177" s="266">
        <f t="shared" ref="AK177:AL177" si="326">SUM(AK170:AK174)</f>
        <v>93</v>
      </c>
      <c r="AL177" s="267">
        <f t="shared" si="326"/>
        <v>110</v>
      </c>
      <c r="AM177" s="266">
        <f t="shared" ref="AM177:AR177" si="327">SUM(AM170:AM174)</f>
        <v>43</v>
      </c>
      <c r="AN177" s="267">
        <f t="shared" si="327"/>
        <v>49</v>
      </c>
      <c r="AO177" s="266">
        <f t="shared" si="327"/>
        <v>0</v>
      </c>
      <c r="AP177" s="267">
        <f t="shared" si="327"/>
        <v>0</v>
      </c>
      <c r="AQ177" s="266">
        <f t="shared" si="327"/>
        <v>2</v>
      </c>
      <c r="AR177" s="267">
        <f t="shared" si="327"/>
        <v>2</v>
      </c>
      <c r="AS177" s="266">
        <f>SUM(AS171:AS174)</f>
        <v>8</v>
      </c>
      <c r="AT177" s="267">
        <f>SUM(AT170:AT174)</f>
        <v>15</v>
      </c>
      <c r="AU177" s="266">
        <f t="shared" ref="AU177:BD177" si="328">SUM(AU170:AU174)</f>
        <v>4</v>
      </c>
      <c r="AV177" s="267">
        <f t="shared" si="328"/>
        <v>4</v>
      </c>
      <c r="AW177" s="266">
        <f t="shared" si="328"/>
        <v>14</v>
      </c>
      <c r="AX177" s="267">
        <f t="shared" si="328"/>
        <v>17</v>
      </c>
      <c r="AY177" s="266">
        <f t="shared" si="328"/>
        <v>6</v>
      </c>
      <c r="AZ177" s="267">
        <f t="shared" si="328"/>
        <v>6</v>
      </c>
      <c r="BA177" s="266">
        <f t="shared" si="328"/>
        <v>16</v>
      </c>
      <c r="BB177" s="267">
        <f t="shared" si="328"/>
        <v>17</v>
      </c>
      <c r="BC177" s="266">
        <f t="shared" si="328"/>
        <v>0</v>
      </c>
      <c r="BD177" s="267">
        <f t="shared" si="328"/>
        <v>0</v>
      </c>
    </row>
    <row r="178" spans="1:56" ht="14.25">
      <c r="A178" s="187"/>
      <c r="B178" s="187">
        <v>1</v>
      </c>
      <c r="C178" s="320" t="s">
        <v>505</v>
      </c>
      <c r="D178" s="321" t="s">
        <v>63</v>
      </c>
      <c r="E178" s="321" t="s">
        <v>77</v>
      </c>
      <c r="F178" s="321" t="s">
        <v>21</v>
      </c>
      <c r="G178" s="325">
        <v>2</v>
      </c>
      <c r="H178" s="325">
        <v>0</v>
      </c>
      <c r="I178" s="323">
        <v>1</v>
      </c>
      <c r="J178" s="323">
        <v>1</v>
      </c>
      <c r="K178" s="229" t="s">
        <v>146</v>
      </c>
      <c r="L178" s="229"/>
      <c r="M178" s="229"/>
      <c r="N178" s="229"/>
      <c r="O178" s="326" t="s">
        <v>506</v>
      </c>
      <c r="P178" s="289"/>
      <c r="Q178" s="321" t="s">
        <v>148</v>
      </c>
      <c r="R178" s="173"/>
      <c r="S178" s="195">
        <f>MATCH($D178,Reference!$J$5:$J$9,0)</f>
        <v>2</v>
      </c>
      <c r="T178" s="195">
        <f>MATCH($E178,Reference!$J$26:$J$32,0)</f>
        <v>2</v>
      </c>
      <c r="U178" s="195">
        <f>MATCH($F178,Reference!$J$45:$J$54,0)</f>
        <v>7</v>
      </c>
      <c r="V178" s="196">
        <f>MATCH($K178,Reference!$J$37:$J$39,0)</f>
        <v>2</v>
      </c>
      <c r="W178" s="197">
        <f t="shared" si="278"/>
        <v>2</v>
      </c>
      <c r="X178" s="197">
        <f t="shared" si="1"/>
        <v>1</v>
      </c>
      <c r="Y178" s="197">
        <f t="shared" si="301"/>
        <v>0</v>
      </c>
      <c r="Z178" s="197">
        <f t="shared" si="279"/>
        <v>2</v>
      </c>
      <c r="AA178" s="199" t="b">
        <f t="shared" si="3"/>
        <v>0</v>
      </c>
      <c r="AB178" s="199" t="b">
        <f t="shared" si="4"/>
        <v>0</v>
      </c>
      <c r="AC178" s="200">
        <f t="shared" ref="AC178:AD178" si="329">1-I178</f>
        <v>0</v>
      </c>
      <c r="AD178" s="200">
        <f t="shared" si="329"/>
        <v>0</v>
      </c>
      <c r="AE178" s="199">
        <f t="shared" si="6"/>
        <v>2</v>
      </c>
      <c r="AF178" s="201">
        <f t="shared" si="281"/>
        <v>0</v>
      </c>
      <c r="AG178" s="201">
        <f t="shared" si="8"/>
        <v>1</v>
      </c>
      <c r="AH178" s="202">
        <f t="shared" si="303"/>
        <v>0</v>
      </c>
      <c r="AI178" s="205"/>
      <c r="AJ178" s="173"/>
      <c r="AK178" s="173"/>
      <c r="AL178" s="173"/>
      <c r="AM178" s="173"/>
      <c r="AN178" s="173"/>
      <c r="AO178" s="173"/>
      <c r="AP178" s="173"/>
      <c r="AQ178" s="173"/>
      <c r="AR178" s="173"/>
      <c r="AS178" s="173"/>
      <c r="AT178" s="173"/>
      <c r="AU178" s="173"/>
      <c r="AV178" s="173"/>
    </row>
    <row r="179" spans="1:56" ht="14.25">
      <c r="A179" s="187"/>
      <c r="B179" s="240">
        <v>1</v>
      </c>
      <c r="C179" s="327" t="s">
        <v>507</v>
      </c>
      <c r="D179" s="328" t="s">
        <v>63</v>
      </c>
      <c r="E179" s="328" t="s">
        <v>77</v>
      </c>
      <c r="F179" s="328" t="s">
        <v>16</v>
      </c>
      <c r="G179" s="322">
        <v>2</v>
      </c>
      <c r="H179" s="322">
        <v>0</v>
      </c>
      <c r="I179" s="323">
        <v>0.66</v>
      </c>
      <c r="J179" s="323">
        <v>0.66</v>
      </c>
      <c r="K179" s="237" t="s">
        <v>146</v>
      </c>
      <c r="L179" s="237" t="s">
        <v>508</v>
      </c>
      <c r="M179" s="237"/>
      <c r="N179" s="237"/>
      <c r="O179" s="324" t="s">
        <v>509</v>
      </c>
      <c r="P179" s="292"/>
      <c r="Q179" s="328" t="s">
        <v>148</v>
      </c>
      <c r="R179" s="173"/>
      <c r="S179" s="195">
        <f>MATCH($D179,Reference!$J$5:$J$9,0)</f>
        <v>2</v>
      </c>
      <c r="T179" s="195">
        <f>MATCH($E179,Reference!$J$26:$J$32,0)</f>
        <v>2</v>
      </c>
      <c r="U179" s="195">
        <f>MATCH($F179,Reference!$J$45:$J$54,0)</f>
        <v>4</v>
      </c>
      <c r="V179" s="196">
        <f>MATCH($K179,Reference!$J$37:$J$39,0)</f>
        <v>2</v>
      </c>
      <c r="W179" s="197">
        <f t="shared" si="278"/>
        <v>2</v>
      </c>
      <c r="X179" s="197">
        <f t="shared" si="1"/>
        <v>1</v>
      </c>
      <c r="Y179" s="197">
        <f t="shared" si="301"/>
        <v>0</v>
      </c>
      <c r="Z179" s="197">
        <f t="shared" si="279"/>
        <v>2</v>
      </c>
      <c r="AA179" s="199" t="b">
        <f t="shared" si="3"/>
        <v>0</v>
      </c>
      <c r="AB179" s="199" t="b">
        <f t="shared" si="4"/>
        <v>0</v>
      </c>
      <c r="AC179" s="200">
        <f t="shared" ref="AC179:AD179" si="330">1-I179</f>
        <v>0.33999999999999997</v>
      </c>
      <c r="AD179" s="200">
        <f t="shared" si="330"/>
        <v>0.33999999999999997</v>
      </c>
      <c r="AE179" s="199">
        <f t="shared" si="6"/>
        <v>2</v>
      </c>
      <c r="AF179" s="201">
        <f t="shared" si="281"/>
        <v>0</v>
      </c>
      <c r="AG179" s="201">
        <f t="shared" si="8"/>
        <v>1</v>
      </c>
      <c r="AH179" s="202">
        <f t="shared" si="303"/>
        <v>0</v>
      </c>
      <c r="AI179" s="205"/>
      <c r="AJ179" s="173"/>
      <c r="AK179" s="173"/>
      <c r="AL179" s="173"/>
      <c r="AM179" s="173"/>
      <c r="AN179" s="173"/>
      <c r="AO179" s="173"/>
      <c r="AP179" s="173"/>
      <c r="AQ179" s="173"/>
      <c r="AR179" s="173"/>
      <c r="AS179" s="173"/>
      <c r="AT179" s="173"/>
      <c r="AU179" s="173"/>
      <c r="AV179" s="173"/>
    </row>
    <row r="180" spans="1:56">
      <c r="A180" s="206"/>
      <c r="B180" s="240">
        <v>1</v>
      </c>
      <c r="C180" s="327" t="s">
        <v>510</v>
      </c>
      <c r="D180" s="328" t="s">
        <v>63</v>
      </c>
      <c r="E180" s="328" t="s">
        <v>77</v>
      </c>
      <c r="F180" s="328" t="s">
        <v>25</v>
      </c>
      <c r="G180" s="322">
        <v>2</v>
      </c>
      <c r="H180" s="322">
        <v>0</v>
      </c>
      <c r="I180" s="323">
        <v>1</v>
      </c>
      <c r="J180" s="323">
        <v>1</v>
      </c>
      <c r="K180" s="237" t="s">
        <v>182</v>
      </c>
      <c r="L180" s="237" t="s">
        <v>239</v>
      </c>
      <c r="M180" s="237">
        <v>3</v>
      </c>
      <c r="N180" s="237">
        <v>2</v>
      </c>
      <c r="O180" s="324" t="s">
        <v>511</v>
      </c>
      <c r="P180" s="292" t="s">
        <v>184</v>
      </c>
      <c r="Q180" s="328" t="s">
        <v>148</v>
      </c>
      <c r="R180" s="173"/>
      <c r="S180" s="195">
        <f>MATCH($D180,Reference!$J$5:$J$9,0)</f>
        <v>2</v>
      </c>
      <c r="T180" s="195">
        <f>MATCH($E180,Reference!$J$26:$J$32,0)</f>
        <v>2</v>
      </c>
      <c r="U180" s="195">
        <f>MATCH($F180,Reference!$J$45:$J$54,0)</f>
        <v>8</v>
      </c>
      <c r="V180" s="196">
        <f>MATCH($K180,Reference!$J$37:$J$39,0)</f>
        <v>3</v>
      </c>
      <c r="W180" s="197">
        <f t="shared" si="278"/>
        <v>2</v>
      </c>
      <c r="X180" s="197">
        <f t="shared" si="1"/>
        <v>1</v>
      </c>
      <c r="Y180" s="197">
        <f t="shared" si="301"/>
        <v>0</v>
      </c>
      <c r="Z180" s="197">
        <f t="shared" si="279"/>
        <v>2</v>
      </c>
      <c r="AA180" s="199" t="b">
        <f t="shared" si="3"/>
        <v>0</v>
      </c>
      <c r="AB180" s="199" t="b">
        <f t="shared" si="4"/>
        <v>0</v>
      </c>
      <c r="AC180" s="200">
        <f t="shared" ref="AC180:AD180" si="331">1-I180</f>
        <v>0</v>
      </c>
      <c r="AD180" s="200">
        <f t="shared" si="331"/>
        <v>0</v>
      </c>
      <c r="AE180" s="199">
        <f t="shared" si="6"/>
        <v>2</v>
      </c>
      <c r="AF180" s="201">
        <f t="shared" si="281"/>
        <v>0</v>
      </c>
      <c r="AG180" s="201">
        <f t="shared" si="8"/>
        <v>1</v>
      </c>
      <c r="AH180" s="202">
        <f t="shared" si="303"/>
        <v>0</v>
      </c>
      <c r="AI180" s="205"/>
      <c r="AJ180" s="1134" t="s">
        <v>25</v>
      </c>
      <c r="AK180" s="1102"/>
      <c r="AL180" s="1102"/>
      <c r="AM180" s="1102"/>
      <c r="AN180" s="1102"/>
      <c r="AO180" s="1102"/>
      <c r="AP180" s="1102"/>
      <c r="AQ180" s="1102"/>
      <c r="AR180" s="1102"/>
      <c r="AS180" s="1102"/>
      <c r="AT180" s="1102"/>
      <c r="AU180" s="1102"/>
      <c r="AV180" s="1102"/>
      <c r="AW180" s="1102"/>
      <c r="AX180" s="1102"/>
      <c r="AY180" s="1102"/>
      <c r="AZ180" s="1102"/>
      <c r="BA180" s="1102"/>
      <c r="BB180" s="1102"/>
      <c r="BC180" s="1102"/>
      <c r="BD180" s="1102"/>
    </row>
    <row r="181" spans="1:56" ht="14.25">
      <c r="A181" s="279"/>
      <c r="B181" s="240">
        <v>1</v>
      </c>
      <c r="C181" s="327" t="s">
        <v>512</v>
      </c>
      <c r="D181" s="328" t="s">
        <v>63</v>
      </c>
      <c r="E181" s="328" t="s">
        <v>77</v>
      </c>
      <c r="F181" s="328" t="s">
        <v>21</v>
      </c>
      <c r="G181" s="322">
        <v>2</v>
      </c>
      <c r="H181" s="322">
        <v>0</v>
      </c>
      <c r="I181" s="323">
        <v>0.33</v>
      </c>
      <c r="J181" s="323">
        <v>0.33</v>
      </c>
      <c r="K181" s="237" t="s">
        <v>146</v>
      </c>
      <c r="L181" s="237"/>
      <c r="M181" s="237"/>
      <c r="N181" s="237"/>
      <c r="O181" s="324" t="s">
        <v>513</v>
      </c>
      <c r="P181" s="292"/>
      <c r="Q181" s="328" t="s">
        <v>148</v>
      </c>
      <c r="R181" s="173"/>
      <c r="S181" s="195">
        <f>MATCH($D181,Reference!$J$5:$J$9,0)</f>
        <v>2</v>
      </c>
      <c r="T181" s="195">
        <f>MATCH($E181,Reference!$J$26:$J$32,0)</f>
        <v>2</v>
      </c>
      <c r="U181" s="195">
        <f>MATCH($F181,Reference!$J$45:$J$54,0)</f>
        <v>7</v>
      </c>
      <c r="V181" s="196">
        <f>MATCH($K181,Reference!$J$37:$J$39,0)</f>
        <v>2</v>
      </c>
      <c r="W181" s="197">
        <f t="shared" si="278"/>
        <v>2</v>
      </c>
      <c r="X181" s="197">
        <f t="shared" si="1"/>
        <v>1</v>
      </c>
      <c r="Y181" s="197">
        <f t="shared" si="301"/>
        <v>0</v>
      </c>
      <c r="Z181" s="197">
        <f t="shared" si="279"/>
        <v>2</v>
      </c>
      <c r="AA181" s="199" t="b">
        <f t="shared" si="3"/>
        <v>0</v>
      </c>
      <c r="AB181" s="199" t="b">
        <f t="shared" si="4"/>
        <v>0</v>
      </c>
      <c r="AC181" s="200">
        <f t="shared" ref="AC181:AD181" si="332">1-I181</f>
        <v>0.66999999999999993</v>
      </c>
      <c r="AD181" s="200">
        <f t="shared" si="332"/>
        <v>0.66999999999999993</v>
      </c>
      <c r="AE181" s="199">
        <f t="shared" si="6"/>
        <v>2</v>
      </c>
      <c r="AF181" s="201">
        <f t="shared" si="281"/>
        <v>0</v>
      </c>
      <c r="AG181" s="201">
        <f t="shared" si="8"/>
        <v>1</v>
      </c>
      <c r="AH181" s="202">
        <f t="shared" si="303"/>
        <v>0</v>
      </c>
      <c r="AI181" s="205"/>
      <c r="AJ181" s="224" t="s">
        <v>122</v>
      </c>
      <c r="AK181" s="1133" t="s">
        <v>22</v>
      </c>
      <c r="AL181" s="1102"/>
      <c r="AM181" s="1133" t="s">
        <v>77</v>
      </c>
      <c r="AN181" s="1102"/>
      <c r="AO181" s="1133" t="s">
        <v>78</v>
      </c>
      <c r="AP181" s="1102"/>
      <c r="AQ181" s="1133" t="s">
        <v>79</v>
      </c>
      <c r="AR181" s="1102"/>
      <c r="AS181" s="1133" t="s">
        <v>80</v>
      </c>
      <c r="AT181" s="1102"/>
      <c r="AU181" s="1133" t="s">
        <v>220</v>
      </c>
      <c r="AV181" s="1102"/>
      <c r="AW181" s="1133" t="s">
        <v>82</v>
      </c>
      <c r="AX181" s="1102"/>
      <c r="AY181" s="1133" t="s">
        <v>84</v>
      </c>
      <c r="AZ181" s="1102"/>
      <c r="BA181" s="1133" t="s">
        <v>73</v>
      </c>
      <c r="BB181" s="1102"/>
      <c r="BC181" s="1133" t="s">
        <v>221</v>
      </c>
      <c r="BD181" s="1102"/>
    </row>
    <row r="182" spans="1:56" ht="14.25">
      <c r="A182" s="187"/>
      <c r="B182" s="187">
        <v>1</v>
      </c>
      <c r="C182" s="320" t="s">
        <v>514</v>
      </c>
      <c r="D182" s="321" t="s">
        <v>63</v>
      </c>
      <c r="E182" s="321" t="s">
        <v>77</v>
      </c>
      <c r="F182" s="321" t="s">
        <v>13</v>
      </c>
      <c r="G182" s="325">
        <v>2</v>
      </c>
      <c r="H182" s="325">
        <v>0</v>
      </c>
      <c r="I182" s="323">
        <v>1</v>
      </c>
      <c r="J182" s="323">
        <v>1</v>
      </c>
      <c r="K182" s="229" t="s">
        <v>146</v>
      </c>
      <c r="L182" s="229"/>
      <c r="M182" s="229"/>
      <c r="N182" s="229"/>
      <c r="O182" s="326" t="s">
        <v>515</v>
      </c>
      <c r="P182" s="289"/>
      <c r="Q182" s="321" t="s">
        <v>148</v>
      </c>
      <c r="R182" s="173"/>
      <c r="S182" s="195">
        <f>MATCH($D182,Reference!$J$5:$J$9,0)</f>
        <v>2</v>
      </c>
      <c r="T182" s="195">
        <f>MATCH($E182,Reference!$J$26:$J$32,0)</f>
        <v>2</v>
      </c>
      <c r="U182" s="195">
        <f>MATCH($F182,Reference!$J$45:$J$54,0)</f>
        <v>3</v>
      </c>
      <c r="V182" s="196">
        <f>MATCH($K182,Reference!$J$37:$J$39,0)</f>
        <v>2</v>
      </c>
      <c r="W182" s="197">
        <f t="shared" si="278"/>
        <v>2</v>
      </c>
      <c r="X182" s="197">
        <f t="shared" si="1"/>
        <v>1</v>
      </c>
      <c r="Y182" s="197">
        <f t="shared" si="301"/>
        <v>0</v>
      </c>
      <c r="Z182" s="197">
        <f t="shared" si="279"/>
        <v>2</v>
      </c>
      <c r="AA182" s="199" t="b">
        <f t="shared" si="3"/>
        <v>0</v>
      </c>
      <c r="AB182" s="199" t="b">
        <f t="shared" si="4"/>
        <v>0</v>
      </c>
      <c r="AC182" s="200">
        <f t="shared" ref="AC182:AD182" si="333">1-I182</f>
        <v>0</v>
      </c>
      <c r="AD182" s="200">
        <f t="shared" si="333"/>
        <v>0</v>
      </c>
      <c r="AE182" s="199">
        <f t="shared" si="6"/>
        <v>2</v>
      </c>
      <c r="AF182" s="201">
        <f t="shared" si="281"/>
        <v>0</v>
      </c>
      <c r="AG182" s="201">
        <f t="shared" si="8"/>
        <v>1</v>
      </c>
      <c r="AH182" s="202">
        <f t="shared" si="303"/>
        <v>0</v>
      </c>
      <c r="AI182" s="205"/>
      <c r="AJ182" s="225" t="s">
        <v>224</v>
      </c>
      <c r="AK182" s="226"/>
      <c r="AL182" s="227"/>
      <c r="AM182" s="226"/>
      <c r="AN182" s="227"/>
      <c r="AO182" s="228"/>
      <c r="AP182" s="227"/>
      <c r="AQ182" s="226"/>
      <c r="AR182" s="227"/>
      <c r="AS182" s="228"/>
      <c r="AT182" s="227"/>
      <c r="AU182" s="226"/>
      <c r="AV182" s="227"/>
      <c r="AW182" s="229"/>
      <c r="AX182" s="230"/>
      <c r="AY182" s="229"/>
      <c r="AZ182" s="230"/>
      <c r="BA182" s="229"/>
      <c r="BB182" s="230"/>
      <c r="BC182" s="229"/>
      <c r="BD182" s="230"/>
    </row>
    <row r="183" spans="1:56" ht="14.25">
      <c r="A183" s="187"/>
      <c r="B183" s="240">
        <v>1</v>
      </c>
      <c r="C183" s="327" t="s">
        <v>516</v>
      </c>
      <c r="D183" s="328" t="s">
        <v>63</v>
      </c>
      <c r="E183" s="328" t="s">
        <v>77</v>
      </c>
      <c r="F183" s="328" t="s">
        <v>18</v>
      </c>
      <c r="G183" s="322">
        <v>2</v>
      </c>
      <c r="H183" s="322">
        <v>0</v>
      </c>
      <c r="I183" s="323">
        <v>1</v>
      </c>
      <c r="J183" s="323">
        <v>1</v>
      </c>
      <c r="K183" s="237" t="s">
        <v>146</v>
      </c>
      <c r="L183" s="237"/>
      <c r="M183" s="237"/>
      <c r="N183" s="237"/>
      <c r="O183" s="324" t="s">
        <v>517</v>
      </c>
      <c r="P183" s="292"/>
      <c r="Q183" s="328" t="s">
        <v>148</v>
      </c>
      <c r="R183" s="173"/>
      <c r="S183" s="195">
        <f>MATCH($D183,Reference!$J$5:$J$9,0)</f>
        <v>2</v>
      </c>
      <c r="T183" s="195">
        <f>MATCH($E183,Reference!$J$26:$J$32,0)</f>
        <v>2</v>
      </c>
      <c r="U183" s="195">
        <f>MATCH($F183,Reference!$J$45:$J$54,0)</f>
        <v>5</v>
      </c>
      <c r="V183" s="196">
        <f>MATCH($K183,Reference!$J$37:$J$39,0)</f>
        <v>2</v>
      </c>
      <c r="W183" s="197">
        <f t="shared" si="278"/>
        <v>2</v>
      </c>
      <c r="X183" s="197">
        <f t="shared" si="1"/>
        <v>1</v>
      </c>
      <c r="Y183" s="197">
        <f t="shared" si="301"/>
        <v>0</v>
      </c>
      <c r="Z183" s="197">
        <f t="shared" si="279"/>
        <v>2</v>
      </c>
      <c r="AA183" s="199" t="b">
        <f t="shared" si="3"/>
        <v>0</v>
      </c>
      <c r="AB183" s="199" t="b">
        <f t="shared" si="4"/>
        <v>0</v>
      </c>
      <c r="AC183" s="200">
        <f t="shared" ref="AC183:AD183" si="334">1-I183</f>
        <v>0</v>
      </c>
      <c r="AD183" s="200">
        <f t="shared" si="334"/>
        <v>0</v>
      </c>
      <c r="AE183" s="199">
        <f t="shared" si="6"/>
        <v>2</v>
      </c>
      <c r="AF183" s="201">
        <f t="shared" si="281"/>
        <v>0</v>
      </c>
      <c r="AG183" s="201">
        <f t="shared" si="8"/>
        <v>1</v>
      </c>
      <c r="AH183" s="202">
        <f t="shared" si="303"/>
        <v>0</v>
      </c>
      <c r="AI183" s="205"/>
      <c r="AJ183" s="231" t="s">
        <v>58</v>
      </c>
      <c r="AK183" s="232">
        <f t="shared" ref="AK183:AL183" si="335">SUM(AO183+AM183+AQ183+AS183+AU183+AW183+AY183+BA183+BC183)</f>
        <v>10</v>
      </c>
      <c r="AL183" s="232">
        <f t="shared" si="335"/>
        <v>10</v>
      </c>
      <c r="AM183" s="191">
        <f>SUMIFS($X$2:$X879, $E$2:$E879, "Basic", $F$2:F879, "Warlock")</f>
        <v>10</v>
      </c>
      <c r="AN183" s="191">
        <f>COUNTIFS($E$2:$E879, "Basic", $E$2:$E879, "Basic", $F$2:F879, "Warlock" )</f>
        <v>10</v>
      </c>
      <c r="AO183" s="234"/>
      <c r="AP183" s="235"/>
      <c r="AQ183" s="191"/>
      <c r="AR183" s="235"/>
      <c r="AS183" s="234"/>
      <c r="AT183" s="235"/>
      <c r="AU183" s="191"/>
      <c r="AV183" s="235"/>
      <c r="AW183" s="191"/>
      <c r="AX183" s="235"/>
      <c r="AY183" s="191"/>
      <c r="AZ183" s="235"/>
      <c r="BA183" s="191"/>
      <c r="BB183" s="235"/>
      <c r="BC183" s="191"/>
      <c r="BD183" s="235"/>
    </row>
    <row r="184" spans="1:56" ht="14.25">
      <c r="A184" s="187"/>
      <c r="B184" s="187">
        <v>1</v>
      </c>
      <c r="C184" s="320" t="s">
        <v>518</v>
      </c>
      <c r="D184" s="321" t="s">
        <v>63</v>
      </c>
      <c r="E184" s="321" t="s">
        <v>77</v>
      </c>
      <c r="F184" s="321" t="s">
        <v>115</v>
      </c>
      <c r="G184" s="322">
        <v>2</v>
      </c>
      <c r="H184" s="325">
        <v>0</v>
      </c>
      <c r="I184" s="323">
        <v>1</v>
      </c>
      <c r="J184" s="323">
        <v>1</v>
      </c>
      <c r="K184" s="229" t="s">
        <v>182</v>
      </c>
      <c r="L184" s="229"/>
      <c r="M184" s="329">
        <v>1</v>
      </c>
      <c r="N184" s="229">
        <v>1</v>
      </c>
      <c r="O184" s="326" t="s">
        <v>519</v>
      </c>
      <c r="P184" s="289" t="s">
        <v>454</v>
      </c>
      <c r="Q184" s="321" t="s">
        <v>148</v>
      </c>
      <c r="R184" s="173"/>
      <c r="S184" s="195">
        <f>MATCH($D184,Reference!$J$5:$J$9,0)</f>
        <v>2</v>
      </c>
      <c r="T184" s="195">
        <f>MATCH($E184,Reference!$J$26:$J$32,0)</f>
        <v>2</v>
      </c>
      <c r="U184" s="195">
        <f>MATCH($F184,Reference!$J$45:$J$54,0)</f>
        <v>10</v>
      </c>
      <c r="V184" s="196">
        <f>MATCH($K184,Reference!$J$37:$J$39,0)</f>
        <v>3</v>
      </c>
      <c r="W184" s="197">
        <f t="shared" si="278"/>
        <v>2</v>
      </c>
      <c r="X184" s="197">
        <f t="shared" si="1"/>
        <v>1</v>
      </c>
      <c r="Y184" s="197">
        <f t="shared" si="301"/>
        <v>0</v>
      </c>
      <c r="Z184" s="197">
        <f t="shared" si="279"/>
        <v>2</v>
      </c>
      <c r="AA184" s="199" t="b">
        <f t="shared" si="3"/>
        <v>0</v>
      </c>
      <c r="AB184" s="199" t="b">
        <f t="shared" si="4"/>
        <v>0</v>
      </c>
      <c r="AC184" s="200">
        <f t="shared" ref="AC184:AD184" si="336">1-I184</f>
        <v>0</v>
      </c>
      <c r="AD184" s="200">
        <f t="shared" si="336"/>
        <v>0</v>
      </c>
      <c r="AE184" s="199">
        <f t="shared" si="6"/>
        <v>2</v>
      </c>
      <c r="AF184" s="201">
        <f t="shared" si="281"/>
        <v>0</v>
      </c>
      <c r="AG184" s="201">
        <f t="shared" si="8"/>
        <v>1</v>
      </c>
      <c r="AH184" s="202">
        <f t="shared" si="303"/>
        <v>0</v>
      </c>
      <c r="AI184" s="205"/>
      <c r="AJ184" s="236" t="s">
        <v>63</v>
      </c>
      <c r="AK184" s="237">
        <f t="shared" ref="AK184:AL184" si="337">SUM(AO184+AM184+AQ184+AS184+AU184+AW184+AY184+BA184+BC184)</f>
        <v>18</v>
      </c>
      <c r="AL184" s="237">
        <f t="shared" si="337"/>
        <v>18</v>
      </c>
      <c r="AM184" s="229">
        <f>SUMIFS($X$2:$X879, $D$2:$D879, "Common", $E$2:$E879, "Classic", $F$2:F879, "Warlock")</f>
        <v>6</v>
      </c>
      <c r="AN184" s="229">
        <f>COUNTIFS($D$2:$D879, "Common", $E$2:$E879, "Classic", $F$2:F879, "Warlock" )</f>
        <v>6</v>
      </c>
      <c r="AO184" s="268">
        <f>SUMIFS($X$2:$X879, $D$2:$D879, "Common", $E$2:$E879, "Promo", $F$2:F879, "Warlock")</f>
        <v>0</v>
      </c>
      <c r="AP184" s="230">
        <f>COUNTIFS($D$2:$D879, "Common", $E$2:$E879, "Promo", $F$2:F879, "Warlock" )</f>
        <v>0</v>
      </c>
      <c r="AQ184" s="229">
        <f>SUMIFS($X$2:$X879, $D$2:$D879, "Common", $E$2:$E879, "Naxx", $F$2:F879, "Warlock")</f>
        <v>1</v>
      </c>
      <c r="AR184" s="229">
        <f>COUNTIFS($D$2:$D879, "Common", $E$2:$E879, "Naxx", $F$2:F879, "Warlock" )</f>
        <v>1</v>
      </c>
      <c r="AS184" s="268">
        <f>SUMIFS($X$2:$X879, $D$2:$D879, "Common", $E$2:$E879, "GvG", $F$2:F879, "Warlock")</f>
        <v>2</v>
      </c>
      <c r="AT184" s="230">
        <f>COUNTIFS($D$2:$D879, "Common", $E$2:$E879, "GvG", $F$2:F879, "Warlock" )</f>
        <v>2</v>
      </c>
      <c r="AU184" s="229">
        <f>SUMIFS($X$2:$X879, $D$2:$D879, "Common", $E$2:$E879, "Blackrock", $F$2:F879, "Warlock")</f>
        <v>1</v>
      </c>
      <c r="AV184" s="229">
        <f>COUNTIFS($D$2:$D879, "Common", $E$2:$E879, "Blackrock", $F$2:F879, "Warlock" )</f>
        <v>1</v>
      </c>
      <c r="AW184" s="229">
        <f>SUMIFS($X$2:$X879, $D$2:$D879, "Common", $E$2:$E879, "TGT", $F$2:F879, "Warlock")</f>
        <v>3</v>
      </c>
      <c r="AX184" s="230">
        <f>COUNTIFS($D$2:$D879, "Common", $E$2:$E879, "TGT", $F$2:F879, "Warlock" )</f>
        <v>3</v>
      </c>
      <c r="AY184" s="229">
        <f>SUMIFS($X$2:$X879, $D$2:$D879, "Common", $E$2:$E879, "LoE", $F$2:F879, "Warlock")</f>
        <v>2</v>
      </c>
      <c r="AZ184" s="230">
        <f>COUNTIFS($D$2:$D879, "Common", $E$2:$E879, "LoE", $F$2:F879, "Warlock" )</f>
        <v>2</v>
      </c>
      <c r="BA184" s="229">
        <f>SUMIFS($X$2:$X879, $D$2:$D879, "Common", $E$2:$E879, "TOG", $F$2:F879, "Warlock")</f>
        <v>3</v>
      </c>
      <c r="BB184" s="230">
        <f>COUNTIFS($D$2:$D879, "Common", $E$2:$E879, "TOG", $F$2:F879, "Warlock" )</f>
        <v>3</v>
      </c>
      <c r="BC184" s="229">
        <f>SUMIFS($X$2:$X879, $D$2:$D879, "Common", $E$2:$E879, "Adv4", $F$2:F879, "Warlock")</f>
        <v>0</v>
      </c>
      <c r="BD184" s="230">
        <f>COUNTIFS($D$2:$D879, "Common", $E$2:$E879, "Adv4", $F$2:F879, "Warlock" )</f>
        <v>0</v>
      </c>
    </row>
    <row r="185" spans="1:56" ht="14.25">
      <c r="A185" s="206"/>
      <c r="B185" s="240">
        <v>1</v>
      </c>
      <c r="C185" s="327" t="s">
        <v>520</v>
      </c>
      <c r="D185" s="328" t="s">
        <v>63</v>
      </c>
      <c r="E185" s="328" t="s">
        <v>77</v>
      </c>
      <c r="F185" s="328" t="s">
        <v>21</v>
      </c>
      <c r="G185" s="322">
        <v>2</v>
      </c>
      <c r="H185" s="322">
        <v>0</v>
      </c>
      <c r="I185" s="323">
        <v>1</v>
      </c>
      <c r="J185" s="323">
        <v>1</v>
      </c>
      <c r="K185" s="237" t="s">
        <v>146</v>
      </c>
      <c r="L185" s="237"/>
      <c r="M185" s="237"/>
      <c r="N185" s="237"/>
      <c r="O185" s="324" t="s">
        <v>521</v>
      </c>
      <c r="P185" s="292"/>
      <c r="Q185" s="328" t="s">
        <v>148</v>
      </c>
      <c r="R185" s="173"/>
      <c r="S185" s="195">
        <f>MATCH($D185,Reference!$J$5:$J$9,0)</f>
        <v>2</v>
      </c>
      <c r="T185" s="195">
        <f>MATCH($E185,Reference!$J$26:$J$32,0)</f>
        <v>2</v>
      </c>
      <c r="U185" s="195">
        <f>MATCH($F185,Reference!$J$45:$J$54,0)</f>
        <v>7</v>
      </c>
      <c r="V185" s="196">
        <f>MATCH($K185,Reference!$J$37:$J$39,0)</f>
        <v>2</v>
      </c>
      <c r="W185" s="197">
        <f t="shared" si="278"/>
        <v>2</v>
      </c>
      <c r="X185" s="197">
        <f t="shared" si="1"/>
        <v>1</v>
      </c>
      <c r="Y185" s="197">
        <f t="shared" si="301"/>
        <v>0</v>
      </c>
      <c r="Z185" s="197">
        <f t="shared" si="279"/>
        <v>2</v>
      </c>
      <c r="AA185" s="199" t="b">
        <f t="shared" si="3"/>
        <v>0</v>
      </c>
      <c r="AB185" s="199" t="b">
        <f t="shared" si="4"/>
        <v>0</v>
      </c>
      <c r="AC185" s="200">
        <f t="shared" ref="AC185:AD185" si="338">1-I185</f>
        <v>0</v>
      </c>
      <c r="AD185" s="200">
        <f t="shared" si="338"/>
        <v>0</v>
      </c>
      <c r="AE185" s="199">
        <f t="shared" si="6"/>
        <v>2</v>
      </c>
      <c r="AF185" s="201">
        <f t="shared" si="281"/>
        <v>0</v>
      </c>
      <c r="AG185" s="201">
        <f t="shared" si="8"/>
        <v>1</v>
      </c>
      <c r="AH185" s="202">
        <f t="shared" si="303"/>
        <v>0</v>
      </c>
      <c r="AI185" s="205"/>
      <c r="AJ185" s="241" t="s">
        <v>68</v>
      </c>
      <c r="AK185" s="242">
        <f t="shared" ref="AK185:AL185" si="339">SUM(AO185+AM185+AQ185+AS185+AU185+AW185+AY185+BA185+BC185)</f>
        <v>16</v>
      </c>
      <c r="AL185" s="242">
        <f t="shared" si="339"/>
        <v>16</v>
      </c>
      <c r="AM185" s="269">
        <f>SUMIFS($X$2:$X879, $D$2:$D879, "Rare", $E$2:$E879, "Classic", $F$2:F879, "Warlock")</f>
        <v>5</v>
      </c>
      <c r="AN185" s="269">
        <f>COUNTIFS($D$2:$D879, "Rare", $E$2:$E879, "Classic", $F$2:F879, "Warlock" )</f>
        <v>5</v>
      </c>
      <c r="AO185" s="270">
        <f>SUMIFS($X$2:$X879, $D$2:$D879, "Rare", $E$2:$E879, "Promo", $F$2:F879, "Warlock")</f>
        <v>0</v>
      </c>
      <c r="AP185" s="271">
        <f>COUNTIFS($D$2:$D879, "Rare", $E$2:$E879, "Promo", $F$2:F879, "Warlock" )</f>
        <v>0</v>
      </c>
      <c r="AQ185" s="269">
        <f>SUMIFS($X$2:$X879, $D$2:$D879, "Rare", $E$2:$E879, "Naxx", $F$2:F879, "Warlock")</f>
        <v>0</v>
      </c>
      <c r="AR185" s="269">
        <f>COUNTIFS($D$2:$D879, "Rare", $E$2:$E879, "Naxx", $F$2:F879, "Warlock" )</f>
        <v>0</v>
      </c>
      <c r="AS185" s="270">
        <f>SUMIFS($X$2:$X879, $D$2:$D879, "Rare", $E$2:$E879, "GvG", $F$2:F879, "Warlock")</f>
        <v>3</v>
      </c>
      <c r="AT185" s="271">
        <f>COUNTIFS($D$2:$D879, "Rare", $E$2:$E879, "GvG", $F$2:F879, "Warlock" )</f>
        <v>3</v>
      </c>
      <c r="AU185" s="269">
        <f>SUMIFS($X$2:$X879, $D$2:$D879, "Rare", $E$2:$E879, "Blackrock", $F$2:F879, "Warlock")</f>
        <v>1</v>
      </c>
      <c r="AV185" s="269">
        <f>COUNTIFS($D$2:$D879, "Rare", $E$2:$E879, "Blackrock", $F$2:F879, "Warlock" )</f>
        <v>1</v>
      </c>
      <c r="AW185" s="269">
        <f>SUMIFS($X$2:$X879, $D$2:$D879, "Rare", $E$2:$E879, "TGT", $F$2:F879, "Warlock")</f>
        <v>3</v>
      </c>
      <c r="AX185" s="271">
        <f>COUNTIFS($D$2:$D879, "Rare", $E$2:$E879, "TGT", $F$2:F879, "Warlock" )</f>
        <v>3</v>
      </c>
      <c r="AY185" s="269">
        <f>SUMIFS($X$2:$X879, $D$2:$D879, "Rare", $E$2:$E879, "LoE", $F$2:F879, "Warlock")</f>
        <v>1</v>
      </c>
      <c r="AZ185" s="271">
        <f>COUNTIFS($D$2:$D879, "Rare", $E$2:$E879, "LoE", $F$2:F879, "Warlock" )</f>
        <v>1</v>
      </c>
      <c r="BA185" s="269">
        <f>SUMIFS($X$2:$X879, $D$2:$D879, "Rare", $E$2:$E879, "TOG", $F$2:F879, "Warlock")</f>
        <v>3</v>
      </c>
      <c r="BB185" s="271">
        <f>COUNTIFS($D$2:$D879, "Rare", $E$2:$E879, "TOG", $F$2:F879, "Warlock" )</f>
        <v>3</v>
      </c>
      <c r="BC185" s="269">
        <f>SUMIFS($X$2:$X879, $D$2:$D879, "Rare", $E$2:$E879, "Adv4", $F$2:F879, "Warlock")</f>
        <v>0</v>
      </c>
      <c r="BD185" s="271">
        <f>COUNTIFS($D$2:$D879, "Rare", $E$2:$E879, "Adv4", $F$2:F879, "Warlock" )</f>
        <v>0</v>
      </c>
    </row>
    <row r="186" spans="1:56" ht="14.25">
      <c r="A186" s="279"/>
      <c r="B186" s="240">
        <v>1</v>
      </c>
      <c r="C186" s="327" t="s">
        <v>522</v>
      </c>
      <c r="D186" s="328" t="s">
        <v>63</v>
      </c>
      <c r="E186" s="328" t="s">
        <v>77</v>
      </c>
      <c r="F186" s="328" t="s">
        <v>13</v>
      </c>
      <c r="G186" s="322">
        <v>2</v>
      </c>
      <c r="H186" s="322">
        <v>0</v>
      </c>
      <c r="I186" s="323">
        <v>1</v>
      </c>
      <c r="J186" s="323">
        <v>1</v>
      </c>
      <c r="K186" s="328" t="s">
        <v>182</v>
      </c>
      <c r="L186" s="328"/>
      <c r="M186" s="330">
        <v>1</v>
      </c>
      <c r="N186" s="220">
        <v>3</v>
      </c>
      <c r="O186" s="324" t="s">
        <v>523</v>
      </c>
      <c r="P186" s="292"/>
      <c r="Q186" s="328" t="s">
        <v>148</v>
      </c>
      <c r="R186" s="173"/>
      <c r="S186" s="195">
        <f>MATCH($D186,Reference!$J$5:$J$9,0)</f>
        <v>2</v>
      </c>
      <c r="T186" s="195">
        <f>MATCH($E186,Reference!$J$26:$J$32,0)</f>
        <v>2</v>
      </c>
      <c r="U186" s="195">
        <f>MATCH($F186,Reference!$J$45:$J$54,0)</f>
        <v>3</v>
      </c>
      <c r="V186" s="196">
        <f>MATCH($K186,Reference!$J$37:$J$39,0)</f>
        <v>3</v>
      </c>
      <c r="W186" s="197">
        <f t="shared" si="278"/>
        <v>2</v>
      </c>
      <c r="X186" s="197">
        <f t="shared" si="1"/>
        <v>1</v>
      </c>
      <c r="Y186" s="197">
        <f t="shared" si="301"/>
        <v>0</v>
      </c>
      <c r="Z186" s="197">
        <f t="shared" si="279"/>
        <v>2</v>
      </c>
      <c r="AA186" s="199" t="b">
        <f t="shared" si="3"/>
        <v>0</v>
      </c>
      <c r="AB186" s="199" t="b">
        <f t="shared" si="4"/>
        <v>0</v>
      </c>
      <c r="AC186" s="200">
        <f t="shared" ref="AC186:AD186" si="340">1-I186</f>
        <v>0</v>
      </c>
      <c r="AD186" s="200">
        <f t="shared" si="340"/>
        <v>0</v>
      </c>
      <c r="AE186" s="199">
        <f t="shared" si="6"/>
        <v>2</v>
      </c>
      <c r="AF186" s="201">
        <f t="shared" si="281"/>
        <v>0</v>
      </c>
      <c r="AG186" s="201">
        <f t="shared" si="8"/>
        <v>1</v>
      </c>
      <c r="AH186" s="202">
        <f t="shared" si="303"/>
        <v>0</v>
      </c>
      <c r="AI186" s="205"/>
      <c r="AJ186" s="245" t="s">
        <v>69</v>
      </c>
      <c r="AK186" s="246">
        <f t="shared" ref="AK186:AL186" si="341">SUM(AO186+AM186+AQ186+AS186+AU186+AW186+AY186+BA186+BC186)</f>
        <v>8</v>
      </c>
      <c r="AL186" s="246">
        <f t="shared" si="341"/>
        <v>9</v>
      </c>
      <c r="AM186" s="272">
        <f>SUMIFS($X$2:$X879, $D$2:$D879, "Epic", $E$2:$E879, "Classic", $F$2:F879, "Warlock")</f>
        <v>3</v>
      </c>
      <c r="AN186" s="272">
        <f>COUNTIFS($D$2:$D879, "Epic", $E$2:$E879, "Classic", $F$2:F879, "Warlock" )</f>
        <v>3</v>
      </c>
      <c r="AO186" s="273">
        <f>SUMIFS($X$2:$X879, $D$2:$D879, "Epic", $E$2:$E879, "Promo", $F$2:F879, "Warlock")</f>
        <v>0</v>
      </c>
      <c r="AP186" s="274">
        <f>COUNTIFS($D$2:$D879, "Epic", $E$2:$E879, "Promo", $F$2:F879, "Warlock" )</f>
        <v>0</v>
      </c>
      <c r="AQ186" s="272">
        <f>SUMIFS($X$2:$X879, $D$2:$D879, "Epic", $E$2:$E879, "Naxx", $F$2:F879, "Warlock")</f>
        <v>0</v>
      </c>
      <c r="AR186" s="272">
        <f>COUNTIFS($D$2:$D879, "Epic", $E$2:$E879, "Naxx", $F$2:F879, "Warlock" )</f>
        <v>0</v>
      </c>
      <c r="AS186" s="273">
        <f>SUMIFS($X$2:$X879, $D$2:$D879, "Epic", $E$2:$E879, "GvG", $F$2:F879, "Warlock")</f>
        <v>2</v>
      </c>
      <c r="AT186" s="274">
        <f>COUNTIFS($D$2:$D879, "Epic", $E$2:$E879, "GvG", $F$2:F879, "Warlock" )</f>
        <v>2</v>
      </c>
      <c r="AU186" s="272">
        <f>SUMIFS($X$2:$X879, $D$2:$D879, "Epic", $E$2:$E879, "Blackrock", $F$2:F879, "Warlock")</f>
        <v>0</v>
      </c>
      <c r="AV186" s="272">
        <f>COUNTIFS($D$2:$D879, "Epic", $E$2:$E879, "Blackrock", $F$2:F879, "Warlock" )</f>
        <v>0</v>
      </c>
      <c r="AW186" s="272">
        <f>SUMIFS($X$2:$X879, $D$2:$D879, "Epic", $E$2:$E879, "TGT", $F$2:F879, "Warlock")</f>
        <v>2</v>
      </c>
      <c r="AX186" s="274">
        <f>COUNTIFS($D$2:$D879, "Epic", $E$2:$E879, "TGT", $F$2:F879, "Warlock" )</f>
        <v>2</v>
      </c>
      <c r="AY186" s="272">
        <f>SUMIFS($X$2:$X879, $D$2:$D879, "Epic", $E$2:$E879, "LoE", $F$2:F879, "Warlock")</f>
        <v>0</v>
      </c>
      <c r="AZ186" s="274">
        <f>COUNTIFS($D$2:$D879, "Epic", $E$2:$E879, "LoE", $F$2:F879, "Warlock" )</f>
        <v>0</v>
      </c>
      <c r="BA186" s="272">
        <f>SUMIFS($X$2:$X879, $D$2:$D879, "Epic", $E$2:$E879, "TOG", $F$2:F879, "Warlock")</f>
        <v>1</v>
      </c>
      <c r="BB186" s="274">
        <f>COUNTIFS($D$2:$D879, "Epic", $E$2:$E879, "TOG", $F$2:F879, "Warlock" )</f>
        <v>2</v>
      </c>
      <c r="BC186" s="272">
        <f>SUMIFS($X$2:$X879, $D$2:$D879, "Epic", $E$2:$E879, "Adv4", $F$2:F879, "Warlock")</f>
        <v>0</v>
      </c>
      <c r="BD186" s="274">
        <f>COUNTIFS($D$2:$D879, "Epic", $E$2:$E879, "Adv4", $F$2:F879, "Warlock" )</f>
        <v>0</v>
      </c>
    </row>
    <row r="187" spans="1:56" ht="14.25">
      <c r="A187" s="209"/>
      <c r="B187" s="187">
        <v>1</v>
      </c>
      <c r="C187" s="320" t="s">
        <v>524</v>
      </c>
      <c r="D187" s="321" t="s">
        <v>63</v>
      </c>
      <c r="E187" s="321" t="s">
        <v>77</v>
      </c>
      <c r="F187" s="321" t="s">
        <v>8</v>
      </c>
      <c r="G187" s="325">
        <v>2</v>
      </c>
      <c r="H187" s="325">
        <v>0</v>
      </c>
      <c r="I187" s="323">
        <v>0</v>
      </c>
      <c r="J187" s="323">
        <v>0</v>
      </c>
      <c r="K187" s="321" t="s">
        <v>146</v>
      </c>
      <c r="L187" s="321"/>
      <c r="M187" s="331"/>
      <c r="N187" s="212"/>
      <c r="O187" s="326" t="s">
        <v>525</v>
      </c>
      <c r="P187" s="289"/>
      <c r="Q187" s="321" t="s">
        <v>148</v>
      </c>
      <c r="R187" s="173"/>
      <c r="S187" s="195">
        <f>MATCH($D187,Reference!$J$5:$J$9,0)</f>
        <v>2</v>
      </c>
      <c r="T187" s="195">
        <f>MATCH($E187,Reference!$J$26:$J$32,0)</f>
        <v>2</v>
      </c>
      <c r="U187" s="195">
        <f>MATCH($F187,Reference!$J$45:$J$54,0)</f>
        <v>1</v>
      </c>
      <c r="V187" s="196">
        <f>MATCH($K187,Reference!$J$37:$J$39,0)</f>
        <v>2</v>
      </c>
      <c r="W187" s="197">
        <f t="shared" si="278"/>
        <v>2</v>
      </c>
      <c r="X187" s="197">
        <f t="shared" si="1"/>
        <v>1</v>
      </c>
      <c r="Y187" s="197">
        <f t="shared" si="301"/>
        <v>0</v>
      </c>
      <c r="Z187" s="197">
        <f t="shared" si="279"/>
        <v>2</v>
      </c>
      <c r="AA187" s="199" t="b">
        <f t="shared" si="3"/>
        <v>0</v>
      </c>
      <c r="AB187" s="199" t="b">
        <f t="shared" si="4"/>
        <v>0</v>
      </c>
      <c r="AC187" s="200">
        <f t="shared" ref="AC187:AD187" si="342">1-I187</f>
        <v>1</v>
      </c>
      <c r="AD187" s="200">
        <f t="shared" si="342"/>
        <v>1</v>
      </c>
      <c r="AE187" s="199">
        <f t="shared" si="6"/>
        <v>2</v>
      </c>
      <c r="AF187" s="201">
        <f t="shared" si="281"/>
        <v>0</v>
      </c>
      <c r="AG187" s="201">
        <f t="shared" si="8"/>
        <v>1</v>
      </c>
      <c r="AH187" s="202">
        <f t="shared" si="303"/>
        <v>0</v>
      </c>
      <c r="AI187" s="205"/>
      <c r="AJ187" s="249" t="s">
        <v>70</v>
      </c>
      <c r="AK187" s="250">
        <f t="shared" ref="AK187:AL187" si="343">SUM(AO187+AM187+AQ187+AS187+AU187+AW187+AY187+BA187+BC187)</f>
        <v>2</v>
      </c>
      <c r="AL187" s="250">
        <f t="shared" si="343"/>
        <v>4</v>
      </c>
      <c r="AM187" s="275">
        <f>SUMIFS($X$2:$X879, $D$2:$D879, "Legendary", $E$2:$E879, "Classic", $F$2:F879, "Warlock")</f>
        <v>1</v>
      </c>
      <c r="AN187" s="275">
        <f>COUNTIFS($D$2:$D879, "Legendary", $E$2:$E879, "Classic", $F$2:F879, "Warlock" )</f>
        <v>1</v>
      </c>
      <c r="AO187" s="276">
        <f>SUMIFS($X$2:$X879, $D$2:$D879, "Legendary", $E$2:$E879, "Promo", $F$2:F879, "Warlock")</f>
        <v>0</v>
      </c>
      <c r="AP187" s="277">
        <f>COUNTIFS($D$2:$D879, "Legendary", $E$2:$E879, "Promo", $F$2:F879, "Warlock" )</f>
        <v>0</v>
      </c>
      <c r="AQ187" s="275">
        <f>SUMIFS($X$2:$X879, $D$2:$D879, "Legendary", $E$2:$E879, "Naxx", $F$2:F879, "Warlock")</f>
        <v>0</v>
      </c>
      <c r="AR187" s="275">
        <f>COUNTIFS($D$2:$D879, "Legendary", $E$2:$E879, "Naxx", $F$2:F879, "Warlock" )</f>
        <v>0</v>
      </c>
      <c r="AS187" s="276">
        <f>SUMIFS($X$2:$X879, $D$2:$D879, "Legendary", $E$2:$E879, "GvG", $F$2:F879, "Warlock")</f>
        <v>1</v>
      </c>
      <c r="AT187" s="277">
        <f>COUNTIFS($D$2:$D879, "Legendary", $E$2:$E879, "GvG", $F$2:F879, "Warlock" )</f>
        <v>1</v>
      </c>
      <c r="AU187" s="275">
        <f>SUMIFS($X$2:$X879, $D$2:$D879, "Legendary", $E$2:$E879, "Blackrock", $F$2:F879, "Warlock")</f>
        <v>0</v>
      </c>
      <c r="AV187" s="275">
        <f>COUNTIFS($D$2:$D879, "Legendary", $E$2:$E879, "Blackrock", $F$2:F879, "Warlock" )</f>
        <v>0</v>
      </c>
      <c r="AW187" s="275">
        <f>SUMIFS($X$2:$X879, $D$2:$D879, "Legendary", $E$2:$E879, "TGT", $F$2:F879, "Warlock")</f>
        <v>0</v>
      </c>
      <c r="AX187" s="277">
        <f>COUNTIFS($D$2:$D879, "Legendary", $E$2:$E879, "TGT", $F$2:F879, "Warlock" )</f>
        <v>1</v>
      </c>
      <c r="AY187" s="275">
        <f>SUMIFS($X$2:$X879, $D$2:$D879, "Legendary", $E$2:$E879, "LoE", $F$2:F879, "Warlock")</f>
        <v>0</v>
      </c>
      <c r="AZ187" s="277">
        <f>COUNTIFS($D$2:$D879, "Legendary", $E$2:$E879, "LoE", $F$2:F879, "Warlock" )</f>
        <v>0</v>
      </c>
      <c r="BA187" s="275">
        <f>SUMIFS($X$2:$X879, $D$2:$D879, "Legendary", $E$2:$E879, "TOG", $F$2:F879, "Warlock")</f>
        <v>0</v>
      </c>
      <c r="BB187" s="277">
        <f>COUNTIFS($D$2:$D879, "Legendary", $E$2:$E879, "TOG", $F$2:F879, "Warlock" )</f>
        <v>1</v>
      </c>
      <c r="BC187" s="275">
        <f>SUMIFS($X$2:$X879, $D$2:$D879, "Legendary", $E$2:$E879, "Adv4", $F$2:F879, "Warlock")</f>
        <v>0</v>
      </c>
      <c r="BD187" s="277">
        <f>COUNTIFS($D$2:$D879, "Legendary", $E$2:$E879, "Adv4", $F$2:F879, "Warlock" )</f>
        <v>0</v>
      </c>
    </row>
    <row r="188" spans="1:56" ht="14.25">
      <c r="A188" s="209"/>
      <c r="B188" s="240">
        <v>1</v>
      </c>
      <c r="C188" s="327" t="s">
        <v>526</v>
      </c>
      <c r="D188" s="328" t="s">
        <v>63</v>
      </c>
      <c r="E188" s="328" t="s">
        <v>77</v>
      </c>
      <c r="F188" s="328" t="s">
        <v>16</v>
      </c>
      <c r="G188" s="322">
        <v>2</v>
      </c>
      <c r="H188" s="322">
        <v>0</v>
      </c>
      <c r="I188" s="323">
        <v>1</v>
      </c>
      <c r="J188" s="323">
        <v>1</v>
      </c>
      <c r="K188" s="237" t="s">
        <v>146</v>
      </c>
      <c r="L188" s="237" t="s">
        <v>508</v>
      </c>
      <c r="M188" s="237"/>
      <c r="N188" s="237"/>
      <c r="O188" s="324" t="s">
        <v>527</v>
      </c>
      <c r="P188" s="292"/>
      <c r="Q188" s="328" t="s">
        <v>148</v>
      </c>
      <c r="R188" s="173"/>
      <c r="S188" s="195">
        <f>MATCH($D188,Reference!$J$5:$J$9,0)</f>
        <v>2</v>
      </c>
      <c r="T188" s="195">
        <f>MATCH($E188,Reference!$J$26:$J$32,0)</f>
        <v>2</v>
      </c>
      <c r="U188" s="195">
        <f>MATCH($F188,Reference!$J$45:$J$54,0)</f>
        <v>4</v>
      </c>
      <c r="V188" s="196">
        <f>MATCH($K188,Reference!$J$37:$J$39,0)</f>
        <v>2</v>
      </c>
      <c r="W188" s="197">
        <f t="shared" si="278"/>
        <v>2</v>
      </c>
      <c r="X188" s="197">
        <f t="shared" si="1"/>
        <v>1</v>
      </c>
      <c r="Y188" s="197">
        <f t="shared" si="301"/>
        <v>0</v>
      </c>
      <c r="Z188" s="197">
        <f t="shared" si="279"/>
        <v>2</v>
      </c>
      <c r="AA188" s="199" t="b">
        <f t="shared" si="3"/>
        <v>0</v>
      </c>
      <c r="AB188" s="199" t="b">
        <f t="shared" si="4"/>
        <v>0</v>
      </c>
      <c r="AC188" s="200">
        <f t="shared" ref="AC188:AD188" si="344">1-I188</f>
        <v>0</v>
      </c>
      <c r="AD188" s="200">
        <f t="shared" si="344"/>
        <v>0</v>
      </c>
      <c r="AE188" s="199">
        <f t="shared" si="6"/>
        <v>2</v>
      </c>
      <c r="AF188" s="201">
        <f t="shared" si="281"/>
        <v>0</v>
      </c>
      <c r="AG188" s="201">
        <f t="shared" si="8"/>
        <v>1</v>
      </c>
      <c r="AH188" s="202">
        <f t="shared" si="303"/>
        <v>0</v>
      </c>
      <c r="AI188" s="205"/>
      <c r="AJ188" s="253" t="s">
        <v>240</v>
      </c>
      <c r="AK188" s="237">
        <f t="shared" ref="AK188:AL188" si="345">SUM(AO188+AM188+AQ188+AS188+AU188+AW188+AY188+BA188+BC188)</f>
        <v>0</v>
      </c>
      <c r="AL188" s="238">
        <f t="shared" si="345"/>
        <v>0</v>
      </c>
      <c r="AM188" s="229"/>
      <c r="AN188" s="230"/>
      <c r="AO188" s="254"/>
      <c r="AP188" s="255"/>
      <c r="AQ188" s="229"/>
      <c r="AR188" s="230"/>
      <c r="AS188" s="254"/>
      <c r="AT188" s="255"/>
      <c r="AU188" s="229"/>
      <c r="AV188" s="230"/>
      <c r="AW188" s="229"/>
      <c r="AX188" s="230"/>
      <c r="AY188" s="229"/>
      <c r="AZ188" s="230"/>
      <c r="BA188" s="229"/>
      <c r="BB188" s="230"/>
      <c r="BC188" s="229"/>
      <c r="BD188" s="230"/>
    </row>
    <row r="189" spans="1:56" ht="14.25">
      <c r="A189" s="187"/>
      <c r="B189" s="187">
        <v>1</v>
      </c>
      <c r="C189" s="320" t="s">
        <v>528</v>
      </c>
      <c r="D189" s="321" t="s">
        <v>63</v>
      </c>
      <c r="E189" s="321" t="s">
        <v>77</v>
      </c>
      <c r="F189" s="321" t="s">
        <v>25</v>
      </c>
      <c r="G189" s="325">
        <v>2</v>
      </c>
      <c r="H189" s="325">
        <v>0</v>
      </c>
      <c r="I189" s="323">
        <v>1</v>
      </c>
      <c r="J189" s="323">
        <v>1</v>
      </c>
      <c r="K189" s="229" t="s">
        <v>146</v>
      </c>
      <c r="L189" s="229"/>
      <c r="M189" s="229"/>
      <c r="N189" s="229"/>
      <c r="O189" s="326" t="s">
        <v>529</v>
      </c>
      <c r="P189" s="289"/>
      <c r="Q189" s="321" t="s">
        <v>148</v>
      </c>
      <c r="R189" s="173"/>
      <c r="S189" s="195">
        <f>MATCH($D189,Reference!$J$5:$J$9,0)</f>
        <v>2</v>
      </c>
      <c r="T189" s="195">
        <f>MATCH($E189,Reference!$J$26:$J$32,0)</f>
        <v>2</v>
      </c>
      <c r="U189" s="195">
        <f>MATCH($F189,Reference!$J$45:$J$54,0)</f>
        <v>8</v>
      </c>
      <c r="V189" s="196">
        <f>MATCH($K189,Reference!$J$37:$J$39,0)</f>
        <v>2</v>
      </c>
      <c r="W189" s="197">
        <f t="shared" si="278"/>
        <v>2</v>
      </c>
      <c r="X189" s="197">
        <f t="shared" si="1"/>
        <v>1</v>
      </c>
      <c r="Y189" s="197">
        <f t="shared" si="301"/>
        <v>0</v>
      </c>
      <c r="Z189" s="197">
        <f t="shared" si="279"/>
        <v>2</v>
      </c>
      <c r="AA189" s="199" t="b">
        <f t="shared" si="3"/>
        <v>0</v>
      </c>
      <c r="AB189" s="199" t="b">
        <f t="shared" si="4"/>
        <v>0</v>
      </c>
      <c r="AC189" s="200">
        <f t="shared" ref="AC189:AD189" si="346">1-I189</f>
        <v>0</v>
      </c>
      <c r="AD189" s="200">
        <f t="shared" si="346"/>
        <v>0</v>
      </c>
      <c r="AE189" s="199">
        <f t="shared" si="6"/>
        <v>2</v>
      </c>
      <c r="AF189" s="201">
        <f t="shared" si="281"/>
        <v>0</v>
      </c>
      <c r="AG189" s="201">
        <f t="shared" si="8"/>
        <v>1</v>
      </c>
      <c r="AH189" s="202">
        <f t="shared" si="303"/>
        <v>0</v>
      </c>
      <c r="AI189" s="205"/>
      <c r="AJ189" s="231" t="s">
        <v>58</v>
      </c>
      <c r="AK189" s="232">
        <f t="shared" ref="AK189:AL189" si="347">SUM(AO189+AM189+AQ189+AS189+AU189+AW189+AY189+BA189+BC189)</f>
        <v>20</v>
      </c>
      <c r="AL189" s="232">
        <f t="shared" si="347"/>
        <v>20</v>
      </c>
      <c r="AM189" s="191">
        <f>SUMIFS($W$2:$W879, $E$2:$E879, "Basic", $F$2:F879, "Warlock")</f>
        <v>20</v>
      </c>
      <c r="AN189" s="232">
        <f>COUNTIFS($E$2:$E879, "Basic", $F$2:F879, "Warlock" )*2</f>
        <v>20</v>
      </c>
      <c r="AO189" s="234"/>
      <c r="AP189" s="235"/>
      <c r="AQ189" s="191"/>
      <c r="AR189" s="191"/>
      <c r="AS189" s="234"/>
      <c r="AT189" s="235"/>
      <c r="AU189" s="191"/>
      <c r="AV189" s="191"/>
      <c r="AW189" s="191"/>
      <c r="AX189" s="235"/>
      <c r="AY189" s="191"/>
      <c r="AZ189" s="235"/>
      <c r="BA189" s="191"/>
      <c r="BB189" s="235"/>
      <c r="BC189" s="191"/>
      <c r="BD189" s="235"/>
    </row>
    <row r="190" spans="1:56" ht="14.25">
      <c r="A190" s="187"/>
      <c r="B190" s="240">
        <v>1</v>
      </c>
      <c r="C190" s="327" t="s">
        <v>530</v>
      </c>
      <c r="D190" s="328" t="s">
        <v>63</v>
      </c>
      <c r="E190" s="328" t="s">
        <v>77</v>
      </c>
      <c r="F190" s="328" t="s">
        <v>16</v>
      </c>
      <c r="G190" s="322">
        <v>2</v>
      </c>
      <c r="H190" s="322">
        <v>1</v>
      </c>
      <c r="I190" s="323">
        <v>1</v>
      </c>
      <c r="J190" s="323">
        <v>1</v>
      </c>
      <c r="K190" s="237" t="s">
        <v>146</v>
      </c>
      <c r="L190" s="237" t="s">
        <v>508</v>
      </c>
      <c r="M190" s="237"/>
      <c r="N190" s="237"/>
      <c r="O190" s="324" t="s">
        <v>531</v>
      </c>
      <c r="P190" s="292"/>
      <c r="Q190" s="328" t="s">
        <v>148</v>
      </c>
      <c r="R190" s="173"/>
      <c r="S190" s="195">
        <f>MATCH($D190,Reference!$J$5:$J$9,0)</f>
        <v>2</v>
      </c>
      <c r="T190" s="195">
        <f>MATCH($E190,Reference!$J$26:$J$32,0)</f>
        <v>2</v>
      </c>
      <c r="U190" s="195">
        <f>MATCH($F190,Reference!$J$45:$J$54,0)</f>
        <v>4</v>
      </c>
      <c r="V190" s="196">
        <f>MATCH($K190,Reference!$J$37:$J$39,0)</f>
        <v>2</v>
      </c>
      <c r="W190" s="197">
        <f t="shared" si="278"/>
        <v>2</v>
      </c>
      <c r="X190" s="197">
        <f t="shared" si="1"/>
        <v>1</v>
      </c>
      <c r="Y190" s="197">
        <f t="shared" si="301"/>
        <v>50</v>
      </c>
      <c r="Z190" s="197">
        <f t="shared" si="279"/>
        <v>2</v>
      </c>
      <c r="AA190" s="199" t="b">
        <f t="shared" si="3"/>
        <v>0</v>
      </c>
      <c r="AB190" s="199" t="b">
        <f t="shared" si="4"/>
        <v>0</v>
      </c>
      <c r="AC190" s="200">
        <f t="shared" ref="AC190:AD190" si="348">1-I190</f>
        <v>0</v>
      </c>
      <c r="AD190" s="200">
        <f t="shared" si="348"/>
        <v>0</v>
      </c>
      <c r="AE190" s="199">
        <f t="shared" si="6"/>
        <v>2</v>
      </c>
      <c r="AF190" s="201">
        <f t="shared" si="281"/>
        <v>1</v>
      </c>
      <c r="AG190" s="201">
        <f t="shared" si="8"/>
        <v>1</v>
      </c>
      <c r="AH190" s="202">
        <f t="shared" si="303"/>
        <v>5</v>
      </c>
      <c r="AI190" s="205"/>
      <c r="AJ190" s="256" t="s">
        <v>63</v>
      </c>
      <c r="AK190" s="237">
        <f t="shared" ref="AK190:AL190" si="349">SUM(AO190+AM190+AQ190+AS190+AU190+AW190+AY190+BA190+BC190)</f>
        <v>35</v>
      </c>
      <c r="AL190" s="237">
        <f t="shared" si="349"/>
        <v>36</v>
      </c>
      <c r="AM190" s="229">
        <f>SUMIFS($W$2:$W879, $D$2:$D879, "Common", $E$2:$E879, "Classic", $F$2:F879, "Warlock")</f>
        <v>12</v>
      </c>
      <c r="AN190" s="237">
        <f>COUNTIFS($D$2:$D879, "Common", $E$2:$E879, "Classic", $F$2:F879, "Warlock" )*2</f>
        <v>12</v>
      </c>
      <c r="AO190" s="268">
        <f>SUMIFS($W$2:$W879, $D$2:$D879, "Common", $E$2:$E879, "Promo", $F$2:F879, "Warlock")</f>
        <v>0</v>
      </c>
      <c r="AP190" s="238">
        <f>COUNTIFS($D$2:$D879, "Common", $E$2:$E879, "Promo", $F$2:F879, "Warlock" )*2</f>
        <v>0</v>
      </c>
      <c r="AQ190" s="229">
        <f>SUMIFS($W$2:$W879, $D$2:$D879, "Common", $E$2:$E879, "Naxx", $F$2:F879, "Warlock")</f>
        <v>2</v>
      </c>
      <c r="AR190" s="237">
        <f>COUNTIFS($D$2:$D879, "Common", $E$2:$E879, "Naxx", $F$2:F879, "Warlock" )*2</f>
        <v>2</v>
      </c>
      <c r="AS190" s="268">
        <f>SUMIFS($W$2:$W879, $D$2:$D879, "Common", $E$2:$E879, "GvG", $F$2:F879, "Warlock")</f>
        <v>3</v>
      </c>
      <c r="AT190" s="238">
        <f>COUNTIFS($D$2:$D879, "Common", $E$2:$E879, "GvG", $F$2:F879, "Warlock" )*2</f>
        <v>4</v>
      </c>
      <c r="AU190" s="229">
        <f>SUMIFS($W$2:$W879, $D$2:$D879, "Common", $E$2:$E879, "Blackrock", $F$2:F879, "Warlock")</f>
        <v>2</v>
      </c>
      <c r="AV190" s="237">
        <f>COUNTIFS($D$2:$D879, "Common", $E$2:$E879, "Blackrock", $F$2:F879, "Warlock" )*2</f>
        <v>2</v>
      </c>
      <c r="AW190" s="229">
        <f>SUMIFS($W$2:$W879, $D$2:$D879, "Common", $E$2:$E879, "TGT", $F$2:F879, "Warlock")</f>
        <v>6</v>
      </c>
      <c r="AX190" s="238">
        <f>COUNTIFS($D$2:$D879, "Common", $E$2:$E879, "TGT", $F$2:F879, "Warlock" )*2</f>
        <v>6</v>
      </c>
      <c r="AY190" s="229">
        <f>SUMIFS($W$2:$W879, $D$2:$D879, "Common", $E$2:$E879, "LoE", $F$2:F879, "Warlock")</f>
        <v>4</v>
      </c>
      <c r="AZ190" s="238">
        <f>COUNTIFS($D$2:$D879, "Common", $E$2:$E879, "LoE", $F$2:F879, "Warlock" )*2</f>
        <v>4</v>
      </c>
      <c r="BA190" s="229">
        <f>SUMIFS($W$2:$W879, $D$2:$D879, "Common", $E$2:$E879, "TOG", $F$2:F879, "Warlock")</f>
        <v>6</v>
      </c>
      <c r="BB190" s="238">
        <f>COUNTIFS($D$2:$D879, "Common", $E$2:$E879, "TOG", $F$2:F879, "Warlock" )*2</f>
        <v>6</v>
      </c>
      <c r="BC190" s="229">
        <f>SUMIFS($W$2:$W879, $D$2:$D879, "Common", $E$2:$E879, "Adv4", $F$2:F879, "Warlock")</f>
        <v>0</v>
      </c>
      <c r="BD190" s="238">
        <f>COUNTIFS($D$2:$D879, "Common", $E$2:$E879, "Adv4", $F$2:F879, "Warlock" )*2</f>
        <v>0</v>
      </c>
    </row>
    <row r="191" spans="1:56" ht="14.25">
      <c r="A191" s="187"/>
      <c r="B191" s="187">
        <v>1</v>
      </c>
      <c r="C191" s="320" t="s">
        <v>532</v>
      </c>
      <c r="D191" s="321" t="s">
        <v>63</v>
      </c>
      <c r="E191" s="321" t="s">
        <v>77</v>
      </c>
      <c r="F191" s="321" t="s">
        <v>16</v>
      </c>
      <c r="G191" s="325">
        <v>2</v>
      </c>
      <c r="H191" s="325">
        <v>0</v>
      </c>
      <c r="I191" s="323">
        <v>1</v>
      </c>
      <c r="J191" s="323">
        <v>1</v>
      </c>
      <c r="K191" s="229" t="s">
        <v>146</v>
      </c>
      <c r="L191" s="229" t="s">
        <v>508</v>
      </c>
      <c r="M191" s="229"/>
      <c r="N191" s="229"/>
      <c r="O191" s="326" t="s">
        <v>533</v>
      </c>
      <c r="P191" s="289"/>
      <c r="Q191" s="321" t="s">
        <v>148</v>
      </c>
      <c r="R191" s="173"/>
      <c r="S191" s="195">
        <f>MATCH($D191,Reference!$J$5:$J$9,0)</f>
        <v>2</v>
      </c>
      <c r="T191" s="195">
        <f>MATCH($E191,Reference!$J$26:$J$32,0)</f>
        <v>2</v>
      </c>
      <c r="U191" s="195">
        <f>MATCH($F191,Reference!$J$45:$J$54,0)</f>
        <v>4</v>
      </c>
      <c r="V191" s="196">
        <f>MATCH($K191,Reference!$J$37:$J$39,0)</f>
        <v>2</v>
      </c>
      <c r="W191" s="197">
        <f t="shared" si="278"/>
        <v>2</v>
      </c>
      <c r="X191" s="197">
        <f t="shared" si="1"/>
        <v>1</v>
      </c>
      <c r="Y191" s="197">
        <f t="shared" si="301"/>
        <v>0</v>
      </c>
      <c r="Z191" s="197">
        <f t="shared" si="279"/>
        <v>2</v>
      </c>
      <c r="AA191" s="199" t="b">
        <f t="shared" si="3"/>
        <v>0</v>
      </c>
      <c r="AB191" s="199" t="b">
        <f t="shared" si="4"/>
        <v>0</v>
      </c>
      <c r="AC191" s="200">
        <f t="shared" ref="AC191:AD191" si="350">1-I191</f>
        <v>0</v>
      </c>
      <c r="AD191" s="200">
        <f t="shared" si="350"/>
        <v>0</v>
      </c>
      <c r="AE191" s="199">
        <f t="shared" si="6"/>
        <v>2</v>
      </c>
      <c r="AF191" s="201">
        <f t="shared" si="281"/>
        <v>0</v>
      </c>
      <c r="AG191" s="201">
        <f t="shared" si="8"/>
        <v>1</v>
      </c>
      <c r="AH191" s="202">
        <f t="shared" si="303"/>
        <v>0</v>
      </c>
      <c r="AI191" s="205"/>
      <c r="AJ191" s="257" t="s">
        <v>68</v>
      </c>
      <c r="AK191" s="242">
        <f t="shared" ref="AK191:AL191" si="351">SUM(AO191+AM191+AQ191+AS191+AU191+AW191+AY191+BA191+BC191)</f>
        <v>30</v>
      </c>
      <c r="AL191" s="242">
        <f t="shared" si="351"/>
        <v>32</v>
      </c>
      <c r="AM191" s="269">
        <f>SUMIFS($W$2:$W879, $D$2:$D879, "Rare", $E$2:$E879, "Classic", $F$2:F879, "Warlock")</f>
        <v>10</v>
      </c>
      <c r="AN191" s="242">
        <f>COUNTIFS($D$2:$D879, "Rare", $E$2:$E879, "Classic", $F$2:F879, "Warlock" )*2</f>
        <v>10</v>
      </c>
      <c r="AO191" s="270">
        <f>SUMIFS($W$2:$W879, $D$2:$D879, "Rare", $E$2:$E879, "Promo", $F$2:F879, "Warlock")</f>
        <v>0</v>
      </c>
      <c r="AP191" s="243">
        <f>COUNTIFS($D$2:$D879, "Rare", $E$2:$E879, "Promo", $F$2:F879, "Warlock" )*2</f>
        <v>0</v>
      </c>
      <c r="AQ191" s="269">
        <f>SUMIFS($W$2:$W879, $D$2:$D879, "Rare", $E$2:$E879, "Naxx", $F$2:F879, "Warlock")</f>
        <v>0</v>
      </c>
      <c r="AR191" s="242">
        <f>COUNTIFS($D$2:$D879, "Rare", $E$2:$E879, "Naxx", $F$2:F879, "Warlock" )*2</f>
        <v>0</v>
      </c>
      <c r="AS191" s="270">
        <f>SUMIFS($W$2:$W879, $D$2:$D879, "Rare", $E$2:$E879, "GvG", $F$2:F879, "Warlock")</f>
        <v>6</v>
      </c>
      <c r="AT191" s="243">
        <f>COUNTIFS($D$2:$D879, "Rare", $E$2:$E879, "GvG", $F$2:F879, "Warlock" )*2</f>
        <v>6</v>
      </c>
      <c r="AU191" s="269">
        <f>SUMIFS($W$2:$W879, $D$2:$D879, "Rare", $E$2:$E879, "Blackrock", $F$2:F879, "Warlock")</f>
        <v>2</v>
      </c>
      <c r="AV191" s="242">
        <f>COUNTIFS($D$2:$D879, "Rare", $E$2:$E879, "Blackrock", $F$2:F879, "Warlock" )*2</f>
        <v>2</v>
      </c>
      <c r="AW191" s="269">
        <f>SUMIFS($W$2:$W879, $D$2:$D879, "Rare", $E$2:$E879, "TGT", $F$2:F879, "Warlock")</f>
        <v>5</v>
      </c>
      <c r="AX191" s="243">
        <f>COUNTIFS($D$2:$D879, "Rare", $E$2:$E879, "TGT", $F$2:F879, "Warlock" )*2</f>
        <v>6</v>
      </c>
      <c r="AY191" s="269">
        <f>SUMIFS($W$2:$W879, $D$2:$D879, "Rare", $E$2:$E879, "LoE", $F$2:F879, "Warlock")</f>
        <v>2</v>
      </c>
      <c r="AZ191" s="243">
        <f>COUNTIFS($D$2:$D879, "Rare", $E$2:$E879, "LoE", $F$2:F879, "Warlock" )*2</f>
        <v>2</v>
      </c>
      <c r="BA191" s="269">
        <f>SUMIFS($W$2:$W879, $D$2:$D879, "Rare", $E$2:$E879, "TOG", $F$2:F879, "Warlock")</f>
        <v>5</v>
      </c>
      <c r="BB191" s="243">
        <f>COUNTIFS($D$2:$D879, "Rare", $E$2:$E879, "TOG", $F$2:F879, "Warlock" )*2</f>
        <v>6</v>
      </c>
      <c r="BC191" s="269">
        <f>SUMIFS($W$2:$W879, $D$2:$D879, "Rare", $E$2:$E879, "Adv4", $F$2:F879, "Warlock")</f>
        <v>0</v>
      </c>
      <c r="BD191" s="243">
        <f>COUNTIFS($D$2:$D879, "Rare", $E$2:$E879, "Adv4", $F$2:F879, "Warlock" )*2</f>
        <v>0</v>
      </c>
    </row>
    <row r="192" spans="1:56" ht="14.25">
      <c r="A192" s="279"/>
      <c r="B192" s="187">
        <v>1</v>
      </c>
      <c r="C192" s="320" t="s">
        <v>534</v>
      </c>
      <c r="D192" s="321" t="s">
        <v>63</v>
      </c>
      <c r="E192" s="321" t="s">
        <v>77</v>
      </c>
      <c r="F192" s="321" t="s">
        <v>115</v>
      </c>
      <c r="G192" s="325">
        <v>2</v>
      </c>
      <c r="H192" s="325">
        <v>0</v>
      </c>
      <c r="I192" s="323">
        <v>0.33</v>
      </c>
      <c r="J192" s="323">
        <v>0</v>
      </c>
      <c r="K192" s="229" t="s">
        <v>182</v>
      </c>
      <c r="L192" s="229"/>
      <c r="M192" s="229">
        <v>0</v>
      </c>
      <c r="N192" s="229">
        <v>4</v>
      </c>
      <c r="O192" s="326" t="s">
        <v>192</v>
      </c>
      <c r="P192" s="289" t="s">
        <v>193</v>
      </c>
      <c r="Q192" s="321" t="s">
        <v>148</v>
      </c>
      <c r="R192" s="173"/>
      <c r="S192" s="195">
        <f>MATCH($D192,Reference!$J$5:$J$9,0)</f>
        <v>2</v>
      </c>
      <c r="T192" s="195">
        <f>MATCH($E192,Reference!$J$26:$J$32,0)</f>
        <v>2</v>
      </c>
      <c r="U192" s="195">
        <f>MATCH($F192,Reference!$J$45:$J$54,0)</f>
        <v>10</v>
      </c>
      <c r="V192" s="196">
        <f>MATCH($K192,Reference!$J$37:$J$39,0)</f>
        <v>3</v>
      </c>
      <c r="W192" s="197">
        <f t="shared" si="278"/>
        <v>2</v>
      </c>
      <c r="X192" s="197">
        <f t="shared" si="1"/>
        <v>1</v>
      </c>
      <c r="Y192" s="197">
        <f t="shared" si="301"/>
        <v>0</v>
      </c>
      <c r="Z192" s="197">
        <f t="shared" si="279"/>
        <v>2</v>
      </c>
      <c r="AA192" s="199" t="b">
        <f t="shared" si="3"/>
        <v>0</v>
      </c>
      <c r="AB192" s="199" t="b">
        <f t="shared" si="4"/>
        <v>0</v>
      </c>
      <c r="AC192" s="200">
        <f t="shared" ref="AC192:AD192" si="352">1-I192</f>
        <v>0.66999999999999993</v>
      </c>
      <c r="AD192" s="200">
        <f t="shared" si="352"/>
        <v>1</v>
      </c>
      <c r="AE192" s="199">
        <f t="shared" si="6"/>
        <v>2</v>
      </c>
      <c r="AF192" s="201">
        <f t="shared" si="281"/>
        <v>0</v>
      </c>
      <c r="AG192" s="201">
        <f t="shared" si="8"/>
        <v>1</v>
      </c>
      <c r="AH192" s="202">
        <f t="shared" si="303"/>
        <v>0</v>
      </c>
      <c r="AI192" s="205"/>
      <c r="AJ192" s="258" t="s">
        <v>69</v>
      </c>
      <c r="AK192" s="246">
        <f t="shared" ref="AK192:AL192" si="353">SUM(AO192+AM192+AQ192+AS192+AU192+AW192+AY192+BA192+BC192)</f>
        <v>11</v>
      </c>
      <c r="AL192" s="246">
        <f t="shared" si="353"/>
        <v>18</v>
      </c>
      <c r="AM192" s="272">
        <f>SUMIFS($W$2:$W879, $D$2:$D879, "Epic", $E$2:$E879, "Classic", $F$2:F879, "Warlock")</f>
        <v>4</v>
      </c>
      <c r="AN192" s="246">
        <f>COUNTIFS($D$2:$D879, "Epic", $E$2:$E879, "Classic", $F$2:F879, "Warlock" )*2</f>
        <v>6</v>
      </c>
      <c r="AO192" s="273">
        <f>SUMIFS($W$2:$W879, $D$2:$D879, "Epic", $E$2:$E879, "Promo", $F$2:F879, "Warlock")</f>
        <v>0</v>
      </c>
      <c r="AP192" s="247">
        <f>COUNTIFS($D$2:$D879, "Epic", $E$2:$E879, "Promo", $F$2:F879, "Warlock" )*2</f>
        <v>0</v>
      </c>
      <c r="AQ192" s="272">
        <f>SUMIFS($W$2:$W879, $D$2:$D879, "Epic", $E$2:$E879, "Naxx", $F$2:F879, "Warlock")</f>
        <v>0</v>
      </c>
      <c r="AR192" s="246">
        <f>COUNTIFS($D$2:$D879, "Epic", $E$2:$E879, "Naxx", $F$2:F879, "Warlock" )*2</f>
        <v>0</v>
      </c>
      <c r="AS192" s="273">
        <f>SUMIFS($W$2:$W879, $D$2:$D879, "Epic", $E$2:$E879, "GvG", $F$2:F879, "Warlock")</f>
        <v>2</v>
      </c>
      <c r="AT192" s="247">
        <f>COUNTIFS($D$2:$D879, "Epic", $E$2:$E879, "GvG", $F$2:F879, "Warlock" )*2</f>
        <v>4</v>
      </c>
      <c r="AU192" s="272">
        <f>SUMIFS($W$2:$W879, $D$2:$D879, "Epic", $E$2:$E879, "Blackrock", $F$2:F879, "Warlock")</f>
        <v>0</v>
      </c>
      <c r="AV192" s="246">
        <f>COUNTIFS($D$2:$D879, "Epic", $E$2:$E879, "Blackrock", $F$2:F879, "Warlock" )*2</f>
        <v>0</v>
      </c>
      <c r="AW192" s="272">
        <f>SUMIFS($W$2:$W879, $D$2:$D879, "Epic", $E$2:$E879, "TGT", $F$2:F879, "Warlock")</f>
        <v>4</v>
      </c>
      <c r="AX192" s="247">
        <f>COUNTIFS($D$2:$D879, "Epic", $E$2:$E879, "TGT", $F$2:F879, "Warlock" )*2</f>
        <v>4</v>
      </c>
      <c r="AY192" s="272">
        <f>SUMIFS($W$2:$W879, $D$2:$D879, "Epic", $E$2:$E879, "LoE", $F$2:F879, "Warlock")</f>
        <v>0</v>
      </c>
      <c r="AZ192" s="247">
        <f>COUNTIFS($D$2:$D879, "Epic", $E$2:$E879, "LoE", $F$2:F879, "Warlock" )*2</f>
        <v>0</v>
      </c>
      <c r="BA192" s="272">
        <f>SUMIFS($W$2:$W879, $D$2:$D879, "Epic", $E$2:$E879, "TOG", $F$2:F879, "Warlock")</f>
        <v>1</v>
      </c>
      <c r="BB192" s="247">
        <f>COUNTIFS($D$2:$D879, "Epic", $E$2:$E879, "TOG", $F$2:F879, "Warlock" )*2</f>
        <v>4</v>
      </c>
      <c r="BC192" s="272">
        <f>SUMIFS($W$2:$W879, $D$2:$D879, "Epic", $E$2:$E879, "Adv4", $F$2:F879, "Warlock")</f>
        <v>0</v>
      </c>
      <c r="BD192" s="247">
        <f>COUNTIFS($D$2:$D879, "Epic", $E$2:$E879, "Adv4", $F$2:F879, "Warlock" )*2</f>
        <v>0</v>
      </c>
    </row>
    <row r="193" spans="1:56" ht="14.25">
      <c r="A193" s="187"/>
      <c r="B193" s="187">
        <v>1</v>
      </c>
      <c r="C193" s="320" t="s">
        <v>535</v>
      </c>
      <c r="D193" s="321" t="s">
        <v>63</v>
      </c>
      <c r="E193" s="321" t="s">
        <v>77</v>
      </c>
      <c r="F193" s="321" t="s">
        <v>115</v>
      </c>
      <c r="G193" s="325">
        <v>2</v>
      </c>
      <c r="H193" s="325">
        <v>0</v>
      </c>
      <c r="I193" s="323">
        <v>0.33</v>
      </c>
      <c r="J193" s="323">
        <v>0.33</v>
      </c>
      <c r="K193" s="229" t="s">
        <v>182</v>
      </c>
      <c r="L193" s="229" t="s">
        <v>536</v>
      </c>
      <c r="M193" s="229">
        <v>2</v>
      </c>
      <c r="N193" s="229">
        <v>1</v>
      </c>
      <c r="O193" s="326" t="s">
        <v>537</v>
      </c>
      <c r="P193" s="289" t="s">
        <v>396</v>
      </c>
      <c r="Q193" s="321" t="s">
        <v>148</v>
      </c>
      <c r="R193" s="173"/>
      <c r="S193" s="195">
        <f>MATCH($D193,Reference!$J$5:$J$9,0)</f>
        <v>2</v>
      </c>
      <c r="T193" s="195">
        <f>MATCH($E193,Reference!$J$26:$J$32,0)</f>
        <v>2</v>
      </c>
      <c r="U193" s="195">
        <f>MATCH($F193,Reference!$J$45:$J$54,0)</f>
        <v>10</v>
      </c>
      <c r="V193" s="196">
        <f>MATCH($K193,Reference!$J$37:$J$39,0)</f>
        <v>3</v>
      </c>
      <c r="W193" s="197">
        <f t="shared" si="278"/>
        <v>2</v>
      </c>
      <c r="X193" s="197">
        <f t="shared" si="1"/>
        <v>1</v>
      </c>
      <c r="Y193" s="197">
        <f t="shared" si="301"/>
        <v>0</v>
      </c>
      <c r="Z193" s="197">
        <f t="shared" si="279"/>
        <v>2</v>
      </c>
      <c r="AA193" s="199" t="b">
        <f t="shared" si="3"/>
        <v>0</v>
      </c>
      <c r="AB193" s="199" t="b">
        <f t="shared" si="4"/>
        <v>0</v>
      </c>
      <c r="AC193" s="200">
        <f t="shared" ref="AC193:AD193" si="354">1-I193</f>
        <v>0.66999999999999993</v>
      </c>
      <c r="AD193" s="200">
        <f t="shared" si="354"/>
        <v>0.66999999999999993</v>
      </c>
      <c r="AE193" s="199">
        <f t="shared" si="6"/>
        <v>2</v>
      </c>
      <c r="AF193" s="201">
        <f t="shared" si="281"/>
        <v>0</v>
      </c>
      <c r="AG193" s="201">
        <f t="shared" si="8"/>
        <v>1</v>
      </c>
      <c r="AH193" s="202">
        <f t="shared" si="303"/>
        <v>0</v>
      </c>
      <c r="AI193" s="205"/>
      <c r="AJ193" s="249" t="s">
        <v>70</v>
      </c>
      <c r="AK193" s="250">
        <f t="shared" ref="AK193:AL193" si="355">SUM(AO193+AM193+AQ193+AS193+AU193+AW193+AY193+BA193+BC193)</f>
        <v>2</v>
      </c>
      <c r="AL193" s="250">
        <f t="shared" si="355"/>
        <v>4</v>
      </c>
      <c r="AM193" s="275">
        <f>SUMIFS($W$2:$W879, $D$2:$D879, "Legendary", $E$2:$E879, "Classic", $F$2:F879, "Warlock")</f>
        <v>1</v>
      </c>
      <c r="AN193" s="275">
        <f>COUNTIFS($D$2:$D879, "Legendary", $E$2:$E879, "Classic", $F$2:F879, "Warlock" )</f>
        <v>1</v>
      </c>
      <c r="AO193" s="276">
        <f>SUMIFS($W$2:$W879, $D$2:$D879, "Legendary", $E$2:$E879, "Promo", $F$2:F879, "Warlock")</f>
        <v>0</v>
      </c>
      <c r="AP193" s="277">
        <f>COUNTIFS($D$2:$D879, "Legendary", $E$2:$E879, "Promo", $F$2:F879, "Warlock" )</f>
        <v>0</v>
      </c>
      <c r="AQ193" s="275">
        <f>SUMIFS($W$2:$W879, $D$2:$D879, "Legendary", $E$2:$E879, "Naxx", $F$2:F879, "Warlock")</f>
        <v>0</v>
      </c>
      <c r="AR193" s="275">
        <f>COUNTIFS($D$2:$D879, "Legendary", $E$2:$E879, "Naxx", $F$2:F879, "Warlock" )</f>
        <v>0</v>
      </c>
      <c r="AS193" s="276">
        <f>SUMIFS($W$2:$W879, $D$2:$D879, "Legendary", $E$2:$E879, "GvG", $F$2:F879, "Warlock")</f>
        <v>1</v>
      </c>
      <c r="AT193" s="277">
        <f>COUNTIFS($D$2:$D879, "Legendary", $E$2:$E879, "GvG", $F$2:F879, "Warlock" )</f>
        <v>1</v>
      </c>
      <c r="AU193" s="275">
        <f>SUMIFS($W$2:$W879, $D$2:$D879, "Legendary", $E$2:$E879, "Blackrock", $F$2:F879, "Warlock")</f>
        <v>0</v>
      </c>
      <c r="AV193" s="275">
        <f>COUNTIFS($D$2:$D879, "Legendary", $E$2:$E879, "Blackrock", $F$2:F879, "Warlock" )</f>
        <v>0</v>
      </c>
      <c r="AW193" s="275">
        <f>SUMIFS($W$2:$W879, $D$2:$D879, "Legendary", $E$2:$E879, "TGT", $F$2:F879, "Warlock")</f>
        <v>0</v>
      </c>
      <c r="AX193" s="277">
        <f>COUNTIFS($D$2:$D879, "Legendary", $E$2:$E879, "TGT", $F$2:F879, "Warlock" )</f>
        <v>1</v>
      </c>
      <c r="AY193" s="275">
        <f>SUMIFS($W$2:$W879, $D$2:$D879, "Legendary", $E$2:$E879, "LoE", $F$2:F879, "Warlock")</f>
        <v>0</v>
      </c>
      <c r="AZ193" s="277">
        <f>COUNTIFS($D$2:$D879, "Legendary", $E$2:$E879, "LoE", $F$2:F879, "Warlock" )</f>
        <v>0</v>
      </c>
      <c r="BA193" s="275">
        <f>SUMIFS($W$2:$W879, $D$2:$D879, "Legendary", $E$2:$E879, "TOG", $F$2:F879, "Warlock")</f>
        <v>0</v>
      </c>
      <c r="BB193" s="277">
        <f>COUNTIFS($D$2:$D879, "Legendary", $E$2:$E879, "TOG", $F$2:F879, "Warlock" )</f>
        <v>1</v>
      </c>
      <c r="BC193" s="275">
        <f>SUMIFS($W$2:$W879, $D$2:$D879, "Legendary", $E$2:$E879, "Adv4", $F$2:F879, "Warlock")</f>
        <v>0</v>
      </c>
      <c r="BD193" s="251">
        <f>COUNTIFS($D$2:$D879, "Legendary", $E$2:$E879, "Adv4", $F$2:F879, "Warlock" )*2</f>
        <v>0</v>
      </c>
    </row>
    <row r="194" spans="1:56" ht="14.25">
      <c r="A194" s="187"/>
      <c r="B194" s="187">
        <v>1</v>
      </c>
      <c r="C194" s="320" t="s">
        <v>538</v>
      </c>
      <c r="D194" s="321" t="s">
        <v>63</v>
      </c>
      <c r="E194" s="321" t="s">
        <v>77</v>
      </c>
      <c r="F194" s="321" t="s">
        <v>115</v>
      </c>
      <c r="G194" s="325">
        <v>2</v>
      </c>
      <c r="H194" s="322">
        <v>0</v>
      </c>
      <c r="I194" s="323">
        <v>0.33</v>
      </c>
      <c r="J194" s="323">
        <v>0.33</v>
      </c>
      <c r="K194" s="229" t="s">
        <v>182</v>
      </c>
      <c r="L194" s="237"/>
      <c r="M194" s="229">
        <v>2</v>
      </c>
      <c r="N194" s="229">
        <v>1</v>
      </c>
      <c r="O194" s="324" t="s">
        <v>539</v>
      </c>
      <c r="P194" s="292" t="s">
        <v>497</v>
      </c>
      <c r="Q194" s="321" t="s">
        <v>148</v>
      </c>
      <c r="R194" s="173"/>
      <c r="S194" s="195">
        <f>MATCH($D194,Reference!$J$5:$J$9,0)</f>
        <v>2</v>
      </c>
      <c r="T194" s="195">
        <f>MATCH($E194,Reference!$J$26:$J$32,0)</f>
        <v>2</v>
      </c>
      <c r="U194" s="195">
        <f>MATCH($F194,Reference!$J$45:$J$54,0)</f>
        <v>10</v>
      </c>
      <c r="V194" s="196">
        <f>MATCH($K194,Reference!$J$37:$J$39,0)</f>
        <v>3</v>
      </c>
      <c r="W194" s="197">
        <f t="shared" si="278"/>
        <v>2</v>
      </c>
      <c r="X194" s="197">
        <f t="shared" si="1"/>
        <v>1</v>
      </c>
      <c r="Y194" s="197">
        <f t="shared" si="301"/>
        <v>0</v>
      </c>
      <c r="Z194" s="197">
        <f t="shared" si="279"/>
        <v>2</v>
      </c>
      <c r="AA194" s="199" t="b">
        <f t="shared" si="3"/>
        <v>0</v>
      </c>
      <c r="AB194" s="199" t="b">
        <f t="shared" si="4"/>
        <v>0</v>
      </c>
      <c r="AC194" s="200">
        <f t="shared" ref="AC194:AD194" si="356">1-I194</f>
        <v>0.66999999999999993</v>
      </c>
      <c r="AD194" s="200">
        <f t="shared" si="356"/>
        <v>0.66999999999999993</v>
      </c>
      <c r="AE194" s="199">
        <f t="shared" si="6"/>
        <v>2</v>
      </c>
      <c r="AF194" s="201">
        <f t="shared" si="281"/>
        <v>0</v>
      </c>
      <c r="AG194" s="201">
        <f t="shared" si="8"/>
        <v>1</v>
      </c>
      <c r="AH194" s="202">
        <f t="shared" si="303"/>
        <v>0</v>
      </c>
      <c r="AI194" s="205"/>
      <c r="AJ194" s="259" t="s">
        <v>22</v>
      </c>
      <c r="AK194" s="260"/>
      <c r="AL194" s="261"/>
      <c r="AM194" s="260"/>
      <c r="AN194" s="261"/>
      <c r="AO194" s="260"/>
      <c r="AP194" s="261"/>
      <c r="AQ194" s="260"/>
      <c r="AR194" s="261"/>
      <c r="AS194" s="260"/>
      <c r="AT194" s="261"/>
      <c r="AU194" s="260"/>
      <c r="AV194" s="261"/>
      <c r="AW194" s="260"/>
      <c r="AX194" s="261"/>
      <c r="AY194" s="260"/>
      <c r="AZ194" s="261"/>
      <c r="BA194" s="260"/>
      <c r="BB194" s="261"/>
      <c r="BC194" s="260"/>
      <c r="BD194" s="261"/>
    </row>
    <row r="195" spans="1:56" ht="14.25">
      <c r="A195" s="187"/>
      <c r="B195" s="187">
        <v>1</v>
      </c>
      <c r="C195" s="320" t="s">
        <v>540</v>
      </c>
      <c r="D195" s="321" t="s">
        <v>63</v>
      </c>
      <c r="E195" s="321" t="s">
        <v>77</v>
      </c>
      <c r="F195" s="321" t="s">
        <v>115</v>
      </c>
      <c r="G195" s="325">
        <v>2</v>
      </c>
      <c r="H195" s="325">
        <v>0</v>
      </c>
      <c r="I195" s="323">
        <v>0</v>
      </c>
      <c r="J195" s="323">
        <v>0</v>
      </c>
      <c r="K195" s="229" t="s">
        <v>182</v>
      </c>
      <c r="L195" s="229" t="s">
        <v>230</v>
      </c>
      <c r="M195" s="229">
        <v>1</v>
      </c>
      <c r="N195" s="229">
        <v>1</v>
      </c>
      <c r="O195" s="326" t="s">
        <v>541</v>
      </c>
      <c r="P195" s="289" t="s">
        <v>542</v>
      </c>
      <c r="Q195" s="321" t="s">
        <v>148</v>
      </c>
      <c r="R195" s="173"/>
      <c r="S195" s="195">
        <f>MATCH($D195,Reference!$J$5:$J$9,0)</f>
        <v>2</v>
      </c>
      <c r="T195" s="195">
        <f>MATCH($E195,Reference!$J$26:$J$32,0)</f>
        <v>2</v>
      </c>
      <c r="U195" s="195">
        <f>MATCH($F195,Reference!$J$45:$J$54,0)</f>
        <v>10</v>
      </c>
      <c r="V195" s="196">
        <f>MATCH($K195,Reference!$J$37:$J$39,0)</f>
        <v>3</v>
      </c>
      <c r="W195" s="197">
        <f t="shared" si="278"/>
        <v>2</v>
      </c>
      <c r="X195" s="197">
        <f t="shared" si="1"/>
        <v>1</v>
      </c>
      <c r="Y195" s="197">
        <f t="shared" si="301"/>
        <v>0</v>
      </c>
      <c r="Z195" s="197">
        <f t="shared" si="279"/>
        <v>2</v>
      </c>
      <c r="AA195" s="199" t="b">
        <f t="shared" si="3"/>
        <v>0</v>
      </c>
      <c r="AB195" s="199" t="b">
        <f t="shared" si="4"/>
        <v>0</v>
      </c>
      <c r="AC195" s="200">
        <f t="shared" ref="AC195:AD195" si="357">1-I195</f>
        <v>1</v>
      </c>
      <c r="AD195" s="200">
        <f t="shared" si="357"/>
        <v>1</v>
      </c>
      <c r="AE195" s="199">
        <f t="shared" si="6"/>
        <v>2</v>
      </c>
      <c r="AF195" s="201">
        <f t="shared" si="281"/>
        <v>0</v>
      </c>
      <c r="AG195" s="201">
        <f t="shared" si="8"/>
        <v>1</v>
      </c>
      <c r="AH195" s="202">
        <f t="shared" si="303"/>
        <v>0</v>
      </c>
      <c r="AI195" s="205"/>
      <c r="AJ195" s="262" t="s">
        <v>224</v>
      </c>
      <c r="AK195" s="263">
        <f t="shared" ref="AK195:AP195" si="358">SUM(AK183:AK187)</f>
        <v>54</v>
      </c>
      <c r="AL195" s="264">
        <f t="shared" si="358"/>
        <v>57</v>
      </c>
      <c r="AM195" s="263">
        <f t="shared" si="358"/>
        <v>25</v>
      </c>
      <c r="AN195" s="264">
        <f t="shared" si="358"/>
        <v>25</v>
      </c>
      <c r="AO195" s="263">
        <f t="shared" si="358"/>
        <v>0</v>
      </c>
      <c r="AP195" s="264">
        <f t="shared" si="358"/>
        <v>0</v>
      </c>
      <c r="AQ195" s="263">
        <f>SUM(AQ183:AQ187)</f>
        <v>1</v>
      </c>
      <c r="AR195" s="264">
        <f>SUM(AR183:AR187)</f>
        <v>1</v>
      </c>
      <c r="AS195" s="263">
        <f>SUM(AS183:AS187)</f>
        <v>8</v>
      </c>
      <c r="AT195" s="264">
        <f>SUM(AT183:AT187)</f>
        <v>8</v>
      </c>
      <c r="AU195" s="263">
        <f t="shared" ref="AU195:BD195" si="359">SUM(AU183:AU187)</f>
        <v>2</v>
      </c>
      <c r="AV195" s="264">
        <f t="shared" si="359"/>
        <v>2</v>
      </c>
      <c r="AW195" s="263">
        <f t="shared" si="359"/>
        <v>8</v>
      </c>
      <c r="AX195" s="264">
        <f t="shared" si="359"/>
        <v>9</v>
      </c>
      <c r="AY195" s="263">
        <f t="shared" si="359"/>
        <v>3</v>
      </c>
      <c r="AZ195" s="264">
        <f t="shared" si="359"/>
        <v>3</v>
      </c>
      <c r="BA195" s="263">
        <f t="shared" si="359"/>
        <v>7</v>
      </c>
      <c r="BB195" s="264">
        <f t="shared" si="359"/>
        <v>9</v>
      </c>
      <c r="BC195" s="263">
        <f t="shared" si="359"/>
        <v>0</v>
      </c>
      <c r="BD195" s="264">
        <f t="shared" si="359"/>
        <v>0</v>
      </c>
    </row>
    <row r="196" spans="1:56" ht="14.25">
      <c r="A196" s="187"/>
      <c r="B196" s="187">
        <v>2</v>
      </c>
      <c r="C196" s="320" t="s">
        <v>543</v>
      </c>
      <c r="D196" s="321" t="s">
        <v>63</v>
      </c>
      <c r="E196" s="321" t="s">
        <v>77</v>
      </c>
      <c r="F196" s="321" t="s">
        <v>115</v>
      </c>
      <c r="G196" s="325">
        <v>2</v>
      </c>
      <c r="H196" s="325">
        <v>0</v>
      </c>
      <c r="I196" s="323">
        <v>0.33</v>
      </c>
      <c r="J196" s="323">
        <v>0.33</v>
      </c>
      <c r="K196" s="229" t="s">
        <v>182</v>
      </c>
      <c r="L196" s="229"/>
      <c r="M196" s="229">
        <v>2</v>
      </c>
      <c r="N196" s="229">
        <v>3</v>
      </c>
      <c r="O196" s="326" t="s">
        <v>544</v>
      </c>
      <c r="P196" s="289" t="s">
        <v>545</v>
      </c>
      <c r="Q196" s="321" t="s">
        <v>148</v>
      </c>
      <c r="R196" s="173"/>
      <c r="S196" s="195">
        <f>MATCH($D196,Reference!$J$5:$J$9,0)</f>
        <v>2</v>
      </c>
      <c r="T196" s="195">
        <f>MATCH($E196,Reference!$J$26:$J$32,0)</f>
        <v>2</v>
      </c>
      <c r="U196" s="195">
        <f>MATCH($F196,Reference!$J$45:$J$54,0)</f>
        <v>10</v>
      </c>
      <c r="V196" s="196">
        <f>MATCH($K196,Reference!$J$37:$J$39,0)</f>
        <v>3</v>
      </c>
      <c r="W196" s="197">
        <f t="shared" si="278"/>
        <v>2</v>
      </c>
      <c r="X196" s="197">
        <f t="shared" si="1"/>
        <v>1</v>
      </c>
      <c r="Y196" s="197">
        <f t="shared" si="301"/>
        <v>0</v>
      </c>
      <c r="Z196" s="197">
        <f t="shared" si="279"/>
        <v>2</v>
      </c>
      <c r="AA196" s="199" t="b">
        <f t="shared" si="3"/>
        <v>0</v>
      </c>
      <c r="AB196" s="199" t="b">
        <f t="shared" si="4"/>
        <v>0</v>
      </c>
      <c r="AC196" s="200">
        <f t="shared" ref="AC196:AD196" si="360">1-I196</f>
        <v>0.66999999999999993</v>
      </c>
      <c r="AD196" s="200">
        <f t="shared" si="360"/>
        <v>0.66999999999999993</v>
      </c>
      <c r="AE196" s="199">
        <f t="shared" si="6"/>
        <v>2</v>
      </c>
      <c r="AF196" s="201">
        <f t="shared" si="281"/>
        <v>0</v>
      </c>
      <c r="AG196" s="201">
        <f t="shared" si="8"/>
        <v>1</v>
      </c>
      <c r="AH196" s="202">
        <f t="shared" si="303"/>
        <v>0</v>
      </c>
      <c r="AI196" s="205"/>
      <c r="AJ196" s="265" t="s">
        <v>240</v>
      </c>
      <c r="AK196" s="266">
        <f t="shared" ref="AK196:AL196" si="361">SUM(AK189:AK193)</f>
        <v>98</v>
      </c>
      <c r="AL196" s="267">
        <f t="shared" si="361"/>
        <v>110</v>
      </c>
      <c r="AM196" s="266">
        <f t="shared" ref="AM196:AR196" si="362">SUM(AM189:AM193)</f>
        <v>47</v>
      </c>
      <c r="AN196" s="267">
        <f t="shared" si="362"/>
        <v>49</v>
      </c>
      <c r="AO196" s="266">
        <f t="shared" si="362"/>
        <v>0</v>
      </c>
      <c r="AP196" s="267">
        <f t="shared" si="362"/>
        <v>0</v>
      </c>
      <c r="AQ196" s="266">
        <f t="shared" si="362"/>
        <v>2</v>
      </c>
      <c r="AR196" s="267">
        <f t="shared" si="362"/>
        <v>2</v>
      </c>
      <c r="AS196" s="266">
        <f>SUM(AS190:AS193)</f>
        <v>12</v>
      </c>
      <c r="AT196" s="267">
        <f>SUM(AT189:AT193)</f>
        <v>15</v>
      </c>
      <c r="AU196" s="266">
        <f t="shared" ref="AU196:BD196" si="363">SUM(AU189:AU193)</f>
        <v>4</v>
      </c>
      <c r="AV196" s="267">
        <f t="shared" si="363"/>
        <v>4</v>
      </c>
      <c r="AW196" s="266">
        <f t="shared" si="363"/>
        <v>15</v>
      </c>
      <c r="AX196" s="267">
        <f t="shared" si="363"/>
        <v>17</v>
      </c>
      <c r="AY196" s="266">
        <f t="shared" si="363"/>
        <v>6</v>
      </c>
      <c r="AZ196" s="267">
        <f t="shared" si="363"/>
        <v>6</v>
      </c>
      <c r="BA196" s="266">
        <f t="shared" si="363"/>
        <v>12</v>
      </c>
      <c r="BB196" s="267">
        <f t="shared" si="363"/>
        <v>17</v>
      </c>
      <c r="BC196" s="266">
        <f t="shared" si="363"/>
        <v>0</v>
      </c>
      <c r="BD196" s="267">
        <f t="shared" si="363"/>
        <v>0</v>
      </c>
    </row>
    <row r="197" spans="1:56" ht="14.25">
      <c r="A197" s="187"/>
      <c r="B197" s="240">
        <v>2</v>
      </c>
      <c r="C197" s="327" t="s">
        <v>546</v>
      </c>
      <c r="D197" s="328" t="s">
        <v>63</v>
      </c>
      <c r="E197" s="328" t="s">
        <v>77</v>
      </c>
      <c r="F197" s="328" t="s">
        <v>16</v>
      </c>
      <c r="G197" s="322">
        <v>2</v>
      </c>
      <c r="H197" s="322">
        <v>0</v>
      </c>
      <c r="I197" s="323">
        <v>0.66</v>
      </c>
      <c r="J197" s="323">
        <v>0.66</v>
      </c>
      <c r="K197" s="237" t="s">
        <v>182</v>
      </c>
      <c r="L197" s="237"/>
      <c r="M197" s="237">
        <v>2</v>
      </c>
      <c r="N197" s="237">
        <v>2</v>
      </c>
      <c r="O197" s="324" t="s">
        <v>547</v>
      </c>
      <c r="P197" s="292" t="s">
        <v>184</v>
      </c>
      <c r="Q197" s="328" t="s">
        <v>148</v>
      </c>
      <c r="R197" s="173"/>
      <c r="S197" s="195">
        <f>MATCH($D197,Reference!$J$5:$J$9,0)</f>
        <v>2</v>
      </c>
      <c r="T197" s="195">
        <f>MATCH($E197,Reference!$J$26:$J$32,0)</f>
        <v>2</v>
      </c>
      <c r="U197" s="195">
        <f>MATCH($F197,Reference!$J$45:$J$54,0)</f>
        <v>4</v>
      </c>
      <c r="V197" s="196">
        <f>MATCH($K197,Reference!$J$37:$J$39,0)</f>
        <v>3</v>
      </c>
      <c r="W197" s="197">
        <f t="shared" si="278"/>
        <v>2</v>
      </c>
      <c r="X197" s="197">
        <f t="shared" si="1"/>
        <v>1</v>
      </c>
      <c r="Y197" s="197">
        <f t="shared" si="301"/>
        <v>0</v>
      </c>
      <c r="Z197" s="197">
        <f t="shared" si="279"/>
        <v>2</v>
      </c>
      <c r="AA197" s="199" t="b">
        <f t="shared" si="3"/>
        <v>0</v>
      </c>
      <c r="AB197" s="199" t="b">
        <f t="shared" si="4"/>
        <v>0</v>
      </c>
      <c r="AC197" s="200">
        <f t="shared" ref="AC197:AD197" si="364">1-I197</f>
        <v>0.33999999999999997</v>
      </c>
      <c r="AD197" s="200">
        <f t="shared" si="364"/>
        <v>0.33999999999999997</v>
      </c>
      <c r="AE197" s="199">
        <f t="shared" si="6"/>
        <v>2</v>
      </c>
      <c r="AF197" s="201">
        <f t="shared" si="281"/>
        <v>0</v>
      </c>
      <c r="AG197" s="201">
        <f t="shared" si="8"/>
        <v>1</v>
      </c>
      <c r="AH197" s="202">
        <f t="shared" si="303"/>
        <v>0</v>
      </c>
      <c r="AI197" s="205"/>
      <c r="AJ197" s="173"/>
      <c r="AK197" s="173"/>
      <c r="AL197" s="173"/>
      <c r="AM197" s="173"/>
      <c r="AN197" s="173"/>
      <c r="AO197" s="173"/>
      <c r="AP197" s="173"/>
      <c r="AQ197" s="173"/>
      <c r="AR197" s="173"/>
      <c r="AS197" s="173"/>
      <c r="AT197" s="173"/>
      <c r="AU197" s="173"/>
      <c r="AV197" s="173"/>
    </row>
    <row r="198" spans="1:56" ht="14.25">
      <c r="A198" s="187"/>
      <c r="B198" s="240">
        <v>2</v>
      </c>
      <c r="C198" s="327" t="s">
        <v>548</v>
      </c>
      <c r="D198" s="328" t="s">
        <v>63</v>
      </c>
      <c r="E198" s="328" t="s">
        <v>77</v>
      </c>
      <c r="F198" s="328" t="s">
        <v>26</v>
      </c>
      <c r="G198" s="322">
        <v>2</v>
      </c>
      <c r="H198" s="322">
        <v>0</v>
      </c>
      <c r="I198" s="323">
        <v>1</v>
      </c>
      <c r="J198" s="323">
        <v>1</v>
      </c>
      <c r="K198" s="237" t="s">
        <v>146</v>
      </c>
      <c r="L198" s="237"/>
      <c r="M198" s="237"/>
      <c r="N198" s="237"/>
      <c r="O198" s="324" t="s">
        <v>549</v>
      </c>
      <c r="P198" s="292"/>
      <c r="Q198" s="328" t="s">
        <v>148</v>
      </c>
      <c r="R198" s="34"/>
      <c r="S198" s="195">
        <f>MATCH($D198,Reference!$J$5:$J$9,0)</f>
        <v>2</v>
      </c>
      <c r="T198" s="195">
        <f>MATCH($E198,Reference!$J$26:$J$32,0)</f>
        <v>2</v>
      </c>
      <c r="U198" s="195">
        <f>MATCH($F198,Reference!$J$45:$J$54,0)</f>
        <v>9</v>
      </c>
      <c r="V198" s="196">
        <f>MATCH($K198,Reference!$J$37:$J$39,0)</f>
        <v>2</v>
      </c>
      <c r="W198" s="197">
        <f t="shared" si="278"/>
        <v>2</v>
      </c>
      <c r="X198" s="197">
        <f t="shared" si="1"/>
        <v>1</v>
      </c>
      <c r="Y198" s="197">
        <f t="shared" si="301"/>
        <v>0</v>
      </c>
      <c r="Z198" s="197">
        <f t="shared" si="279"/>
        <v>2</v>
      </c>
      <c r="AA198" s="199" t="b">
        <f t="shared" si="3"/>
        <v>0</v>
      </c>
      <c r="AB198" s="199" t="b">
        <f t="shared" si="4"/>
        <v>0</v>
      </c>
      <c r="AC198" s="200">
        <f t="shared" ref="AC198:AD198" si="365">1-I198</f>
        <v>0</v>
      </c>
      <c r="AD198" s="200">
        <f t="shared" si="365"/>
        <v>0</v>
      </c>
      <c r="AE198" s="199">
        <f t="shared" si="6"/>
        <v>2</v>
      </c>
      <c r="AF198" s="201">
        <f t="shared" si="281"/>
        <v>0</v>
      </c>
      <c r="AG198" s="201">
        <f t="shared" si="8"/>
        <v>1</v>
      </c>
      <c r="AH198" s="202">
        <f t="shared" si="303"/>
        <v>0</v>
      </c>
      <c r="AI198" s="205"/>
    </row>
    <row r="199" spans="1:56">
      <c r="A199" s="206"/>
      <c r="B199" s="240">
        <v>2</v>
      </c>
      <c r="C199" s="327" t="s">
        <v>550</v>
      </c>
      <c r="D199" s="328" t="s">
        <v>63</v>
      </c>
      <c r="E199" s="328" t="s">
        <v>77</v>
      </c>
      <c r="F199" s="328" t="s">
        <v>20</v>
      </c>
      <c r="G199" s="322">
        <v>2</v>
      </c>
      <c r="H199" s="322">
        <v>0</v>
      </c>
      <c r="I199" s="323">
        <v>0</v>
      </c>
      <c r="J199" s="323">
        <v>0</v>
      </c>
      <c r="K199" s="237" t="s">
        <v>146</v>
      </c>
      <c r="L199" s="237"/>
      <c r="M199" s="237"/>
      <c r="N199" s="237"/>
      <c r="O199" s="324" t="s">
        <v>551</v>
      </c>
      <c r="P199" s="292"/>
      <c r="Q199" s="328" t="s">
        <v>148</v>
      </c>
      <c r="R199" s="173"/>
      <c r="S199" s="195">
        <f>MATCH($D199,Reference!$J$5:$J$9,0)</f>
        <v>2</v>
      </c>
      <c r="T199" s="195">
        <f>MATCH($E199,Reference!$J$26:$J$32,0)</f>
        <v>2</v>
      </c>
      <c r="U199" s="195">
        <f>MATCH($F199,Reference!$J$45:$J$54,0)</f>
        <v>6</v>
      </c>
      <c r="V199" s="196">
        <f>MATCH($K199,Reference!$J$37:$J$39,0)</f>
        <v>2</v>
      </c>
      <c r="W199" s="197">
        <f t="shared" si="278"/>
        <v>2</v>
      </c>
      <c r="X199" s="197">
        <f t="shared" si="1"/>
        <v>1</v>
      </c>
      <c r="Y199" s="197">
        <f t="shared" si="301"/>
        <v>0</v>
      </c>
      <c r="Z199" s="197">
        <f t="shared" si="279"/>
        <v>2</v>
      </c>
      <c r="AA199" s="199" t="b">
        <f t="shared" si="3"/>
        <v>0</v>
      </c>
      <c r="AB199" s="199" t="b">
        <f t="shared" si="4"/>
        <v>0</v>
      </c>
      <c r="AC199" s="200">
        <f t="shared" ref="AC199:AD199" si="366">1-I199</f>
        <v>1</v>
      </c>
      <c r="AD199" s="200">
        <f t="shared" si="366"/>
        <v>1</v>
      </c>
      <c r="AE199" s="199">
        <f t="shared" si="6"/>
        <v>2</v>
      </c>
      <c r="AF199" s="201">
        <f t="shared" si="281"/>
        <v>0</v>
      </c>
      <c r="AG199" s="201">
        <f t="shared" si="8"/>
        <v>1</v>
      </c>
      <c r="AH199" s="202">
        <f t="shared" si="303"/>
        <v>0</v>
      </c>
      <c r="AI199" s="205"/>
      <c r="AJ199" s="1134" t="s">
        <v>26</v>
      </c>
      <c r="AK199" s="1102"/>
      <c r="AL199" s="1102"/>
      <c r="AM199" s="1102"/>
      <c r="AN199" s="1102"/>
      <c r="AO199" s="1102"/>
      <c r="AP199" s="1102"/>
      <c r="AQ199" s="1102"/>
      <c r="AR199" s="1102"/>
      <c r="AS199" s="1102"/>
      <c r="AT199" s="1102"/>
      <c r="AU199" s="1102"/>
      <c r="AV199" s="1102"/>
      <c r="AW199" s="1102"/>
      <c r="AX199" s="1102"/>
      <c r="AY199" s="1102"/>
      <c r="AZ199" s="1102"/>
      <c r="BA199" s="1102"/>
      <c r="BB199" s="1102"/>
      <c r="BC199" s="1102"/>
      <c r="BD199" s="1102"/>
    </row>
    <row r="200" spans="1:56" ht="14.25">
      <c r="A200" s="209"/>
      <c r="B200" s="187">
        <v>2</v>
      </c>
      <c r="C200" s="320" t="s">
        <v>552</v>
      </c>
      <c r="D200" s="321" t="s">
        <v>63</v>
      </c>
      <c r="E200" s="321" t="s">
        <v>77</v>
      </c>
      <c r="F200" s="321" t="s">
        <v>115</v>
      </c>
      <c r="G200" s="325">
        <v>2</v>
      </c>
      <c r="H200" s="325">
        <v>0</v>
      </c>
      <c r="I200" s="323">
        <v>0.33</v>
      </c>
      <c r="J200" s="323">
        <v>0.33</v>
      </c>
      <c r="K200" s="229" t="s">
        <v>182</v>
      </c>
      <c r="L200" s="229" t="s">
        <v>536</v>
      </c>
      <c r="M200" s="229">
        <v>2</v>
      </c>
      <c r="N200" s="229">
        <v>3</v>
      </c>
      <c r="O200" s="326" t="s">
        <v>553</v>
      </c>
      <c r="P200" s="289" t="s">
        <v>184</v>
      </c>
      <c r="Q200" s="321" t="s">
        <v>148</v>
      </c>
      <c r="R200" s="173"/>
      <c r="S200" s="195">
        <f>MATCH($D200,Reference!$J$5:$J$9,0)</f>
        <v>2</v>
      </c>
      <c r="T200" s="195">
        <f>MATCH($E200,Reference!$J$26:$J$32,0)</f>
        <v>2</v>
      </c>
      <c r="U200" s="195">
        <f>MATCH($F200,Reference!$J$45:$J$54,0)</f>
        <v>10</v>
      </c>
      <c r="V200" s="196">
        <f>MATCH($K200,Reference!$J$37:$J$39,0)</f>
        <v>3</v>
      </c>
      <c r="W200" s="197">
        <f t="shared" si="278"/>
        <v>2</v>
      </c>
      <c r="X200" s="197">
        <f t="shared" si="1"/>
        <v>1</v>
      </c>
      <c r="Y200" s="197">
        <f t="shared" si="301"/>
        <v>0</v>
      </c>
      <c r="Z200" s="197">
        <f t="shared" si="279"/>
        <v>2</v>
      </c>
      <c r="AA200" s="199" t="b">
        <f t="shared" si="3"/>
        <v>0</v>
      </c>
      <c r="AB200" s="199" t="b">
        <f t="shared" si="4"/>
        <v>0</v>
      </c>
      <c r="AC200" s="200">
        <f t="shared" ref="AC200:AD200" si="367">1-I200</f>
        <v>0.66999999999999993</v>
      </c>
      <c r="AD200" s="200">
        <f t="shared" si="367"/>
        <v>0.66999999999999993</v>
      </c>
      <c r="AE200" s="199">
        <f t="shared" si="6"/>
        <v>2</v>
      </c>
      <c r="AF200" s="201">
        <f t="shared" si="281"/>
        <v>0</v>
      </c>
      <c r="AG200" s="201">
        <f t="shared" si="8"/>
        <v>1</v>
      </c>
      <c r="AH200" s="202">
        <f t="shared" si="303"/>
        <v>0</v>
      </c>
      <c r="AI200" s="205"/>
      <c r="AJ200" s="224" t="s">
        <v>122</v>
      </c>
      <c r="AK200" s="1133" t="s">
        <v>22</v>
      </c>
      <c r="AL200" s="1102"/>
      <c r="AM200" s="1133" t="s">
        <v>77</v>
      </c>
      <c r="AN200" s="1102"/>
      <c r="AO200" s="1133" t="s">
        <v>78</v>
      </c>
      <c r="AP200" s="1102"/>
      <c r="AQ200" s="1133" t="s">
        <v>79</v>
      </c>
      <c r="AR200" s="1102"/>
      <c r="AS200" s="1133" t="s">
        <v>80</v>
      </c>
      <c r="AT200" s="1102"/>
      <c r="AU200" s="1133" t="s">
        <v>220</v>
      </c>
      <c r="AV200" s="1102"/>
      <c r="AW200" s="1133" t="s">
        <v>82</v>
      </c>
      <c r="AX200" s="1102"/>
      <c r="AY200" s="1133" t="s">
        <v>84</v>
      </c>
      <c r="AZ200" s="1102"/>
      <c r="BA200" s="1133" t="s">
        <v>73</v>
      </c>
      <c r="BB200" s="1102"/>
      <c r="BC200" s="1133" t="s">
        <v>221</v>
      </c>
      <c r="BD200" s="1102"/>
    </row>
    <row r="201" spans="1:56" ht="14.25">
      <c r="A201" s="206"/>
      <c r="B201" s="187">
        <v>2</v>
      </c>
      <c r="C201" s="320" t="s">
        <v>554</v>
      </c>
      <c r="D201" s="321" t="s">
        <v>63</v>
      </c>
      <c r="E201" s="321" t="s">
        <v>77</v>
      </c>
      <c r="F201" s="321" t="s">
        <v>26</v>
      </c>
      <c r="G201" s="325">
        <v>2</v>
      </c>
      <c r="H201" s="325">
        <v>0</v>
      </c>
      <c r="I201" s="323">
        <v>1</v>
      </c>
      <c r="J201" s="323">
        <v>1</v>
      </c>
      <c r="K201" s="229" t="s">
        <v>182</v>
      </c>
      <c r="L201" s="229"/>
      <c r="M201" s="229">
        <v>2</v>
      </c>
      <c r="N201" s="229">
        <v>2</v>
      </c>
      <c r="O201" s="326" t="s">
        <v>555</v>
      </c>
      <c r="P201" s="289" t="s">
        <v>184</v>
      </c>
      <c r="Q201" s="321" t="s">
        <v>148</v>
      </c>
      <c r="R201" s="173"/>
      <c r="S201" s="195">
        <f>MATCH($D201,Reference!$J$5:$J$9,0)</f>
        <v>2</v>
      </c>
      <c r="T201" s="195">
        <f>MATCH($E201,Reference!$J$26:$J$32,0)</f>
        <v>2</v>
      </c>
      <c r="U201" s="195">
        <f>MATCH($F201,Reference!$J$45:$J$54,0)</f>
        <v>9</v>
      </c>
      <c r="V201" s="196">
        <f>MATCH($K201,Reference!$J$37:$J$39,0)</f>
        <v>3</v>
      </c>
      <c r="W201" s="197">
        <f t="shared" si="278"/>
        <v>2</v>
      </c>
      <c r="X201" s="197">
        <f t="shared" si="1"/>
        <v>1</v>
      </c>
      <c r="Y201" s="197">
        <f t="shared" si="301"/>
        <v>0</v>
      </c>
      <c r="Z201" s="197">
        <f t="shared" si="279"/>
        <v>2</v>
      </c>
      <c r="AA201" s="199" t="b">
        <f t="shared" si="3"/>
        <v>0</v>
      </c>
      <c r="AB201" s="199" t="b">
        <f t="shared" si="4"/>
        <v>0</v>
      </c>
      <c r="AC201" s="200">
        <f t="shared" ref="AC201:AD201" si="368">1-I201</f>
        <v>0</v>
      </c>
      <c r="AD201" s="200">
        <f t="shared" si="368"/>
        <v>0</v>
      </c>
      <c r="AE201" s="199">
        <f t="shared" si="6"/>
        <v>2</v>
      </c>
      <c r="AF201" s="201">
        <f t="shared" si="281"/>
        <v>0</v>
      </c>
      <c r="AG201" s="201">
        <f t="shared" si="8"/>
        <v>1</v>
      </c>
      <c r="AH201" s="202">
        <f t="shared" si="303"/>
        <v>0</v>
      </c>
      <c r="AI201" s="205"/>
      <c r="AJ201" s="225" t="s">
        <v>224</v>
      </c>
      <c r="AK201" s="226"/>
      <c r="AL201" s="227"/>
      <c r="AM201" s="226"/>
      <c r="AN201" s="227"/>
      <c r="AO201" s="228"/>
      <c r="AP201" s="227"/>
      <c r="AQ201" s="226"/>
      <c r="AR201" s="227"/>
      <c r="AS201" s="228"/>
      <c r="AT201" s="227"/>
      <c r="AU201" s="226"/>
      <c r="AV201" s="227"/>
      <c r="AW201" s="229"/>
      <c r="AX201" s="230"/>
      <c r="AY201" s="229"/>
      <c r="AZ201" s="230"/>
      <c r="BA201" s="229"/>
      <c r="BB201" s="230"/>
      <c r="BC201" s="229"/>
      <c r="BD201" s="230"/>
    </row>
    <row r="202" spans="1:56" ht="14.25">
      <c r="A202" s="211"/>
      <c r="B202" s="187">
        <v>2</v>
      </c>
      <c r="C202" s="320" t="s">
        <v>556</v>
      </c>
      <c r="D202" s="321" t="s">
        <v>63</v>
      </c>
      <c r="E202" s="321" t="s">
        <v>77</v>
      </c>
      <c r="F202" s="321" t="s">
        <v>20</v>
      </c>
      <c r="G202" s="325">
        <v>2</v>
      </c>
      <c r="H202" s="325">
        <v>0</v>
      </c>
      <c r="I202" s="323">
        <v>0.33</v>
      </c>
      <c r="J202" s="323">
        <v>0</v>
      </c>
      <c r="K202" s="229" t="s">
        <v>182</v>
      </c>
      <c r="L202" s="229"/>
      <c r="M202" s="229">
        <v>2</v>
      </c>
      <c r="N202" s="229">
        <v>2</v>
      </c>
      <c r="O202" s="326" t="s">
        <v>557</v>
      </c>
      <c r="P202" s="289" t="s">
        <v>558</v>
      </c>
      <c r="Q202" s="321" t="s">
        <v>148</v>
      </c>
      <c r="R202" s="173"/>
      <c r="S202" s="195">
        <f>MATCH($D202,Reference!$J$5:$J$9,0)</f>
        <v>2</v>
      </c>
      <c r="T202" s="195">
        <f>MATCH($E202,Reference!$J$26:$J$32,0)</f>
        <v>2</v>
      </c>
      <c r="U202" s="195">
        <f>MATCH($F202,Reference!$J$45:$J$54,0)</f>
        <v>6</v>
      </c>
      <c r="V202" s="196">
        <f>MATCH($K202,Reference!$J$37:$J$39,0)</f>
        <v>3</v>
      </c>
      <c r="W202" s="197">
        <f t="shared" si="278"/>
        <v>2</v>
      </c>
      <c r="X202" s="197">
        <f t="shared" si="1"/>
        <v>1</v>
      </c>
      <c r="Y202" s="197">
        <f t="shared" si="301"/>
        <v>0</v>
      </c>
      <c r="Z202" s="197">
        <f t="shared" si="279"/>
        <v>2</v>
      </c>
      <c r="AA202" s="199" t="b">
        <f t="shared" si="3"/>
        <v>0</v>
      </c>
      <c r="AB202" s="199" t="b">
        <f t="shared" si="4"/>
        <v>0</v>
      </c>
      <c r="AC202" s="200">
        <f t="shared" ref="AC202:AD202" si="369">1-I202</f>
        <v>0.66999999999999993</v>
      </c>
      <c r="AD202" s="200">
        <f t="shared" si="369"/>
        <v>1</v>
      </c>
      <c r="AE202" s="199">
        <f t="shared" si="6"/>
        <v>2</v>
      </c>
      <c r="AF202" s="201">
        <f t="shared" si="281"/>
        <v>0</v>
      </c>
      <c r="AG202" s="201">
        <f t="shared" si="8"/>
        <v>1</v>
      </c>
      <c r="AH202" s="202">
        <f t="shared" si="303"/>
        <v>0</v>
      </c>
      <c r="AI202" s="205"/>
      <c r="AJ202" s="231" t="s">
        <v>58</v>
      </c>
      <c r="AK202" s="232">
        <f t="shared" ref="AK202:AL202" si="370">SUM(AO202+AM202+AQ202+AS202+AU202+AW202+AY202+BA202+BC202)</f>
        <v>10</v>
      </c>
      <c r="AL202" s="232">
        <f t="shared" si="370"/>
        <v>10</v>
      </c>
      <c r="AM202" s="191">
        <f>SUMIFS($X$2:$X879, $E$2:$E879, "Basic", $F$2:F879, "Warrior")</f>
        <v>10</v>
      </c>
      <c r="AN202" s="191">
        <f>COUNTIFS($E$2:$E879, "Basic", $E$2:$E879, "Basic", $F$2:F879, "Warrior" )</f>
        <v>10</v>
      </c>
      <c r="AO202" s="234"/>
      <c r="AP202" s="235"/>
      <c r="AQ202" s="191"/>
      <c r="AR202" s="235"/>
      <c r="AS202" s="234"/>
      <c r="AT202" s="235"/>
      <c r="AU202" s="191"/>
      <c r="AV202" s="235"/>
      <c r="AW202" s="191"/>
      <c r="AX202" s="235"/>
      <c r="AY202" s="191"/>
      <c r="AZ202" s="235"/>
      <c r="BA202" s="191"/>
      <c r="BB202" s="235"/>
      <c r="BC202" s="191"/>
      <c r="BD202" s="235"/>
    </row>
    <row r="203" spans="1:56" ht="14.25">
      <c r="A203" s="187"/>
      <c r="B203" s="240">
        <v>2</v>
      </c>
      <c r="C203" s="327" t="s">
        <v>559</v>
      </c>
      <c r="D203" s="328" t="s">
        <v>63</v>
      </c>
      <c r="E203" s="328" t="s">
        <v>77</v>
      </c>
      <c r="F203" s="328" t="s">
        <v>25</v>
      </c>
      <c r="G203" s="322">
        <v>2</v>
      </c>
      <c r="H203" s="322">
        <v>0</v>
      </c>
      <c r="I203" s="323">
        <v>0.33</v>
      </c>
      <c r="J203" s="323">
        <v>0.33</v>
      </c>
      <c r="K203" s="237" t="s">
        <v>146</v>
      </c>
      <c r="L203" s="237"/>
      <c r="M203" s="237"/>
      <c r="N203" s="237"/>
      <c r="O203" s="324" t="s">
        <v>560</v>
      </c>
      <c r="P203" s="292"/>
      <c r="Q203" s="328" t="s">
        <v>148</v>
      </c>
      <c r="R203" s="173"/>
      <c r="S203" s="195">
        <f>MATCH($D203,Reference!$J$5:$J$9,0)</f>
        <v>2</v>
      </c>
      <c r="T203" s="195">
        <f>MATCH($E203,Reference!$J$26:$J$32,0)</f>
        <v>2</v>
      </c>
      <c r="U203" s="195">
        <f>MATCH($F203,Reference!$J$45:$J$54,0)</f>
        <v>8</v>
      </c>
      <c r="V203" s="196">
        <f>MATCH($K203,Reference!$J$37:$J$39,0)</f>
        <v>2</v>
      </c>
      <c r="W203" s="197">
        <f t="shared" si="278"/>
        <v>2</v>
      </c>
      <c r="X203" s="197">
        <f t="shared" si="1"/>
        <v>1</v>
      </c>
      <c r="Y203" s="197">
        <f t="shared" si="301"/>
        <v>0</v>
      </c>
      <c r="Z203" s="197">
        <f t="shared" si="279"/>
        <v>2</v>
      </c>
      <c r="AA203" s="199" t="b">
        <f t="shared" si="3"/>
        <v>0</v>
      </c>
      <c r="AB203" s="199" t="b">
        <f t="shared" si="4"/>
        <v>0</v>
      </c>
      <c r="AC203" s="200">
        <f t="shared" ref="AC203:AD203" si="371">1-I203</f>
        <v>0.66999999999999993</v>
      </c>
      <c r="AD203" s="200">
        <f t="shared" si="371"/>
        <v>0.66999999999999993</v>
      </c>
      <c r="AE203" s="199">
        <f t="shared" si="6"/>
        <v>2</v>
      </c>
      <c r="AF203" s="201">
        <f t="shared" si="281"/>
        <v>0</v>
      </c>
      <c r="AG203" s="201">
        <f t="shared" si="8"/>
        <v>1</v>
      </c>
      <c r="AH203" s="202">
        <f t="shared" si="303"/>
        <v>0</v>
      </c>
      <c r="AI203" s="205"/>
      <c r="AJ203" s="236" t="s">
        <v>63</v>
      </c>
      <c r="AK203" s="237">
        <f t="shared" ref="AK203:AL203" si="372">SUM(AO203+AM203+AQ203+AS203+AU203+AW203+AY203+BA203+BC203)</f>
        <v>18</v>
      </c>
      <c r="AL203" s="237">
        <f t="shared" si="372"/>
        <v>18</v>
      </c>
      <c r="AM203" s="229">
        <f>SUMIFS($X$2:$X879, $D$2:$D879, "Common", $E$2:$E879, "Classic", $F$2:F879, "Warrior")</f>
        <v>6</v>
      </c>
      <c r="AN203" s="229">
        <f>COUNTIFS($D$2:$D879, "Common", $E$2:$E879, "Classic", $F$2:F879, "Warrior" )</f>
        <v>6</v>
      </c>
      <c r="AO203" s="268">
        <f>SUMIFS($X$2:$X879, $D$2:$D879, "Common", $E$2:$E879, "Promo", $F$2:F879, "Warrior")</f>
        <v>0</v>
      </c>
      <c r="AP203" s="230">
        <f>COUNTIFS($D$2:$D879, "Common", $E$2:$E879, "Promo", $F$2:F879, "Warrior" )</f>
        <v>0</v>
      </c>
      <c r="AQ203" s="229">
        <f>SUMIFS($X$2:$X879, $D$2:$D879, "Common", $E$2:$E879, "Naxx", $F$2:F879, "Warrior")</f>
        <v>1</v>
      </c>
      <c r="AR203" s="229">
        <f>COUNTIFS($D$2:$D879, "Common", $E$2:$E879, "Naxx", $F$2:F879, "Warrior" )</f>
        <v>1</v>
      </c>
      <c r="AS203" s="268">
        <f>SUMIFS($X$2:$X879, $D$2:$D879, "Common", $E$2:$E879, "GvG", $F$2:F879, "Warrior")</f>
        <v>2</v>
      </c>
      <c r="AT203" s="230">
        <f>COUNTIFS($D$2:$D879, "Common", $E$2:$E879, "GvG", $F$2:F879, "Warrior" )</f>
        <v>2</v>
      </c>
      <c r="AU203" s="229">
        <f>SUMIFS($X$2:$X879, $D$2:$D879, "Common", $E$2:$E879, "Blackrock", $F$2:F879, "Warrior")</f>
        <v>1</v>
      </c>
      <c r="AV203" s="229">
        <f>COUNTIFS($D$2:$D879, "Common", $E$2:$E879, "Blackrock", $F$2:F879, "Warrior" )</f>
        <v>1</v>
      </c>
      <c r="AW203" s="229">
        <f>SUMIFS($X$2:$X879, $D$2:$D879, "Common", $E$2:$E879, "TGT", $F$2:F879, "Warrior")</f>
        <v>3</v>
      </c>
      <c r="AX203" s="230">
        <f>COUNTIFS($D$2:$D879, "Common", $E$2:$E879, "TGT", $F$2:F879, "Warrior" )</f>
        <v>3</v>
      </c>
      <c r="AY203" s="229">
        <f>SUMIFS($X$2:$X879, $D$2:$D879, "Common", $E$2:$E879, "LoE", $F$2:F879, "Warrior")</f>
        <v>2</v>
      </c>
      <c r="AZ203" s="230">
        <f>COUNTIFS($D$2:$D879, "Common", $E$2:$E879, "LoE", $F$2:F879, "Warrior" )</f>
        <v>2</v>
      </c>
      <c r="BA203" s="229">
        <f>SUMIFS($X$2:$X879, $D$2:$D879, "Common", $E$2:$E879, "TOG", $F$2:F879, "Warrior")</f>
        <v>3</v>
      </c>
      <c r="BB203" s="230">
        <f>COUNTIFS($D$2:$D879, "Common", $E$2:$E879, "TOG", $F$2:F879, "Warrior" )</f>
        <v>3</v>
      </c>
      <c r="BC203" s="229">
        <f>SUMIFS($X$2:$X879, $D$2:$D879, "Common", $E$2:$E879, "Adv4", $F$2:F879, "Warrior")</f>
        <v>0</v>
      </c>
      <c r="BD203" s="230">
        <f>COUNTIFS($D$2:$D879, "Common", $E$2:$E879, "Adv4", $F$2:F879, "Warrior" )</f>
        <v>0</v>
      </c>
    </row>
    <row r="204" spans="1:56" ht="14.25">
      <c r="A204" s="209"/>
      <c r="B204" s="187">
        <v>2</v>
      </c>
      <c r="C204" s="320" t="s">
        <v>561</v>
      </c>
      <c r="D204" s="321" t="s">
        <v>63</v>
      </c>
      <c r="E204" s="321" t="s">
        <v>77</v>
      </c>
      <c r="F204" s="321" t="s">
        <v>115</v>
      </c>
      <c r="G204" s="325">
        <v>2</v>
      </c>
      <c r="H204" s="325">
        <v>0</v>
      </c>
      <c r="I204" s="323">
        <v>1</v>
      </c>
      <c r="J204" s="323">
        <v>1</v>
      </c>
      <c r="K204" s="229" t="s">
        <v>182</v>
      </c>
      <c r="L204" s="229" t="s">
        <v>230</v>
      </c>
      <c r="M204" s="229">
        <v>2</v>
      </c>
      <c r="N204" s="229">
        <v>2</v>
      </c>
      <c r="O204" s="326" t="s">
        <v>562</v>
      </c>
      <c r="P204" s="289" t="s">
        <v>197</v>
      </c>
      <c r="Q204" s="321" t="s">
        <v>148</v>
      </c>
      <c r="R204" s="173"/>
      <c r="S204" s="195">
        <f>MATCH($D204,Reference!$J$5:$J$9,0)</f>
        <v>2</v>
      </c>
      <c r="T204" s="195">
        <f>MATCH($E204,Reference!$J$26:$J$32,0)</f>
        <v>2</v>
      </c>
      <c r="U204" s="195">
        <f>MATCH($F204,Reference!$J$45:$J$54,0)</f>
        <v>10</v>
      </c>
      <c r="V204" s="196">
        <f>MATCH($K204,Reference!$J$37:$J$39,0)</f>
        <v>3</v>
      </c>
      <c r="W204" s="197">
        <f t="shared" si="278"/>
        <v>2</v>
      </c>
      <c r="X204" s="197">
        <f t="shared" si="1"/>
        <v>1</v>
      </c>
      <c r="Y204" s="197">
        <f t="shared" si="301"/>
        <v>0</v>
      </c>
      <c r="Z204" s="197">
        <f t="shared" si="279"/>
        <v>2</v>
      </c>
      <c r="AA204" s="199" t="b">
        <f t="shared" si="3"/>
        <v>0</v>
      </c>
      <c r="AB204" s="199" t="b">
        <f t="shared" si="4"/>
        <v>0</v>
      </c>
      <c r="AC204" s="200">
        <f t="shared" ref="AC204:AD204" si="373">1-I204</f>
        <v>0</v>
      </c>
      <c r="AD204" s="200">
        <f t="shared" si="373"/>
        <v>0</v>
      </c>
      <c r="AE204" s="199">
        <f t="shared" si="6"/>
        <v>2</v>
      </c>
      <c r="AF204" s="201">
        <f t="shared" si="281"/>
        <v>0</v>
      </c>
      <c r="AG204" s="201">
        <f t="shared" si="8"/>
        <v>1</v>
      </c>
      <c r="AH204" s="202">
        <f t="shared" si="303"/>
        <v>0</v>
      </c>
      <c r="AI204" s="205"/>
      <c r="AJ204" s="241" t="s">
        <v>68</v>
      </c>
      <c r="AK204" s="242">
        <f t="shared" ref="AK204:AL204" si="374">SUM(AO204+AM204+AQ204+AS204+AU204+AW204+AY204+BA204+BC204)</f>
        <v>16</v>
      </c>
      <c r="AL204" s="242">
        <f t="shared" si="374"/>
        <v>16</v>
      </c>
      <c r="AM204" s="269">
        <f>SUMIFS($X$2:$X879, $D$2:$D879, "Rare", $E$2:$E879, "Classic", $F$2:F879, "Warrior")</f>
        <v>5</v>
      </c>
      <c r="AN204" s="269">
        <f>COUNTIFS($D$2:$D879, "Rare", $E$2:$E879, "Classic", $F$2:F879, "Warrior" )</f>
        <v>5</v>
      </c>
      <c r="AO204" s="270">
        <f>SUMIFS($X$2:$X879, $D$2:$D879, "Rare", $E$2:$E879, "Promo", $F$2:F879, "Warrior")</f>
        <v>0</v>
      </c>
      <c r="AP204" s="271">
        <f>COUNTIFS($D$2:$D879, "Rare", $E$2:$E879, "Promo", $F$2:F879, "Warrior" )</f>
        <v>0</v>
      </c>
      <c r="AQ204" s="269">
        <f>SUMIFS($X$2:$X879, $D$2:$D879, "Rare", $E$2:$E879, "Naxx", $F$2:F879, "Warrior")</f>
        <v>0</v>
      </c>
      <c r="AR204" s="269">
        <f>COUNTIFS($D$2:$D879, "Rare", $E$2:$E879, "Naxx", $F$2:F879, "Warrior" )</f>
        <v>0</v>
      </c>
      <c r="AS204" s="270">
        <f>SUMIFS($X$2:$X879, $D$2:$D879, "Rare", $E$2:$E879, "GvG", $F$2:F879, "Warrior")</f>
        <v>3</v>
      </c>
      <c r="AT204" s="271">
        <f>COUNTIFS($D$2:$D879, "Rare", $E$2:$E879, "GvG", $F$2:F879, "Warrior" )</f>
        <v>3</v>
      </c>
      <c r="AU204" s="269">
        <f>SUMIFS($X$2:$X879, $D$2:$D879, "Rare", $E$2:$E879, "Blackrock", $F$2:F879, "Warrior")</f>
        <v>1</v>
      </c>
      <c r="AV204" s="269">
        <f>COUNTIFS($D$2:$D879, "Rare", $E$2:$E879, "Blackrock", $F$2:F879, "Warrior" )</f>
        <v>1</v>
      </c>
      <c r="AW204" s="269">
        <f>SUMIFS($X$2:$X879, $D$2:$D879, "Rare", $E$2:$E879, "TGT", $F$2:F879, "Warrior")</f>
        <v>3</v>
      </c>
      <c r="AX204" s="271">
        <f>COUNTIFS($D$2:$D879, "Rare", $E$2:$E879, "TGT", $F$2:F879, "Warrior" )</f>
        <v>3</v>
      </c>
      <c r="AY204" s="269">
        <f>SUMIFS($X$2:$X879, $D$2:$D879, "Rare", $E$2:$E879, "LoE", $F$2:F879, "Warrior")</f>
        <v>1</v>
      </c>
      <c r="AZ204" s="271">
        <f>COUNTIFS($D$2:$D879, "Rare", $E$2:$E879, "LoE", $F$2:F879, "Warrior" )</f>
        <v>1</v>
      </c>
      <c r="BA204" s="269">
        <f>SUMIFS($X$2:$X879, $D$2:$D879, "Rare", $E$2:$E879, "TOG", $F$2:F879, "Warrior")</f>
        <v>3</v>
      </c>
      <c r="BB204" s="271">
        <f>COUNTIFS($D$2:$D879, "Rare", $E$2:$E879, "TOG", $F$2:F879, "Warrior" )</f>
        <v>3</v>
      </c>
      <c r="BC204" s="269">
        <f>SUMIFS($X$2:$X879, $D$2:$D879, "Rare", $E$2:$E879, "Adv4", $F$2:F879, "Warrior")</f>
        <v>0</v>
      </c>
      <c r="BD204" s="271">
        <f>COUNTIFS($D$2:$D879, "Rare", $E$2:$E879, "Adv4", $F$2:F879, "Warrior" )</f>
        <v>0</v>
      </c>
    </row>
    <row r="205" spans="1:56" ht="14.25">
      <c r="A205" s="187"/>
      <c r="B205" s="240">
        <v>2</v>
      </c>
      <c r="C205" s="327" t="s">
        <v>563</v>
      </c>
      <c r="D205" s="328" t="s">
        <v>63</v>
      </c>
      <c r="E205" s="328" t="s">
        <v>77</v>
      </c>
      <c r="F205" s="328" t="s">
        <v>20</v>
      </c>
      <c r="G205" s="322">
        <v>2</v>
      </c>
      <c r="H205" s="322">
        <v>0</v>
      </c>
      <c r="I205" s="323">
        <v>1</v>
      </c>
      <c r="J205" s="323">
        <v>1</v>
      </c>
      <c r="K205" s="237" t="s">
        <v>146</v>
      </c>
      <c r="L205" s="237"/>
      <c r="M205" s="237"/>
      <c r="N205" s="237"/>
      <c r="O205" s="324" t="s">
        <v>564</v>
      </c>
      <c r="P205" s="292"/>
      <c r="Q205" s="328" t="s">
        <v>148</v>
      </c>
      <c r="R205" s="173"/>
      <c r="S205" s="195">
        <f>MATCH($D205,Reference!$J$5:$J$9,0)</f>
        <v>2</v>
      </c>
      <c r="T205" s="195">
        <f>MATCH($E205,Reference!$J$26:$J$32,0)</f>
        <v>2</v>
      </c>
      <c r="U205" s="195">
        <f>MATCH($F205,Reference!$J$45:$J$54,0)</f>
        <v>6</v>
      </c>
      <c r="V205" s="196">
        <f>MATCH($K205,Reference!$J$37:$J$39,0)</f>
        <v>2</v>
      </c>
      <c r="W205" s="197">
        <f t="shared" si="278"/>
        <v>2</v>
      </c>
      <c r="X205" s="197">
        <f t="shared" si="1"/>
        <v>1</v>
      </c>
      <c r="Y205" s="197">
        <f t="shared" si="301"/>
        <v>0</v>
      </c>
      <c r="Z205" s="197">
        <f t="shared" si="279"/>
        <v>2</v>
      </c>
      <c r="AA205" s="199" t="b">
        <f t="shared" si="3"/>
        <v>0</v>
      </c>
      <c r="AB205" s="199" t="b">
        <f t="shared" si="4"/>
        <v>0</v>
      </c>
      <c r="AC205" s="200">
        <f t="shared" ref="AC205:AD205" si="375">1-I205</f>
        <v>0</v>
      </c>
      <c r="AD205" s="200">
        <f t="shared" si="375"/>
        <v>0</v>
      </c>
      <c r="AE205" s="199">
        <f t="shared" si="6"/>
        <v>2</v>
      </c>
      <c r="AF205" s="201">
        <f t="shared" si="281"/>
        <v>0</v>
      </c>
      <c r="AG205" s="201">
        <f t="shared" si="8"/>
        <v>1</v>
      </c>
      <c r="AH205" s="202">
        <f t="shared" si="303"/>
        <v>0</v>
      </c>
      <c r="AI205" s="205"/>
      <c r="AJ205" s="245" t="s">
        <v>69</v>
      </c>
      <c r="AK205" s="246">
        <f t="shared" ref="AK205:AL205" si="376">SUM(AO205+AM205+AQ205+AS205+AU205+AW205+AY205+BA205+BC205)</f>
        <v>6</v>
      </c>
      <c r="AL205" s="246">
        <f t="shared" si="376"/>
        <v>9</v>
      </c>
      <c r="AM205" s="272">
        <f>SUMIFS($X$2:$X879, $D$2:$D879, "Epic", $E$2:$E879, "Classic", $F$2:F879, "Warrior")</f>
        <v>3</v>
      </c>
      <c r="AN205" s="272">
        <f>COUNTIFS($D$2:$D879, "Epic", $E$2:$E879, "Classic", $F$2:F879, "Warrior" )</f>
        <v>3</v>
      </c>
      <c r="AO205" s="273">
        <f>SUMIFS($X$2:$X879, $D$2:$D879, "Epic", $E$2:$E879, "Promo", $F$2:F879, "Warrior")</f>
        <v>0</v>
      </c>
      <c r="AP205" s="274">
        <f>COUNTIFS($D$2:$D879, "Epic", $E$2:$E879, "Promo", $F$2:F879, "Warrior" )</f>
        <v>0</v>
      </c>
      <c r="AQ205" s="272">
        <f>SUMIFS($X$2:$X879, $D$2:$D879, "Epic", $E$2:$E879, "Naxx", $F$2:F879, "Warrior")</f>
        <v>0</v>
      </c>
      <c r="AR205" s="272">
        <f>COUNTIFS($D$2:$D879, "Epic", $E$2:$E879, "Naxx", $F$2:F879, "Warrior" )</f>
        <v>0</v>
      </c>
      <c r="AS205" s="273">
        <f>SUMIFS($X$2:$X879, $D$2:$D879, "Epic", $E$2:$E879, "GvG", $F$2:F879, "Warrior")</f>
        <v>2</v>
      </c>
      <c r="AT205" s="274">
        <f>COUNTIFS($D$2:$D879, "Epic", $E$2:$E879, "GvG", $F$2:F879, "Warrior" )</f>
        <v>2</v>
      </c>
      <c r="AU205" s="272">
        <f>SUMIFS($X$2:$X879, $D$2:$D879, "Epic", $E$2:$E879, "Blackrock", $F$2:F879, "Warrior")</f>
        <v>0</v>
      </c>
      <c r="AV205" s="272">
        <f>COUNTIFS($D$2:$D879, "Epic", $E$2:$E879, "Blackrock", $F$2:F879, "Warrior" )</f>
        <v>0</v>
      </c>
      <c r="AW205" s="272">
        <f>SUMIFS($X$2:$X879, $D$2:$D879, "Epic", $E$2:$E879, "TGT", $F$2:F879, "Warrior")</f>
        <v>0</v>
      </c>
      <c r="AX205" s="274">
        <f>COUNTIFS($D$2:$D879, "Epic", $E$2:$E879, "TGT", $F$2:F879, "Warrior" )</f>
        <v>2</v>
      </c>
      <c r="AY205" s="272">
        <f>SUMIFS($X$2:$X879, $D$2:$D879, "Epic", $E$2:$E879, "LoE", $F$2:F879, "Warrior")</f>
        <v>0</v>
      </c>
      <c r="AZ205" s="274">
        <f>COUNTIFS($D$2:$D879, "Epic", $E$2:$E879, "LoE", $F$2:F879, "Warrior" )</f>
        <v>0</v>
      </c>
      <c r="BA205" s="272">
        <f>SUMIFS($X$2:$X879, $D$2:$D879, "Epic", $E$2:$E879, "TOG", $F$2:F879, "Warrior")</f>
        <v>1</v>
      </c>
      <c r="BB205" s="274">
        <f>COUNTIFS($D$2:$D879, "Epic", $E$2:$E879, "TOG", $F$2:F879, "Warrior" )</f>
        <v>2</v>
      </c>
      <c r="BC205" s="272">
        <f>SUMIFS($X$2:$X879, $D$2:$D879, "Epic", $E$2:$E879, "Adv4", $F$2:F879, "Warrior")</f>
        <v>0</v>
      </c>
      <c r="BD205" s="274">
        <f>COUNTIFS($D$2:$D879, "Epic", $E$2:$E879, "Adv4", $F$2:F879, "Warrior" )</f>
        <v>0</v>
      </c>
    </row>
    <row r="206" spans="1:56" ht="14.25">
      <c r="A206" s="209"/>
      <c r="B206" s="240">
        <v>2</v>
      </c>
      <c r="C206" s="327" t="s">
        <v>565</v>
      </c>
      <c r="D206" s="328" t="s">
        <v>63</v>
      </c>
      <c r="E206" s="328" t="s">
        <v>77</v>
      </c>
      <c r="F206" s="328" t="s">
        <v>11</v>
      </c>
      <c r="G206" s="322">
        <v>2</v>
      </c>
      <c r="H206" s="322">
        <v>1</v>
      </c>
      <c r="I206" s="323">
        <v>1</v>
      </c>
      <c r="J206" s="323">
        <v>1</v>
      </c>
      <c r="K206" s="237" t="s">
        <v>146</v>
      </c>
      <c r="L206" s="237" t="s">
        <v>508</v>
      </c>
      <c r="M206" s="237"/>
      <c r="N206" s="237"/>
      <c r="O206" s="324" t="s">
        <v>566</v>
      </c>
      <c r="P206" s="292"/>
      <c r="Q206" s="328" t="s">
        <v>148</v>
      </c>
      <c r="R206" s="173"/>
      <c r="S206" s="195">
        <f>MATCH($D206,Reference!$J$5:$J$9,0)</f>
        <v>2</v>
      </c>
      <c r="T206" s="195">
        <f>MATCH($E206,Reference!$J$26:$J$32,0)</f>
        <v>2</v>
      </c>
      <c r="U206" s="195">
        <f>MATCH($F206,Reference!$J$45:$J$54,0)</f>
        <v>2</v>
      </c>
      <c r="V206" s="196">
        <f>MATCH($K206,Reference!$J$37:$J$39,0)</f>
        <v>2</v>
      </c>
      <c r="W206" s="197">
        <f t="shared" si="278"/>
        <v>2</v>
      </c>
      <c r="X206" s="197">
        <f t="shared" si="1"/>
        <v>1</v>
      </c>
      <c r="Y206" s="197">
        <f t="shared" si="301"/>
        <v>50</v>
      </c>
      <c r="Z206" s="197">
        <f t="shared" si="279"/>
        <v>2</v>
      </c>
      <c r="AA206" s="199" t="b">
        <f t="shared" si="3"/>
        <v>0</v>
      </c>
      <c r="AB206" s="199" t="b">
        <f t="shared" si="4"/>
        <v>0</v>
      </c>
      <c r="AC206" s="200">
        <f t="shared" ref="AC206:AD206" si="377">1-I206</f>
        <v>0</v>
      </c>
      <c r="AD206" s="200">
        <f t="shared" si="377"/>
        <v>0</v>
      </c>
      <c r="AE206" s="199">
        <f t="shared" si="6"/>
        <v>2</v>
      </c>
      <c r="AF206" s="201">
        <f t="shared" si="281"/>
        <v>1</v>
      </c>
      <c r="AG206" s="201">
        <f t="shared" si="8"/>
        <v>1</v>
      </c>
      <c r="AH206" s="202">
        <f t="shared" si="303"/>
        <v>5</v>
      </c>
      <c r="AI206" s="205"/>
      <c r="AJ206" s="249" t="s">
        <v>70</v>
      </c>
      <c r="AK206" s="250">
        <f t="shared" ref="AK206:AL206" si="378">SUM(AO206+AM206+AQ206+AS206+AU206+AW206+AY206+BA206+BC206)</f>
        <v>2</v>
      </c>
      <c r="AL206" s="250">
        <f t="shared" si="378"/>
        <v>4</v>
      </c>
      <c r="AM206" s="275">
        <f>SUMIFS($X$2:$X879, $D$2:$D879, "Legendary", $E$2:$E879, "Classic", $F$2:F879, "Warrior")</f>
        <v>1</v>
      </c>
      <c r="AN206" s="275">
        <f>COUNTIFS($D$2:$D879, "Legendary", $E$2:$E879, "Classic", $F$2:F879, "Warrior" )</f>
        <v>1</v>
      </c>
      <c r="AO206" s="276">
        <f>SUMIFS($X$2:$X879, $D$2:$D879, "Legendary", $E$2:$E879, "Promo", $F$2:F879, "Warrior")</f>
        <v>0</v>
      </c>
      <c r="AP206" s="277">
        <f>COUNTIFS($D$2:$D879, "Legendary", $E$2:$E879, "Promo", $F$2:F879, "Warrior" )</f>
        <v>0</v>
      </c>
      <c r="AQ206" s="275">
        <f>SUMIFS($X$2:$X879, $D$2:$D879, "Legendary", $E$2:$E879, "Naxx", $F$2:F879, "Warrior")</f>
        <v>0</v>
      </c>
      <c r="AR206" s="275">
        <f>COUNTIFS($D$2:$D879, "Legendary", $E$2:$E879, "Naxx", $F$2:F879, "Warrior" )</f>
        <v>0</v>
      </c>
      <c r="AS206" s="276">
        <f>SUMIFS($X$2:$X879, $D$2:$D879, "Legendary", $E$2:$E879, "GvG", $F$2:F879, "Warrior")</f>
        <v>0</v>
      </c>
      <c r="AT206" s="277">
        <f>COUNTIFS($D$2:$D879, "Legendary", $E$2:$E879, "GvG", $F$2:F879, "Warrior" )</f>
        <v>1</v>
      </c>
      <c r="AU206" s="275">
        <f>SUMIFS($X$2:$X879, $D$2:$D879, "Legendary", $E$2:$E879, "Blackrock", $F$2:F879, "Warrior")</f>
        <v>0</v>
      </c>
      <c r="AV206" s="275">
        <f>COUNTIFS($D$2:$D879, "Legendary", $E$2:$E879, "Blackrock", $F$2:F879, "Warrior" )</f>
        <v>0</v>
      </c>
      <c r="AW206" s="275">
        <f>SUMIFS($X$2:$X879, $D$2:$D879, "Legendary", $E$2:$E879, "TGT", $F$2:F879, "Warrior")</f>
        <v>1</v>
      </c>
      <c r="AX206" s="277">
        <f>COUNTIFS($D$2:$D879, "Legendary", $E$2:$E879, "TGT", $F$2:F879, "Warrior" )</f>
        <v>1</v>
      </c>
      <c r="AY206" s="275">
        <f>SUMIFS($X$2:$X879, $D$2:$D879, "Legendary", $E$2:$E879, "LoE", $F$2:F879, "Warrior")</f>
        <v>0</v>
      </c>
      <c r="AZ206" s="277">
        <f>COUNTIFS($D$2:$D879, "Legendary", $E$2:$E879, "LoE", $F$2:F879, "Warrior" )</f>
        <v>0</v>
      </c>
      <c r="BA206" s="275">
        <f>SUMIFS($X$2:$X879, $D$2:$D879, "Legendary", $E$2:$E879, "TOG", $F$2:F879, "Warrior")</f>
        <v>0</v>
      </c>
      <c r="BB206" s="277">
        <f>COUNTIFS($D$2:$D879, "Legendary", $E$2:$E879, "TOG", $F$2:F879, "Warrior" )</f>
        <v>1</v>
      </c>
      <c r="BC206" s="275">
        <f>SUMIFS($X$2:$X879, $D$2:$D879, "Legendary", $E$2:$E879, "Adv4", $F$2:F879, "Warrior")</f>
        <v>0</v>
      </c>
      <c r="BD206" s="277">
        <f>COUNTIFS($D$2:$D879, "Legendary", $E$2:$E879, "Adv4", $F$2:F879, "Warrior" )</f>
        <v>0</v>
      </c>
    </row>
    <row r="207" spans="1:56" ht="14.25">
      <c r="A207" s="187"/>
      <c r="B207" s="187">
        <v>2</v>
      </c>
      <c r="C207" s="320" t="s">
        <v>567</v>
      </c>
      <c r="D207" s="321" t="s">
        <v>63</v>
      </c>
      <c r="E207" s="321" t="s">
        <v>77</v>
      </c>
      <c r="F207" s="321" t="s">
        <v>115</v>
      </c>
      <c r="G207" s="325">
        <v>2</v>
      </c>
      <c r="H207" s="325">
        <v>0</v>
      </c>
      <c r="I207" s="323">
        <v>0.33</v>
      </c>
      <c r="J207" s="323">
        <v>0.33</v>
      </c>
      <c r="K207" s="229" t="s">
        <v>182</v>
      </c>
      <c r="L207" s="229" t="s">
        <v>415</v>
      </c>
      <c r="M207" s="229">
        <v>3</v>
      </c>
      <c r="N207" s="229">
        <v>2</v>
      </c>
      <c r="O207" s="326" t="s">
        <v>568</v>
      </c>
      <c r="P207" s="289"/>
      <c r="Q207" s="321" t="s">
        <v>148</v>
      </c>
      <c r="R207" s="173"/>
      <c r="S207" s="195">
        <f>MATCH($D207,Reference!$J$5:$J$9,0)</f>
        <v>2</v>
      </c>
      <c r="T207" s="195">
        <f>MATCH($E207,Reference!$J$26:$J$32,0)</f>
        <v>2</v>
      </c>
      <c r="U207" s="195">
        <f>MATCH($F207,Reference!$J$45:$J$54,0)</f>
        <v>10</v>
      </c>
      <c r="V207" s="196">
        <f>MATCH($K207,Reference!$J$37:$J$39,0)</f>
        <v>3</v>
      </c>
      <c r="W207" s="197">
        <f t="shared" si="278"/>
        <v>2</v>
      </c>
      <c r="X207" s="197">
        <f t="shared" si="1"/>
        <v>1</v>
      </c>
      <c r="Y207" s="197">
        <f t="shared" si="301"/>
        <v>0</v>
      </c>
      <c r="Z207" s="197">
        <f t="shared" si="279"/>
        <v>2</v>
      </c>
      <c r="AA207" s="199" t="b">
        <f t="shared" si="3"/>
        <v>0</v>
      </c>
      <c r="AB207" s="199" t="b">
        <f t="shared" si="4"/>
        <v>0</v>
      </c>
      <c r="AC207" s="200">
        <f t="shared" ref="AC207:AD207" si="379">1-I207</f>
        <v>0.66999999999999993</v>
      </c>
      <c r="AD207" s="200">
        <f t="shared" si="379"/>
        <v>0.66999999999999993</v>
      </c>
      <c r="AE207" s="199">
        <f t="shared" si="6"/>
        <v>2</v>
      </c>
      <c r="AF207" s="201">
        <f t="shared" si="281"/>
        <v>0</v>
      </c>
      <c r="AG207" s="201">
        <f t="shared" si="8"/>
        <v>1</v>
      </c>
      <c r="AH207" s="202">
        <f t="shared" si="303"/>
        <v>0</v>
      </c>
      <c r="AI207" s="205"/>
      <c r="AJ207" s="253" t="s">
        <v>240</v>
      </c>
      <c r="AK207" s="237">
        <f t="shared" ref="AK207:AL207" si="380">SUM(AO207+AM207+AQ207+AS207+AU207+AW207+AY207+BA207+BC207)</f>
        <v>0</v>
      </c>
      <c r="AL207" s="238">
        <f t="shared" si="380"/>
        <v>0</v>
      </c>
      <c r="AM207" s="229"/>
      <c r="AN207" s="230"/>
      <c r="AO207" s="254"/>
      <c r="AP207" s="255"/>
      <c r="AQ207" s="229"/>
      <c r="AR207" s="230"/>
      <c r="AS207" s="254"/>
      <c r="AT207" s="255"/>
      <c r="AU207" s="229"/>
      <c r="AV207" s="230"/>
      <c r="AW207" s="229"/>
      <c r="AX207" s="230"/>
      <c r="AY207" s="229"/>
      <c r="AZ207" s="230"/>
      <c r="BA207" s="229"/>
      <c r="BB207" s="230"/>
      <c r="BC207" s="229"/>
      <c r="BD207" s="230"/>
    </row>
    <row r="208" spans="1:56" ht="14.25">
      <c r="A208" s="187"/>
      <c r="B208" s="240">
        <v>2</v>
      </c>
      <c r="C208" s="327" t="s">
        <v>569</v>
      </c>
      <c r="D208" s="328" t="s">
        <v>63</v>
      </c>
      <c r="E208" s="328" t="s">
        <v>77</v>
      </c>
      <c r="F208" s="328" t="s">
        <v>11</v>
      </c>
      <c r="G208" s="322">
        <v>2</v>
      </c>
      <c r="H208" s="322">
        <v>0</v>
      </c>
      <c r="I208" s="323">
        <v>1</v>
      </c>
      <c r="J208" s="323">
        <v>1</v>
      </c>
      <c r="K208" s="237" t="s">
        <v>146</v>
      </c>
      <c r="L208" s="237" t="s">
        <v>508</v>
      </c>
      <c r="M208" s="237"/>
      <c r="N208" s="237"/>
      <c r="O208" s="324" t="s">
        <v>570</v>
      </c>
      <c r="P208" s="292"/>
      <c r="Q208" s="328" t="s">
        <v>148</v>
      </c>
      <c r="R208" s="173"/>
      <c r="S208" s="195">
        <f>MATCH($D208,Reference!$J$5:$J$9,0)</f>
        <v>2</v>
      </c>
      <c r="T208" s="195">
        <f>MATCH($E208,Reference!$J$26:$J$32,0)</f>
        <v>2</v>
      </c>
      <c r="U208" s="195">
        <f>MATCH($F208,Reference!$J$45:$J$54,0)</f>
        <v>2</v>
      </c>
      <c r="V208" s="196">
        <f>MATCH($K208,Reference!$J$37:$J$39,0)</f>
        <v>2</v>
      </c>
      <c r="W208" s="197">
        <f t="shared" si="278"/>
        <v>2</v>
      </c>
      <c r="X208" s="197">
        <f t="shared" si="1"/>
        <v>1</v>
      </c>
      <c r="Y208" s="197">
        <f t="shared" si="301"/>
        <v>0</v>
      </c>
      <c r="Z208" s="197">
        <f t="shared" si="279"/>
        <v>2</v>
      </c>
      <c r="AA208" s="199" t="b">
        <f t="shared" si="3"/>
        <v>0</v>
      </c>
      <c r="AB208" s="199" t="b">
        <f t="shared" si="4"/>
        <v>0</v>
      </c>
      <c r="AC208" s="200">
        <f t="shared" ref="AC208:AD208" si="381">1-I208</f>
        <v>0</v>
      </c>
      <c r="AD208" s="200">
        <f t="shared" si="381"/>
        <v>0</v>
      </c>
      <c r="AE208" s="199">
        <f t="shared" si="6"/>
        <v>2</v>
      </c>
      <c r="AF208" s="201">
        <f t="shared" si="281"/>
        <v>0</v>
      </c>
      <c r="AG208" s="201">
        <f t="shared" si="8"/>
        <v>1</v>
      </c>
      <c r="AH208" s="202">
        <f t="shared" si="303"/>
        <v>0</v>
      </c>
      <c r="AI208" s="205"/>
      <c r="AJ208" s="231" t="s">
        <v>58</v>
      </c>
      <c r="AK208" s="232">
        <f t="shared" ref="AK208:AL208" si="382">SUM(AO208+AM208+AQ208+AS208+AU208+AW208+AY208+BA208+BC208)</f>
        <v>20</v>
      </c>
      <c r="AL208" s="232">
        <f t="shared" si="382"/>
        <v>20</v>
      </c>
      <c r="AM208" s="191">
        <f>SUMIFS($W$2:$W879, $E$2:$E879, "Basic", $F$2:F879, "Warrior")</f>
        <v>20</v>
      </c>
      <c r="AN208" s="232">
        <f>COUNTIFS($E$2:$E879, "Basic", $F$2:F879, "Warrior" )*2</f>
        <v>20</v>
      </c>
      <c r="AO208" s="234"/>
      <c r="AP208" s="235"/>
      <c r="AQ208" s="191"/>
      <c r="AR208" s="191"/>
      <c r="AS208" s="234"/>
      <c r="AT208" s="235"/>
      <c r="AU208" s="191"/>
      <c r="AV208" s="191"/>
      <c r="AW208" s="191"/>
      <c r="AX208" s="235"/>
      <c r="AY208" s="191"/>
      <c r="AZ208" s="235"/>
      <c r="BA208" s="191"/>
      <c r="BB208" s="235"/>
      <c r="BC208" s="191"/>
      <c r="BD208" s="235"/>
    </row>
    <row r="209" spans="1:56" ht="14.25">
      <c r="A209" s="187"/>
      <c r="B209" s="187">
        <v>2</v>
      </c>
      <c r="C209" s="320" t="s">
        <v>571</v>
      </c>
      <c r="D209" s="321" t="s">
        <v>63</v>
      </c>
      <c r="E209" s="321" t="s">
        <v>77</v>
      </c>
      <c r="F209" s="321" t="s">
        <v>115</v>
      </c>
      <c r="G209" s="325">
        <v>2</v>
      </c>
      <c r="H209" s="325">
        <v>0</v>
      </c>
      <c r="I209" s="323">
        <v>0.66</v>
      </c>
      <c r="J209" s="323">
        <v>0.66</v>
      </c>
      <c r="K209" s="229" t="s">
        <v>182</v>
      </c>
      <c r="L209" s="229"/>
      <c r="M209" s="229">
        <v>2</v>
      </c>
      <c r="N209" s="229">
        <v>1</v>
      </c>
      <c r="O209" s="326" t="s">
        <v>572</v>
      </c>
      <c r="P209" s="289" t="s">
        <v>454</v>
      </c>
      <c r="Q209" s="321" t="s">
        <v>148</v>
      </c>
      <c r="R209" s="173"/>
      <c r="S209" s="195">
        <f>MATCH($D209,Reference!$J$5:$J$9,0)</f>
        <v>2</v>
      </c>
      <c r="T209" s="195">
        <f>MATCH($E209,Reference!$J$26:$J$32,0)</f>
        <v>2</v>
      </c>
      <c r="U209" s="195">
        <f>MATCH($F209,Reference!$J$45:$J$54,0)</f>
        <v>10</v>
      </c>
      <c r="V209" s="196">
        <f>MATCH($K209,Reference!$J$37:$J$39,0)</f>
        <v>3</v>
      </c>
      <c r="W209" s="197">
        <f t="shared" si="278"/>
        <v>2</v>
      </c>
      <c r="X209" s="197">
        <f t="shared" si="1"/>
        <v>1</v>
      </c>
      <c r="Y209" s="197">
        <f t="shared" si="301"/>
        <v>0</v>
      </c>
      <c r="Z209" s="197">
        <f t="shared" si="279"/>
        <v>2</v>
      </c>
      <c r="AA209" s="199" t="b">
        <f t="shared" si="3"/>
        <v>0</v>
      </c>
      <c r="AB209" s="199" t="b">
        <f t="shared" si="4"/>
        <v>0</v>
      </c>
      <c r="AC209" s="200">
        <f t="shared" ref="AC209:AD209" si="383">1-I209</f>
        <v>0.33999999999999997</v>
      </c>
      <c r="AD209" s="200">
        <f t="shared" si="383"/>
        <v>0.33999999999999997</v>
      </c>
      <c r="AE209" s="199">
        <f t="shared" si="6"/>
        <v>2</v>
      </c>
      <c r="AF209" s="201">
        <f t="shared" si="281"/>
        <v>0</v>
      </c>
      <c r="AG209" s="201">
        <f t="shared" si="8"/>
        <v>1</v>
      </c>
      <c r="AH209" s="202">
        <f t="shared" si="303"/>
        <v>0</v>
      </c>
      <c r="AI209" s="205"/>
      <c r="AJ209" s="256" t="s">
        <v>63</v>
      </c>
      <c r="AK209" s="237">
        <f t="shared" ref="AK209:AL209" si="384">SUM(AO209+AM209+AQ209+AS209+AU209+AW209+AY209+BA209+BC209)</f>
        <v>36</v>
      </c>
      <c r="AL209" s="237">
        <f t="shared" si="384"/>
        <v>36</v>
      </c>
      <c r="AM209" s="229">
        <f>SUMIFS($W$2:$W879, $D$2:$D879, "Common", $E$2:$E879, "Classic", $F$2:F879, "Warrior")</f>
        <v>12</v>
      </c>
      <c r="AN209" s="237">
        <f>COUNTIFS($D$2:$D879, "Common", $E$2:$E879, "Classic", $F$2:F879, "Warrior" )*2</f>
        <v>12</v>
      </c>
      <c r="AO209" s="268">
        <f>SUMIFS($W$2:$W879, $D$2:$D879, "Common", $E$2:$E879, "Promo", $F$2:F879, "Warrior")</f>
        <v>0</v>
      </c>
      <c r="AP209" s="238">
        <f>COUNTIFS($D$2:$D879, "Common", $E$2:$E879, "Promo", $F$2:F879, "Warrior" )*2</f>
        <v>0</v>
      </c>
      <c r="AQ209" s="229">
        <f>SUMIFS($W$2:$W879, $D$2:$D879, "Common", $E$2:$E879, "Naxx", $F$2:F879, "Warrior")</f>
        <v>2</v>
      </c>
      <c r="AR209" s="237">
        <f>COUNTIFS($D$2:$D879, "Common", $E$2:$E879, "Naxx", $F$2:F879, "Warrior" )*2</f>
        <v>2</v>
      </c>
      <c r="AS209" s="268">
        <f>SUMIFS($W$2:$W879, $D$2:$D879, "Common", $E$2:$E879, "GvG", $F$2:F879, "Warrior")</f>
        <v>4</v>
      </c>
      <c r="AT209" s="238">
        <f>COUNTIFS($D$2:$D879, "Common", $E$2:$E879, "GvG", $F$2:F879, "Warrior" )*2</f>
        <v>4</v>
      </c>
      <c r="AU209" s="229">
        <f>SUMIFS($W$2:$W879, $D$2:$D879, "Common", $E$2:$E879, "Blackrock", $F$2:F879, "Warrior")</f>
        <v>2</v>
      </c>
      <c r="AV209" s="237">
        <f>COUNTIFS($D$2:$D879, "Common", $E$2:$E879, "Blackrock", $F$2:F879, "Warrior" )*2</f>
        <v>2</v>
      </c>
      <c r="AW209" s="229">
        <f>SUMIFS($W$2:$W879, $D$2:$D879, "Common", $E$2:$E879, "TGT", $F$2:F879, "Warrior")</f>
        <v>6</v>
      </c>
      <c r="AX209" s="238">
        <f>COUNTIFS($D$2:$D879, "Common", $E$2:$E879, "TGT", $F$2:F879, "Warrior" )*2</f>
        <v>6</v>
      </c>
      <c r="AY209" s="229">
        <f>SUMIFS($W$2:$W879, $D$2:$D879, "Common", $E$2:$E879, "LoE", $F$2:F879, "Warrior")</f>
        <v>4</v>
      </c>
      <c r="AZ209" s="238">
        <f>COUNTIFS($D$2:$D879, "Common", $E$2:$E879, "LoE", $F$2:F879, "Warrior" )*2</f>
        <v>4</v>
      </c>
      <c r="BA209" s="229">
        <f>SUMIFS($W$2:$W879, $D$2:$D879, "Common", $E$2:$E879, "TOG", $F$2:F879, "Warrior")</f>
        <v>6</v>
      </c>
      <c r="BB209" s="238">
        <f>COUNTIFS($D$2:$D879, "Common", $E$2:$E879, "TOG", $F$2:F879, "Warrior" )*2</f>
        <v>6</v>
      </c>
      <c r="BC209" s="229">
        <f>SUMIFS($W$2:$W879, $D$2:$D879, "Common", $E$2:$E879, "Adv4", $F$2:F879, "Warrior")</f>
        <v>0</v>
      </c>
      <c r="BD209" s="238">
        <f>COUNTIFS($D$2:$D879, "Common", $E$2:$E879, "Adv4", $F$2:F879, "Warrior" )*2</f>
        <v>0</v>
      </c>
    </row>
    <row r="210" spans="1:56" ht="14.25">
      <c r="A210" s="187"/>
      <c r="B210" s="187">
        <v>2</v>
      </c>
      <c r="C210" s="320" t="s">
        <v>573</v>
      </c>
      <c r="D210" s="321" t="s">
        <v>63</v>
      </c>
      <c r="E210" s="321" t="s">
        <v>77</v>
      </c>
      <c r="F210" s="321" t="s">
        <v>115</v>
      </c>
      <c r="G210" s="325">
        <v>2</v>
      </c>
      <c r="H210" s="322">
        <v>0</v>
      </c>
      <c r="I210" s="323">
        <v>0.33</v>
      </c>
      <c r="J210" s="323">
        <v>0.33</v>
      </c>
      <c r="K210" s="321" t="s">
        <v>182</v>
      </c>
      <c r="L210" s="321"/>
      <c r="M210" s="331">
        <v>3</v>
      </c>
      <c r="N210" s="212">
        <v>2</v>
      </c>
      <c r="O210" s="326" t="s">
        <v>574</v>
      </c>
      <c r="P210" s="289" t="s">
        <v>184</v>
      </c>
      <c r="Q210" s="321" t="s">
        <v>148</v>
      </c>
      <c r="R210" s="173"/>
      <c r="S210" s="195">
        <f>MATCH($D210,Reference!$J$5:$J$9,0)</f>
        <v>2</v>
      </c>
      <c r="T210" s="195">
        <f>MATCH($E210,Reference!$J$26:$J$32,0)</f>
        <v>2</v>
      </c>
      <c r="U210" s="195">
        <f>MATCH($F210,Reference!$J$45:$J$54,0)</f>
        <v>10</v>
      </c>
      <c r="V210" s="196">
        <f>MATCH($K210,Reference!$J$37:$J$39,0)</f>
        <v>3</v>
      </c>
      <c r="W210" s="197">
        <f t="shared" si="278"/>
        <v>2</v>
      </c>
      <c r="X210" s="197">
        <f t="shared" si="1"/>
        <v>1</v>
      </c>
      <c r="Y210" s="197">
        <f t="shared" si="301"/>
        <v>0</v>
      </c>
      <c r="Z210" s="197">
        <f t="shared" si="279"/>
        <v>2</v>
      </c>
      <c r="AA210" s="199" t="b">
        <f t="shared" si="3"/>
        <v>0</v>
      </c>
      <c r="AB210" s="199" t="b">
        <f t="shared" si="4"/>
        <v>0</v>
      </c>
      <c r="AC210" s="200">
        <f t="shared" ref="AC210:AD210" si="385">1-I210</f>
        <v>0.66999999999999993</v>
      </c>
      <c r="AD210" s="200">
        <f t="shared" si="385"/>
        <v>0.66999999999999993</v>
      </c>
      <c r="AE210" s="199">
        <f t="shared" si="6"/>
        <v>2</v>
      </c>
      <c r="AF210" s="201">
        <f t="shared" si="281"/>
        <v>0</v>
      </c>
      <c r="AG210" s="201">
        <f t="shared" si="8"/>
        <v>1</v>
      </c>
      <c r="AH210" s="202">
        <f t="shared" si="303"/>
        <v>0</v>
      </c>
      <c r="AI210" s="205"/>
      <c r="AJ210" s="257" t="s">
        <v>68</v>
      </c>
      <c r="AK210" s="242">
        <f t="shared" ref="AK210:AL210" si="386">SUM(AO210+AM210+AQ210+AS210+AU210+AW210+AY210+BA210+BC210)</f>
        <v>31</v>
      </c>
      <c r="AL210" s="242">
        <f t="shared" si="386"/>
        <v>32</v>
      </c>
      <c r="AM210" s="269">
        <f>SUMIFS($W$2:$W879, $D$2:$D879, "Rare", $E$2:$E879, "Classic", $F$2:F879, "Warrior")</f>
        <v>10</v>
      </c>
      <c r="AN210" s="242">
        <f>COUNTIFS($D$2:$D879, "Rare", $E$2:$E879, "Classic", $F$2:F879, "Warrior" )*2</f>
        <v>10</v>
      </c>
      <c r="AO210" s="270">
        <f>SUMIFS($W$2:$W879, $D$2:$D879, "Rare", $E$2:$E879, "Promo", $F$2:F879, "Warrior")</f>
        <v>0</v>
      </c>
      <c r="AP210" s="243">
        <f>COUNTIFS($D$2:$D879, "Rare", $E$2:$E879, "Promo", $F$2:F879, "Warrior" )*2</f>
        <v>0</v>
      </c>
      <c r="AQ210" s="269">
        <f>SUMIFS($W$2:$W879, $D$2:$D879, "Rare", $E$2:$E879, "Naxx", $F$2:F879, "Warrior")</f>
        <v>0</v>
      </c>
      <c r="AR210" s="242">
        <f>COUNTIFS($D$2:$D879, "Rare", $E$2:$E879, "Naxx", $F$2:F879, "Warrior" )*2</f>
        <v>0</v>
      </c>
      <c r="AS210" s="270">
        <f>SUMIFS($W$2:$W879, $D$2:$D879, "Rare", $E$2:$E879, "GvG", $F$2:F879, "Warrior")</f>
        <v>6</v>
      </c>
      <c r="AT210" s="243">
        <f>COUNTIFS($D$2:$D879, "Rare", $E$2:$E879, "GvG", $F$2:F879, "Warrior" )*2</f>
        <v>6</v>
      </c>
      <c r="AU210" s="269">
        <f>SUMIFS($W$2:$W879, $D$2:$D879, "Rare", $E$2:$E879, "Blackrock", $F$2:F879, "Warrior")</f>
        <v>2</v>
      </c>
      <c r="AV210" s="242">
        <f>COUNTIFS($D$2:$D879, "Rare", $E$2:$E879, "Blackrock", $F$2:F879, "Warrior" )*2</f>
        <v>2</v>
      </c>
      <c r="AW210" s="269">
        <f>SUMIFS($W$2:$W879, $D$2:$D879, "Rare", $E$2:$E879, "TGT", $F$2:F879, "Warrior")</f>
        <v>6</v>
      </c>
      <c r="AX210" s="243">
        <f>COUNTIFS($D$2:$D879, "Rare", $E$2:$E879, "TGT", $F$2:F879, "Warrior" )*2</f>
        <v>6</v>
      </c>
      <c r="AY210" s="269">
        <f>SUMIFS($W$2:$W879, $D$2:$D879, "Rare", $E$2:$E879, "LoE", $F$2:F879, "Warrior")</f>
        <v>2</v>
      </c>
      <c r="AZ210" s="243">
        <f>COUNTIFS($D$2:$D879, "Rare", $E$2:$E879, "LoE", $F$2:F879, "Warrior" )*2</f>
        <v>2</v>
      </c>
      <c r="BA210" s="269">
        <f>SUMIFS($W$2:$W879, $D$2:$D879, "Rare", $E$2:$E879, "TOG", $F$2:F879, "Warrior")</f>
        <v>5</v>
      </c>
      <c r="BB210" s="243">
        <f>COUNTIFS($D$2:$D879, "Rare", $E$2:$E879, "TOG", $F$2:F879, "Warrior" )*2</f>
        <v>6</v>
      </c>
      <c r="BC210" s="269">
        <f>SUMIFS($W$2:$W879, $D$2:$D879, "Rare", $E$2:$E879, "Adv4", $F$2:F879, "Warrior")</f>
        <v>0</v>
      </c>
      <c r="BD210" s="243">
        <f>COUNTIFS($D$2:$D879, "Rare", $E$2:$E879, "Adv4", $F$2:F879, "Warrior" )*2</f>
        <v>0</v>
      </c>
    </row>
    <row r="211" spans="1:56" ht="14.25">
      <c r="A211" s="206"/>
      <c r="B211" s="187">
        <v>2</v>
      </c>
      <c r="C211" s="320" t="s">
        <v>575</v>
      </c>
      <c r="D211" s="321" t="s">
        <v>63</v>
      </c>
      <c r="E211" s="321" t="s">
        <v>77</v>
      </c>
      <c r="F211" s="321" t="s">
        <v>8</v>
      </c>
      <c r="G211" s="325">
        <v>2</v>
      </c>
      <c r="H211" s="325">
        <v>0</v>
      </c>
      <c r="I211" s="323">
        <v>0.33</v>
      </c>
      <c r="J211" s="323">
        <v>0.33</v>
      </c>
      <c r="K211" s="229" t="s">
        <v>146</v>
      </c>
      <c r="L211" s="229"/>
      <c r="M211" s="229"/>
      <c r="N211" s="229"/>
      <c r="O211" s="326" t="s">
        <v>576</v>
      </c>
      <c r="P211" s="289"/>
      <c r="Q211" s="321" t="s">
        <v>148</v>
      </c>
      <c r="R211" s="173"/>
      <c r="S211" s="195">
        <f>MATCH($D211,Reference!$J$5:$J$9,0)</f>
        <v>2</v>
      </c>
      <c r="T211" s="195">
        <f>MATCH($E211,Reference!$J$26:$J$32,0)</f>
        <v>2</v>
      </c>
      <c r="U211" s="195">
        <f>MATCH($F211,Reference!$J$45:$J$54,0)</f>
        <v>1</v>
      </c>
      <c r="V211" s="196">
        <f>MATCH($K211,Reference!$J$37:$J$39,0)</f>
        <v>2</v>
      </c>
      <c r="W211" s="197">
        <f t="shared" si="278"/>
        <v>2</v>
      </c>
      <c r="X211" s="197">
        <f t="shared" si="1"/>
        <v>1</v>
      </c>
      <c r="Y211" s="197">
        <f t="shared" si="301"/>
        <v>0</v>
      </c>
      <c r="Z211" s="197">
        <f t="shared" si="279"/>
        <v>2</v>
      </c>
      <c r="AA211" s="199" t="b">
        <f t="shared" si="3"/>
        <v>0</v>
      </c>
      <c r="AB211" s="199" t="b">
        <f t="shared" si="4"/>
        <v>0</v>
      </c>
      <c r="AC211" s="200">
        <f t="shared" ref="AC211:AD211" si="387">1-I211</f>
        <v>0.66999999999999993</v>
      </c>
      <c r="AD211" s="200">
        <f t="shared" si="387"/>
        <v>0.66999999999999993</v>
      </c>
      <c r="AE211" s="199">
        <f t="shared" si="6"/>
        <v>2</v>
      </c>
      <c r="AF211" s="201">
        <f t="shared" si="281"/>
        <v>0</v>
      </c>
      <c r="AG211" s="201">
        <f t="shared" si="8"/>
        <v>1</v>
      </c>
      <c r="AH211" s="202">
        <f t="shared" si="303"/>
        <v>0</v>
      </c>
      <c r="AI211" s="205"/>
      <c r="AJ211" s="258" t="s">
        <v>69</v>
      </c>
      <c r="AK211" s="246">
        <f t="shared" ref="AK211:AL211" si="388">SUM(AO211+AM211+AQ211+AS211+AU211+AW211+AY211+BA211+BC211)</f>
        <v>10</v>
      </c>
      <c r="AL211" s="246">
        <f t="shared" si="388"/>
        <v>18</v>
      </c>
      <c r="AM211" s="272">
        <f>SUMIFS($W$2:$W879, $D$2:$D879, "Epic", $E$2:$E879, "Classic", $F$2:F879, "Warrior")</f>
        <v>5</v>
      </c>
      <c r="AN211" s="246">
        <f>COUNTIFS($D$2:$D879, "Epic", $E$2:$E879, "Classic", $F$2:F879, "Warrior" )*2</f>
        <v>6</v>
      </c>
      <c r="AO211" s="273">
        <f>SUMIFS($W$2:$W879, $D$2:$D879, "Epic", $E$2:$E879, "Promo", $F$2:F879, "Warrior")</f>
        <v>0</v>
      </c>
      <c r="AP211" s="247">
        <f>COUNTIFS($D$2:$D879, "Epic", $E$2:$E879, "Promo", $F$2:F879, "Warrior" )*2</f>
        <v>0</v>
      </c>
      <c r="AQ211" s="272">
        <f>SUMIFS($W$2:$W879, $D$2:$D879, "Epic", $E$2:$E879, "Naxx", $F$2:F879, "Warrior")</f>
        <v>0</v>
      </c>
      <c r="AR211" s="246">
        <f>COUNTIFS($D$2:$D879, "Epic", $E$2:$E879, "Naxx", $F$2:F879, "Warrior" )*2</f>
        <v>0</v>
      </c>
      <c r="AS211" s="273">
        <f>SUMIFS($W$2:$W879, $D$2:$D879, "Epic", $E$2:$E879, "GvG", $F$2:F879, "Warrior")</f>
        <v>4</v>
      </c>
      <c r="AT211" s="247">
        <f>COUNTIFS($D$2:$D879, "Epic", $E$2:$E879, "GvG", $F$2:F879, "Warrior" )*2</f>
        <v>4</v>
      </c>
      <c r="AU211" s="272">
        <f>SUMIFS($W$2:$W879, $D$2:$D879, "Epic", $E$2:$E879, "Blackrock", $F$2:F879, "Warrior")</f>
        <v>0</v>
      </c>
      <c r="AV211" s="246">
        <f>COUNTIFS($D$2:$D879, "Epic", $E$2:$E879, "Blackrock", $F$2:F879, "Warrior" )*2</f>
        <v>0</v>
      </c>
      <c r="AW211" s="272">
        <f>SUMIFS($W$2:$W879, $D$2:$D879, "Epic", $E$2:$E879, "TGT", $F$2:F879, "Warrior")</f>
        <v>0</v>
      </c>
      <c r="AX211" s="247">
        <f>COUNTIFS($D$2:$D879, "Epic", $E$2:$E879, "TGT", $F$2:F879, "Warrior" )*2</f>
        <v>4</v>
      </c>
      <c r="AY211" s="272">
        <f>SUMIFS($W$2:$W879, $D$2:$D879, "Epic", $E$2:$E879, "LoE", $F$2:F879, "Warrior")</f>
        <v>0</v>
      </c>
      <c r="AZ211" s="247">
        <f>COUNTIFS($D$2:$D879, "Epic", $E$2:$E879, "LoE", $F$2:F879, "Warrior" )*2</f>
        <v>0</v>
      </c>
      <c r="BA211" s="272">
        <f>SUMIFS($W$2:$W879, $D$2:$D879, "Epic", $E$2:$E879, "TOG", $F$2:F879, "Warrior")</f>
        <v>1</v>
      </c>
      <c r="BB211" s="247">
        <f>COUNTIFS($D$2:$D879, "Epic", $E$2:$E879, "TOG", $F$2:F879, "Warrior" )*2</f>
        <v>4</v>
      </c>
      <c r="BC211" s="272">
        <f>SUMIFS($W$2:$W879, $D$2:$D879, "Epic", $E$2:$E879, "Adv4", $F$2:F879, "Warrior")</f>
        <v>0</v>
      </c>
      <c r="BD211" s="247">
        <f>COUNTIFS($D$2:$D879, "Epic", $E$2:$E879, "Adv4", $F$2:F879, "Warrior" )*2</f>
        <v>0</v>
      </c>
    </row>
    <row r="212" spans="1:56" ht="14.25">
      <c r="A212" s="187"/>
      <c r="B212" s="240">
        <v>2</v>
      </c>
      <c r="C212" s="327" t="s">
        <v>577</v>
      </c>
      <c r="D212" s="328" t="s">
        <v>63</v>
      </c>
      <c r="E212" s="328" t="s">
        <v>77</v>
      </c>
      <c r="F212" s="328" t="s">
        <v>26</v>
      </c>
      <c r="G212" s="322">
        <v>2</v>
      </c>
      <c r="H212" s="322">
        <v>0</v>
      </c>
      <c r="I212" s="323">
        <v>0.33</v>
      </c>
      <c r="J212" s="323">
        <v>0.33</v>
      </c>
      <c r="K212" s="237" t="s">
        <v>146</v>
      </c>
      <c r="L212" s="237"/>
      <c r="M212" s="237"/>
      <c r="N212" s="237"/>
      <c r="O212" s="324" t="s">
        <v>578</v>
      </c>
      <c r="P212" s="292"/>
      <c r="Q212" s="328" t="s">
        <v>148</v>
      </c>
      <c r="R212" s="173"/>
      <c r="S212" s="195">
        <f>MATCH($D212,Reference!$J$5:$J$9,0)</f>
        <v>2</v>
      </c>
      <c r="T212" s="195">
        <f>MATCH($E212,Reference!$J$26:$J$32,0)</f>
        <v>2</v>
      </c>
      <c r="U212" s="195">
        <f>MATCH($F212,Reference!$J$45:$J$54,0)</f>
        <v>9</v>
      </c>
      <c r="V212" s="196">
        <f>MATCH($K212,Reference!$J$37:$J$39,0)</f>
        <v>2</v>
      </c>
      <c r="W212" s="197">
        <f t="shared" si="278"/>
        <v>2</v>
      </c>
      <c r="X212" s="197">
        <f t="shared" si="1"/>
        <v>1</v>
      </c>
      <c r="Y212" s="197">
        <f t="shared" si="301"/>
        <v>0</v>
      </c>
      <c r="Z212" s="197">
        <f t="shared" si="279"/>
        <v>2</v>
      </c>
      <c r="AA212" s="199" t="b">
        <f t="shared" si="3"/>
        <v>0</v>
      </c>
      <c r="AB212" s="199" t="b">
        <f t="shared" si="4"/>
        <v>0</v>
      </c>
      <c r="AC212" s="200">
        <f t="shared" ref="AC212:AD212" si="389">1-I212</f>
        <v>0.66999999999999993</v>
      </c>
      <c r="AD212" s="200">
        <f t="shared" si="389"/>
        <v>0.66999999999999993</v>
      </c>
      <c r="AE212" s="199">
        <f t="shared" si="6"/>
        <v>2</v>
      </c>
      <c r="AF212" s="201">
        <f t="shared" si="281"/>
        <v>0</v>
      </c>
      <c r="AG212" s="201">
        <f t="shared" si="8"/>
        <v>1</v>
      </c>
      <c r="AH212" s="202">
        <f t="shared" si="303"/>
        <v>0</v>
      </c>
      <c r="AI212" s="205"/>
      <c r="AJ212" s="249" t="s">
        <v>70</v>
      </c>
      <c r="AK212" s="250">
        <f t="shared" ref="AK212:AL212" si="390">SUM(AO212+AM212+AQ212+AS212+AU212+AW212+AY212+BA212+BC212)</f>
        <v>2</v>
      </c>
      <c r="AL212" s="250">
        <f t="shared" si="390"/>
        <v>4</v>
      </c>
      <c r="AM212" s="275">
        <f>SUMIFS($W$2:$W879, $D$2:$D879, "Legendary", $E$2:$E879, "Classic", $F$2:F879, "Warrior")</f>
        <v>1</v>
      </c>
      <c r="AN212" s="275">
        <f>COUNTIFS($D$2:$D879, "Legendary", $E$2:$E879, "Classic", $F$2:F879, "Warrior" )</f>
        <v>1</v>
      </c>
      <c r="AO212" s="276">
        <f>SUMIFS($W$2:$W879, $D$2:$D879, "Legendary", $E$2:$E879, "Promo", $F$2:F879, "Warrior")</f>
        <v>0</v>
      </c>
      <c r="AP212" s="277">
        <f>COUNTIFS($D$2:$D879, "Legendary", $E$2:$E879, "Promo", $F$2:F879, "Warrior" )</f>
        <v>0</v>
      </c>
      <c r="AQ212" s="275">
        <f>SUMIFS($W$2:$W879, $D$2:$D879, "Legendary", $E$2:$E879, "Naxx", $F$2:F879, "Warrior")</f>
        <v>0</v>
      </c>
      <c r="AR212" s="275">
        <f>COUNTIFS($D$2:$D879, "Legendary", $E$2:$E879, "Naxx", $F$2:F879, "Warrior" )</f>
        <v>0</v>
      </c>
      <c r="AS212" s="276">
        <f>SUMIFS($W$2:$W879, $D$2:$D879, "Legendary", $E$2:$E879, "GvG", $F$2:F879, "Warrior")</f>
        <v>0</v>
      </c>
      <c r="AT212" s="277">
        <f>COUNTIFS($D$2:$D879, "Legendary", $E$2:$E879, "GvG", $F$2:F879, "Warrior" )</f>
        <v>1</v>
      </c>
      <c r="AU212" s="275">
        <f>SUMIFS($W$2:$W879, $D$2:$D879, "Legendary", $E$2:$E879, "Blackrock", $F$2:F879, "Warrior")</f>
        <v>0</v>
      </c>
      <c r="AV212" s="275">
        <f>COUNTIFS($D$2:$D879, "Legendary", $E$2:$E879, "Blackrock", $F$2:F879, "Warrior" )</f>
        <v>0</v>
      </c>
      <c r="AW212" s="275">
        <f>SUMIFS($W$2:$W879, $D$2:$D879, "Legendary", $E$2:$E879, "TGT", $F$2:F879, "Warrior")</f>
        <v>1</v>
      </c>
      <c r="AX212" s="277">
        <f>COUNTIFS($D$2:$D879, "Legendary", $E$2:$E879, "TGT", $F$2:F879, "Warrior" )</f>
        <v>1</v>
      </c>
      <c r="AY212" s="275">
        <f>SUMIFS($W$2:$W879, $D$2:$D879, "Legendary", $E$2:$E879, "LoE", $F$2:F879, "Warrior")</f>
        <v>0</v>
      </c>
      <c r="AZ212" s="277">
        <f>COUNTIFS($D$2:$D879, "Legendary", $E$2:$E879, "LoE", $F$2:F879, "Warrior" )</f>
        <v>0</v>
      </c>
      <c r="BA212" s="275">
        <f>SUMIFS($W$2:$W879, $D$2:$D879, "Legendary", $E$2:$E879, "TOG", $F$2:F879, "Warrior")</f>
        <v>0</v>
      </c>
      <c r="BB212" s="277">
        <f>COUNTIFS($D$2:$D879, "Legendary", $E$2:$E879, "TOG", $F$2:F879, "Warrior" )</f>
        <v>1</v>
      </c>
      <c r="BC212" s="275">
        <f>SUMIFS($W$2:$W879, $D$2:$D879, "Legendary", $E$2:$E879, "Adv4", $F$2:F879, "Warrior")</f>
        <v>0</v>
      </c>
      <c r="BD212" s="251">
        <f>COUNTIFS($D$2:$D879, "Legendary", $E$2:$E879, "Adv4", $F$2:F879, "Warrior" )*2</f>
        <v>0</v>
      </c>
    </row>
    <row r="213" spans="1:56" ht="14.25">
      <c r="A213" s="209"/>
      <c r="B213" s="187">
        <v>2</v>
      </c>
      <c r="C213" s="320" t="s">
        <v>579</v>
      </c>
      <c r="D213" s="321" t="s">
        <v>63</v>
      </c>
      <c r="E213" s="321" t="s">
        <v>77</v>
      </c>
      <c r="F213" s="321" t="s">
        <v>11</v>
      </c>
      <c r="G213" s="325">
        <v>2</v>
      </c>
      <c r="H213" s="325">
        <v>1</v>
      </c>
      <c r="I213" s="323">
        <v>0.66</v>
      </c>
      <c r="J213" s="323">
        <v>0.66</v>
      </c>
      <c r="K213" s="229" t="s">
        <v>182</v>
      </c>
      <c r="L213" s="229" t="s">
        <v>230</v>
      </c>
      <c r="M213" s="229">
        <v>2</v>
      </c>
      <c r="N213" s="229">
        <v>2</v>
      </c>
      <c r="O213" s="326" t="s">
        <v>580</v>
      </c>
      <c r="P213" s="289"/>
      <c r="Q213" s="321" t="s">
        <v>148</v>
      </c>
      <c r="R213" s="173"/>
      <c r="S213" s="195">
        <f>MATCH($D213,Reference!$J$5:$J$9,0)</f>
        <v>2</v>
      </c>
      <c r="T213" s="195">
        <f>MATCH($E213,Reference!$J$26:$J$32,0)</f>
        <v>2</v>
      </c>
      <c r="U213" s="195">
        <f>MATCH($F213,Reference!$J$45:$J$54,0)</f>
        <v>2</v>
      </c>
      <c r="V213" s="196">
        <f>MATCH($K213,Reference!$J$37:$J$39,0)</f>
        <v>3</v>
      </c>
      <c r="W213" s="197">
        <f t="shared" si="278"/>
        <v>2</v>
      </c>
      <c r="X213" s="197">
        <f t="shared" si="1"/>
        <v>1</v>
      </c>
      <c r="Y213" s="197">
        <f t="shared" si="301"/>
        <v>50</v>
      </c>
      <c r="Z213" s="197">
        <f t="shared" si="279"/>
        <v>2</v>
      </c>
      <c r="AA213" s="199" t="b">
        <f t="shared" si="3"/>
        <v>0</v>
      </c>
      <c r="AB213" s="199" t="b">
        <f t="shared" si="4"/>
        <v>0</v>
      </c>
      <c r="AC213" s="200">
        <f t="shared" ref="AC213:AD213" si="391">1-I213</f>
        <v>0.33999999999999997</v>
      </c>
      <c r="AD213" s="200">
        <f t="shared" si="391"/>
        <v>0.33999999999999997</v>
      </c>
      <c r="AE213" s="199">
        <f t="shared" si="6"/>
        <v>2</v>
      </c>
      <c r="AF213" s="201">
        <f t="shared" si="281"/>
        <v>1</v>
      </c>
      <c r="AG213" s="201">
        <f t="shared" si="8"/>
        <v>1</v>
      </c>
      <c r="AH213" s="202">
        <f t="shared" si="303"/>
        <v>5</v>
      </c>
      <c r="AI213" s="205"/>
      <c r="AJ213" s="259" t="s">
        <v>22</v>
      </c>
      <c r="AK213" s="260"/>
      <c r="AL213" s="261"/>
      <c r="AM213" s="260"/>
      <c r="AN213" s="261"/>
      <c r="AO213" s="260"/>
      <c r="AP213" s="261"/>
      <c r="AQ213" s="260"/>
      <c r="AR213" s="261"/>
      <c r="AS213" s="260"/>
      <c r="AT213" s="261"/>
      <c r="AU213" s="260"/>
      <c r="AV213" s="261"/>
      <c r="AW213" s="260"/>
      <c r="AX213" s="261"/>
      <c r="AY213" s="260"/>
      <c r="AZ213" s="261"/>
      <c r="BA213" s="260"/>
      <c r="BB213" s="261"/>
      <c r="BC213" s="260"/>
      <c r="BD213" s="261"/>
    </row>
    <row r="214" spans="1:56" ht="14.25">
      <c r="A214" s="209"/>
      <c r="B214" s="240">
        <v>2</v>
      </c>
      <c r="C214" s="327" t="s">
        <v>581</v>
      </c>
      <c r="D214" s="328" t="s">
        <v>63</v>
      </c>
      <c r="E214" s="328" t="s">
        <v>77</v>
      </c>
      <c r="F214" s="328" t="s">
        <v>26</v>
      </c>
      <c r="G214" s="322">
        <v>2</v>
      </c>
      <c r="H214" s="322">
        <v>0</v>
      </c>
      <c r="I214" s="323">
        <v>1</v>
      </c>
      <c r="J214" s="323">
        <v>1</v>
      </c>
      <c r="K214" s="237" t="s">
        <v>146</v>
      </c>
      <c r="L214" s="237"/>
      <c r="M214" s="237"/>
      <c r="N214" s="237"/>
      <c r="O214" s="324" t="s">
        <v>582</v>
      </c>
      <c r="P214" s="292"/>
      <c r="Q214" s="328" t="s">
        <v>148</v>
      </c>
      <c r="R214" s="173"/>
      <c r="S214" s="195">
        <f>MATCH($D214,Reference!$J$5:$J$9,0)</f>
        <v>2</v>
      </c>
      <c r="T214" s="195">
        <f>MATCH($E214,Reference!$J$26:$J$32,0)</f>
        <v>2</v>
      </c>
      <c r="U214" s="195">
        <f>MATCH($F214,Reference!$J$45:$J$54,0)</f>
        <v>9</v>
      </c>
      <c r="V214" s="196">
        <f>MATCH($K214,Reference!$J$37:$J$39,0)</f>
        <v>2</v>
      </c>
      <c r="W214" s="197">
        <f t="shared" si="278"/>
        <v>2</v>
      </c>
      <c r="X214" s="197">
        <f t="shared" si="1"/>
        <v>1</v>
      </c>
      <c r="Y214" s="197">
        <f t="shared" si="301"/>
        <v>0</v>
      </c>
      <c r="Z214" s="197">
        <f t="shared" si="279"/>
        <v>2</v>
      </c>
      <c r="AA214" s="199" t="b">
        <f t="shared" si="3"/>
        <v>0</v>
      </c>
      <c r="AB214" s="199" t="b">
        <f t="shared" si="4"/>
        <v>0</v>
      </c>
      <c r="AC214" s="200">
        <f t="shared" ref="AC214:AD214" si="392">1-I214</f>
        <v>0</v>
      </c>
      <c r="AD214" s="200">
        <f t="shared" si="392"/>
        <v>0</v>
      </c>
      <c r="AE214" s="199">
        <f t="shared" si="6"/>
        <v>2</v>
      </c>
      <c r="AF214" s="201">
        <f t="shared" si="281"/>
        <v>0</v>
      </c>
      <c r="AG214" s="201">
        <f t="shared" si="8"/>
        <v>1</v>
      </c>
      <c r="AH214" s="202">
        <f t="shared" si="303"/>
        <v>0</v>
      </c>
      <c r="AI214" s="205"/>
      <c r="AJ214" s="262" t="s">
        <v>224</v>
      </c>
      <c r="AK214" s="263">
        <f t="shared" ref="AK214:AP214" si="393">SUM(AK202:AK206)</f>
        <v>52</v>
      </c>
      <c r="AL214" s="264">
        <f t="shared" si="393"/>
        <v>57</v>
      </c>
      <c r="AM214" s="263">
        <f t="shared" si="393"/>
        <v>25</v>
      </c>
      <c r="AN214" s="264">
        <f t="shared" si="393"/>
        <v>25</v>
      </c>
      <c r="AO214" s="263">
        <f t="shared" si="393"/>
        <v>0</v>
      </c>
      <c r="AP214" s="264">
        <f t="shared" si="393"/>
        <v>0</v>
      </c>
      <c r="AQ214" s="263">
        <f>SUM(AQ202:AQ206)</f>
        <v>1</v>
      </c>
      <c r="AR214" s="264">
        <f>SUM(AR202:AR206)</f>
        <v>1</v>
      </c>
      <c r="AS214" s="263">
        <f>SUM(AS202:AS206)</f>
        <v>7</v>
      </c>
      <c r="AT214" s="264">
        <f>SUM(AT202:AT206)</f>
        <v>8</v>
      </c>
      <c r="AU214" s="263">
        <f t="shared" ref="AU214:BD214" si="394">SUM(AU202:AU206)</f>
        <v>2</v>
      </c>
      <c r="AV214" s="264">
        <f t="shared" si="394"/>
        <v>2</v>
      </c>
      <c r="AW214" s="263">
        <f t="shared" si="394"/>
        <v>7</v>
      </c>
      <c r="AX214" s="264">
        <f t="shared" si="394"/>
        <v>9</v>
      </c>
      <c r="AY214" s="263">
        <f t="shared" si="394"/>
        <v>3</v>
      </c>
      <c r="AZ214" s="264">
        <f t="shared" si="394"/>
        <v>3</v>
      </c>
      <c r="BA214" s="263">
        <f t="shared" si="394"/>
        <v>7</v>
      </c>
      <c r="BB214" s="264">
        <f t="shared" si="394"/>
        <v>9</v>
      </c>
      <c r="BC214" s="263">
        <f t="shared" si="394"/>
        <v>0</v>
      </c>
      <c r="BD214" s="264">
        <f t="shared" si="394"/>
        <v>0</v>
      </c>
    </row>
    <row r="215" spans="1:56" ht="14.25">
      <c r="A215" s="209"/>
      <c r="B215" s="240">
        <v>2</v>
      </c>
      <c r="C215" s="327" t="s">
        <v>583</v>
      </c>
      <c r="D215" s="328" t="s">
        <v>63</v>
      </c>
      <c r="E215" s="328" t="s">
        <v>77</v>
      </c>
      <c r="F215" s="328" t="s">
        <v>11</v>
      </c>
      <c r="G215" s="322">
        <v>2</v>
      </c>
      <c r="H215" s="322">
        <v>0</v>
      </c>
      <c r="I215" s="323">
        <v>0.66</v>
      </c>
      <c r="J215" s="323">
        <v>0.33</v>
      </c>
      <c r="K215" s="237" t="s">
        <v>146</v>
      </c>
      <c r="L215" s="237"/>
      <c r="M215" s="237"/>
      <c r="N215" s="237"/>
      <c r="O215" s="324" t="s">
        <v>584</v>
      </c>
      <c r="P215" s="292"/>
      <c r="Q215" s="328" t="s">
        <v>148</v>
      </c>
      <c r="R215" s="173"/>
      <c r="S215" s="195">
        <f>MATCH($D215,Reference!$J$5:$J$9,0)</f>
        <v>2</v>
      </c>
      <c r="T215" s="195">
        <f>MATCH($E215,Reference!$J$26:$J$32,0)</f>
        <v>2</v>
      </c>
      <c r="U215" s="195">
        <f>MATCH($F215,Reference!$J$45:$J$54,0)</f>
        <v>2</v>
      </c>
      <c r="V215" s="196">
        <f>MATCH($K215,Reference!$J$37:$J$39,0)</f>
        <v>2</v>
      </c>
      <c r="W215" s="197">
        <f t="shared" si="278"/>
        <v>2</v>
      </c>
      <c r="X215" s="197">
        <f t="shared" si="1"/>
        <v>1</v>
      </c>
      <c r="Y215" s="197">
        <f t="shared" si="301"/>
        <v>0</v>
      </c>
      <c r="Z215" s="197">
        <f t="shared" si="279"/>
        <v>2</v>
      </c>
      <c r="AA215" s="199" t="b">
        <f t="shared" si="3"/>
        <v>0</v>
      </c>
      <c r="AB215" s="199" t="b">
        <f t="shared" si="4"/>
        <v>0</v>
      </c>
      <c r="AC215" s="200">
        <f t="shared" ref="AC215:AD215" si="395">1-I215</f>
        <v>0.33999999999999997</v>
      </c>
      <c r="AD215" s="200">
        <f t="shared" si="395"/>
        <v>0.66999999999999993</v>
      </c>
      <c r="AE215" s="199">
        <f t="shared" si="6"/>
        <v>2</v>
      </c>
      <c r="AF215" s="201">
        <f t="shared" si="281"/>
        <v>0</v>
      </c>
      <c r="AG215" s="201">
        <f t="shared" si="8"/>
        <v>1</v>
      </c>
      <c r="AH215" s="202">
        <f t="shared" si="303"/>
        <v>0</v>
      </c>
      <c r="AI215" s="205"/>
      <c r="AJ215" s="265" t="s">
        <v>240</v>
      </c>
      <c r="AK215" s="266">
        <f t="shared" ref="AK215:AL215" si="396">SUM(AK208:AK212)</f>
        <v>99</v>
      </c>
      <c r="AL215" s="267">
        <f t="shared" si="396"/>
        <v>110</v>
      </c>
      <c r="AM215" s="266">
        <f t="shared" ref="AM215:AR215" si="397">SUM(AM208:AM212)</f>
        <v>48</v>
      </c>
      <c r="AN215" s="267">
        <f t="shared" si="397"/>
        <v>49</v>
      </c>
      <c r="AO215" s="266">
        <f t="shared" si="397"/>
        <v>0</v>
      </c>
      <c r="AP215" s="267">
        <f t="shared" si="397"/>
        <v>0</v>
      </c>
      <c r="AQ215" s="266">
        <f t="shared" si="397"/>
        <v>2</v>
      </c>
      <c r="AR215" s="267">
        <f t="shared" si="397"/>
        <v>2</v>
      </c>
      <c r="AS215" s="266">
        <f>SUM(AS209:AS212)</f>
        <v>14</v>
      </c>
      <c r="AT215" s="267">
        <f>SUM(AT208:AT212)</f>
        <v>15</v>
      </c>
      <c r="AU215" s="266">
        <f t="shared" ref="AU215:BD215" si="398">SUM(AU208:AU212)</f>
        <v>4</v>
      </c>
      <c r="AV215" s="267">
        <f t="shared" si="398"/>
        <v>4</v>
      </c>
      <c r="AW215" s="266">
        <f t="shared" si="398"/>
        <v>13</v>
      </c>
      <c r="AX215" s="267">
        <f t="shared" si="398"/>
        <v>17</v>
      </c>
      <c r="AY215" s="266">
        <f t="shared" si="398"/>
        <v>6</v>
      </c>
      <c r="AZ215" s="267">
        <f t="shared" si="398"/>
        <v>6</v>
      </c>
      <c r="BA215" s="266">
        <f t="shared" si="398"/>
        <v>12</v>
      </c>
      <c r="BB215" s="267">
        <f t="shared" si="398"/>
        <v>17</v>
      </c>
      <c r="BC215" s="266">
        <f t="shared" si="398"/>
        <v>0</v>
      </c>
      <c r="BD215" s="267">
        <f t="shared" si="398"/>
        <v>0</v>
      </c>
    </row>
    <row r="216" spans="1:56" ht="14.25">
      <c r="A216" s="209"/>
      <c r="B216" s="187">
        <v>2</v>
      </c>
      <c r="C216" s="320" t="s">
        <v>585</v>
      </c>
      <c r="D216" s="321" t="s">
        <v>63</v>
      </c>
      <c r="E216" s="321" t="s">
        <v>77</v>
      </c>
      <c r="F216" s="321" t="s">
        <v>13</v>
      </c>
      <c r="G216" s="325">
        <v>2</v>
      </c>
      <c r="H216" s="325">
        <v>0</v>
      </c>
      <c r="I216" s="323">
        <v>1</v>
      </c>
      <c r="J216" s="323">
        <v>1</v>
      </c>
      <c r="K216" s="229" t="s">
        <v>182</v>
      </c>
      <c r="L216" s="229"/>
      <c r="M216" s="229">
        <v>3</v>
      </c>
      <c r="N216" s="229">
        <v>2</v>
      </c>
      <c r="O216" s="326" t="s">
        <v>586</v>
      </c>
      <c r="P216" s="289" t="s">
        <v>235</v>
      </c>
      <c r="Q216" s="321" t="s">
        <v>148</v>
      </c>
      <c r="R216" s="173"/>
      <c r="S216" s="195">
        <f>MATCH($D216,Reference!$J$5:$J$9,0)</f>
        <v>2</v>
      </c>
      <c r="T216" s="195">
        <f>MATCH($E216,Reference!$J$26:$J$32,0)</f>
        <v>2</v>
      </c>
      <c r="U216" s="195">
        <f>MATCH($F216,Reference!$J$45:$J$54,0)</f>
        <v>3</v>
      </c>
      <c r="V216" s="196">
        <f>MATCH($K216,Reference!$J$37:$J$39,0)</f>
        <v>3</v>
      </c>
      <c r="W216" s="197">
        <f t="shared" si="278"/>
        <v>2</v>
      </c>
      <c r="X216" s="197">
        <f t="shared" si="1"/>
        <v>1</v>
      </c>
      <c r="Y216" s="197">
        <f t="shared" si="301"/>
        <v>0</v>
      </c>
      <c r="Z216" s="197">
        <f t="shared" si="279"/>
        <v>2</v>
      </c>
      <c r="AA216" s="199" t="b">
        <f t="shared" si="3"/>
        <v>0</v>
      </c>
      <c r="AB216" s="199" t="b">
        <f t="shared" si="4"/>
        <v>0</v>
      </c>
      <c r="AC216" s="200">
        <f t="shared" ref="AC216:AD216" si="399">1-I216</f>
        <v>0</v>
      </c>
      <c r="AD216" s="200">
        <f t="shared" si="399"/>
        <v>0</v>
      </c>
      <c r="AE216" s="199">
        <f t="shared" si="6"/>
        <v>2</v>
      </c>
      <c r="AF216" s="201">
        <f t="shared" si="281"/>
        <v>0</v>
      </c>
      <c r="AG216" s="201">
        <f t="shared" si="8"/>
        <v>1</v>
      </c>
      <c r="AH216" s="202">
        <f t="shared" si="303"/>
        <v>0</v>
      </c>
      <c r="AI216" s="205"/>
      <c r="AJ216" s="173"/>
      <c r="AK216" s="173"/>
      <c r="AL216" s="173"/>
      <c r="AM216" s="173"/>
      <c r="AN216" s="173"/>
      <c r="AO216" s="173"/>
      <c r="AP216" s="173"/>
      <c r="AQ216" s="173"/>
      <c r="AR216" s="173"/>
      <c r="AS216" s="173"/>
      <c r="AT216" s="173"/>
      <c r="AU216" s="173"/>
      <c r="AV216" s="173"/>
    </row>
    <row r="217" spans="1:56" ht="14.25">
      <c r="A217" s="206"/>
      <c r="B217" s="240">
        <v>2</v>
      </c>
      <c r="C217" s="327" t="s">
        <v>587</v>
      </c>
      <c r="D217" s="328" t="s">
        <v>63</v>
      </c>
      <c r="E217" s="328" t="s">
        <v>77</v>
      </c>
      <c r="F217" s="328" t="s">
        <v>21</v>
      </c>
      <c r="G217" s="322">
        <v>2</v>
      </c>
      <c r="H217" s="322">
        <v>0</v>
      </c>
      <c r="I217" s="323">
        <v>1</v>
      </c>
      <c r="J217" s="323">
        <v>1</v>
      </c>
      <c r="K217" s="237" t="s">
        <v>207</v>
      </c>
      <c r="L217" s="237"/>
      <c r="M217" s="237">
        <v>2</v>
      </c>
      <c r="N217" s="237">
        <v>3</v>
      </c>
      <c r="O217" s="324" t="s">
        <v>588</v>
      </c>
      <c r="P217" s="292"/>
      <c r="Q217" s="328" t="s">
        <v>148</v>
      </c>
      <c r="R217" s="173"/>
      <c r="S217" s="195">
        <f>MATCH($D217,Reference!$J$5:$J$9,0)</f>
        <v>2</v>
      </c>
      <c r="T217" s="195">
        <f>MATCH($E217,Reference!$J$26:$J$32,0)</f>
        <v>2</v>
      </c>
      <c r="U217" s="195">
        <f>MATCH($F217,Reference!$J$45:$J$54,0)</f>
        <v>7</v>
      </c>
      <c r="V217" s="196">
        <f>MATCH($K217,Reference!$J$37:$J$39,0)</f>
        <v>1</v>
      </c>
      <c r="W217" s="197">
        <f t="shared" si="278"/>
        <v>2</v>
      </c>
      <c r="X217" s="197">
        <f t="shared" si="1"/>
        <v>1</v>
      </c>
      <c r="Y217" s="197">
        <f t="shared" si="301"/>
        <v>0</v>
      </c>
      <c r="Z217" s="197">
        <f t="shared" si="279"/>
        <v>2</v>
      </c>
      <c r="AA217" s="199" t="b">
        <f t="shared" si="3"/>
        <v>0</v>
      </c>
      <c r="AB217" s="199" t="b">
        <f t="shared" si="4"/>
        <v>0</v>
      </c>
      <c r="AC217" s="200">
        <f t="shared" ref="AC217:AD217" si="400">1-I217</f>
        <v>0</v>
      </c>
      <c r="AD217" s="200">
        <f t="shared" si="400"/>
        <v>0</v>
      </c>
      <c r="AE217" s="199">
        <f t="shared" si="6"/>
        <v>2</v>
      </c>
      <c r="AF217" s="201">
        <f t="shared" si="281"/>
        <v>0</v>
      </c>
      <c r="AG217" s="201">
        <f t="shared" si="8"/>
        <v>1</v>
      </c>
      <c r="AH217" s="202">
        <f t="shared" si="303"/>
        <v>0</v>
      </c>
      <c r="AI217" s="205"/>
    </row>
    <row r="218" spans="1:56">
      <c r="A218" s="209"/>
      <c r="B218" s="187">
        <v>2</v>
      </c>
      <c r="C218" s="320" t="s">
        <v>589</v>
      </c>
      <c r="D218" s="321" t="s">
        <v>63</v>
      </c>
      <c r="E218" s="321" t="s">
        <v>77</v>
      </c>
      <c r="F218" s="321" t="s">
        <v>8</v>
      </c>
      <c r="G218" s="325">
        <v>2</v>
      </c>
      <c r="H218" s="325">
        <v>1</v>
      </c>
      <c r="I218" s="323">
        <v>1</v>
      </c>
      <c r="J218" s="323">
        <v>1</v>
      </c>
      <c r="K218" s="229" t="s">
        <v>146</v>
      </c>
      <c r="L218" s="229"/>
      <c r="M218" s="229"/>
      <c r="N218" s="229"/>
      <c r="O218" s="326" t="s">
        <v>590</v>
      </c>
      <c r="P218" s="289"/>
      <c r="Q218" s="321" t="s">
        <v>148</v>
      </c>
      <c r="R218" s="173"/>
      <c r="S218" s="195">
        <f>MATCH($D218,Reference!$J$5:$J$9,0)</f>
        <v>2</v>
      </c>
      <c r="T218" s="195">
        <f>MATCH($E218,Reference!$J$26:$J$32,0)</f>
        <v>2</v>
      </c>
      <c r="U218" s="195">
        <f>MATCH($F218,Reference!$J$45:$J$54,0)</f>
        <v>1</v>
      </c>
      <c r="V218" s="196">
        <f>MATCH($K218,Reference!$J$37:$J$39,0)</f>
        <v>2</v>
      </c>
      <c r="W218" s="197">
        <f t="shared" si="278"/>
        <v>2</v>
      </c>
      <c r="X218" s="197">
        <f t="shared" si="1"/>
        <v>1</v>
      </c>
      <c r="Y218" s="197">
        <f t="shared" si="301"/>
        <v>50</v>
      </c>
      <c r="Z218" s="197">
        <f t="shared" si="279"/>
        <v>2</v>
      </c>
      <c r="AA218" s="199" t="b">
        <f t="shared" si="3"/>
        <v>0</v>
      </c>
      <c r="AB218" s="199" t="b">
        <f t="shared" si="4"/>
        <v>0</v>
      </c>
      <c r="AC218" s="200">
        <f t="shared" ref="AC218:AD218" si="401">1-I218</f>
        <v>0</v>
      </c>
      <c r="AD218" s="200">
        <f t="shared" si="401"/>
        <v>0</v>
      </c>
      <c r="AE218" s="199">
        <f t="shared" si="6"/>
        <v>2</v>
      </c>
      <c r="AF218" s="201">
        <f t="shared" si="281"/>
        <v>1</v>
      </c>
      <c r="AG218" s="201">
        <f t="shared" si="8"/>
        <v>1</v>
      </c>
      <c r="AH218" s="202">
        <f t="shared" si="303"/>
        <v>5</v>
      </c>
      <c r="AI218" s="205"/>
      <c r="AJ218" s="1134" t="s">
        <v>115</v>
      </c>
      <c r="AK218" s="1102"/>
      <c r="AL218" s="1102"/>
      <c r="AM218" s="1102"/>
      <c r="AN218" s="1102"/>
      <c r="AO218" s="1102"/>
      <c r="AP218" s="1102"/>
      <c r="AQ218" s="1102"/>
      <c r="AR218" s="1102"/>
      <c r="AS218" s="1102"/>
      <c r="AT218" s="1102"/>
      <c r="AU218" s="1102"/>
      <c r="AV218" s="1102"/>
      <c r="AW218" s="1102"/>
      <c r="AX218" s="1102"/>
      <c r="AY218" s="1102"/>
      <c r="AZ218" s="1102"/>
      <c r="BA218" s="1102"/>
      <c r="BB218" s="1102"/>
      <c r="BC218" s="1102"/>
      <c r="BD218" s="1102"/>
    </row>
    <row r="219" spans="1:56" ht="14.25">
      <c r="A219" s="187"/>
      <c r="B219" s="187">
        <v>2</v>
      </c>
      <c r="C219" s="320" t="s">
        <v>591</v>
      </c>
      <c r="D219" s="321" t="s">
        <v>63</v>
      </c>
      <c r="E219" s="321" t="s">
        <v>77</v>
      </c>
      <c r="F219" s="321" t="s">
        <v>115</v>
      </c>
      <c r="G219" s="325">
        <v>2</v>
      </c>
      <c r="H219" s="325">
        <v>0</v>
      </c>
      <c r="I219" s="323">
        <v>0.66</v>
      </c>
      <c r="J219" s="323">
        <v>0.66</v>
      </c>
      <c r="K219" s="229" t="s">
        <v>182</v>
      </c>
      <c r="L219" s="229"/>
      <c r="M219" s="229">
        <v>3</v>
      </c>
      <c r="N219" s="229">
        <v>2</v>
      </c>
      <c r="O219" s="326" t="s">
        <v>592</v>
      </c>
      <c r="P219" s="289" t="s">
        <v>184</v>
      </c>
      <c r="Q219" s="321" t="s">
        <v>148</v>
      </c>
      <c r="R219" s="173"/>
      <c r="S219" s="195">
        <f>MATCH($D219,Reference!$J$5:$J$9,0)</f>
        <v>2</v>
      </c>
      <c r="T219" s="195">
        <f>MATCH($E219,Reference!$J$26:$J$32,0)</f>
        <v>2</v>
      </c>
      <c r="U219" s="195">
        <f>MATCH($F219,Reference!$J$45:$J$54,0)</f>
        <v>10</v>
      </c>
      <c r="V219" s="196">
        <f>MATCH($K219,Reference!$J$37:$J$39,0)</f>
        <v>3</v>
      </c>
      <c r="W219" s="197">
        <f t="shared" si="278"/>
        <v>2</v>
      </c>
      <c r="X219" s="197">
        <f t="shared" si="1"/>
        <v>1</v>
      </c>
      <c r="Y219" s="197">
        <f t="shared" si="301"/>
        <v>0</v>
      </c>
      <c r="Z219" s="197">
        <f t="shared" si="279"/>
        <v>2</v>
      </c>
      <c r="AA219" s="199" t="b">
        <f t="shared" si="3"/>
        <v>0</v>
      </c>
      <c r="AB219" s="199" t="b">
        <f t="shared" si="4"/>
        <v>0</v>
      </c>
      <c r="AC219" s="200">
        <f t="shared" ref="AC219:AD219" si="402">1-I219</f>
        <v>0.33999999999999997</v>
      </c>
      <c r="AD219" s="200">
        <f t="shared" si="402"/>
        <v>0.33999999999999997</v>
      </c>
      <c r="AE219" s="199">
        <f t="shared" si="6"/>
        <v>2</v>
      </c>
      <c r="AF219" s="201">
        <f t="shared" si="281"/>
        <v>0</v>
      </c>
      <c r="AG219" s="201">
        <f t="shared" si="8"/>
        <v>1</v>
      </c>
      <c r="AH219" s="202">
        <f t="shared" si="303"/>
        <v>0</v>
      </c>
      <c r="AI219" s="205"/>
      <c r="AJ219" s="224" t="s">
        <v>122</v>
      </c>
      <c r="AK219" s="1133" t="s">
        <v>22</v>
      </c>
      <c r="AL219" s="1102"/>
      <c r="AM219" s="1133" t="s">
        <v>77</v>
      </c>
      <c r="AN219" s="1102"/>
      <c r="AO219" s="1133" t="s">
        <v>78</v>
      </c>
      <c r="AP219" s="1102"/>
      <c r="AQ219" s="1133" t="s">
        <v>79</v>
      </c>
      <c r="AR219" s="1102"/>
      <c r="AS219" s="1133" t="s">
        <v>80</v>
      </c>
      <c r="AT219" s="1102"/>
      <c r="AU219" s="1133" t="s">
        <v>220</v>
      </c>
      <c r="AV219" s="1102"/>
      <c r="AW219" s="1133" t="s">
        <v>82</v>
      </c>
      <c r="AX219" s="1102"/>
      <c r="AY219" s="1133" t="s">
        <v>84</v>
      </c>
      <c r="AZ219" s="1102"/>
      <c r="BA219" s="1133" t="s">
        <v>73</v>
      </c>
      <c r="BB219" s="1102"/>
      <c r="BC219" s="1133" t="s">
        <v>221</v>
      </c>
      <c r="BD219" s="1102"/>
    </row>
    <row r="220" spans="1:56" ht="14.25">
      <c r="A220" s="240"/>
      <c r="B220" s="187">
        <v>3</v>
      </c>
      <c r="C220" s="320" t="s">
        <v>593</v>
      </c>
      <c r="D220" s="321" t="s">
        <v>63</v>
      </c>
      <c r="E220" s="321" t="s">
        <v>77</v>
      </c>
      <c r="F220" s="321" t="s">
        <v>115</v>
      </c>
      <c r="G220" s="325">
        <v>2</v>
      </c>
      <c r="H220" s="325">
        <v>0</v>
      </c>
      <c r="I220" s="323">
        <v>1</v>
      </c>
      <c r="J220" s="323">
        <v>1</v>
      </c>
      <c r="K220" s="229" t="s">
        <v>182</v>
      </c>
      <c r="L220" s="229"/>
      <c r="M220" s="229">
        <v>1</v>
      </c>
      <c r="N220" s="229">
        <v>3</v>
      </c>
      <c r="O220" s="326" t="s">
        <v>594</v>
      </c>
      <c r="P220" s="289"/>
      <c r="Q220" s="321" t="s">
        <v>148</v>
      </c>
      <c r="R220" s="173"/>
      <c r="S220" s="195">
        <f>MATCH($D220,Reference!$J$5:$J$9,0)</f>
        <v>2</v>
      </c>
      <c r="T220" s="195">
        <f>MATCH($E220,Reference!$J$26:$J$32,0)</f>
        <v>2</v>
      </c>
      <c r="U220" s="195">
        <f>MATCH($F220,Reference!$J$45:$J$54,0)</f>
        <v>10</v>
      </c>
      <c r="V220" s="196">
        <f>MATCH($K220,Reference!$J$37:$J$39,0)</f>
        <v>3</v>
      </c>
      <c r="W220" s="197">
        <f t="shared" si="278"/>
        <v>2</v>
      </c>
      <c r="X220" s="197">
        <f t="shared" si="1"/>
        <v>1</v>
      </c>
      <c r="Y220" s="197">
        <f t="shared" si="301"/>
        <v>0</v>
      </c>
      <c r="Z220" s="197">
        <f t="shared" si="279"/>
        <v>2</v>
      </c>
      <c r="AA220" s="199" t="b">
        <f t="shared" si="3"/>
        <v>0</v>
      </c>
      <c r="AB220" s="199" t="b">
        <f t="shared" si="4"/>
        <v>0</v>
      </c>
      <c r="AC220" s="200">
        <f t="shared" ref="AC220:AD220" si="403">1-I220</f>
        <v>0</v>
      </c>
      <c r="AD220" s="200">
        <f t="shared" si="403"/>
        <v>0</v>
      </c>
      <c r="AE220" s="199">
        <f t="shared" si="6"/>
        <v>2</v>
      </c>
      <c r="AF220" s="201">
        <f t="shared" si="281"/>
        <v>0</v>
      </c>
      <c r="AG220" s="201">
        <f t="shared" si="8"/>
        <v>1</v>
      </c>
      <c r="AH220" s="202">
        <f t="shared" si="303"/>
        <v>0</v>
      </c>
      <c r="AI220" s="205"/>
      <c r="AJ220" s="225" t="s">
        <v>224</v>
      </c>
      <c r="AK220" s="226"/>
      <c r="AL220" s="227"/>
      <c r="AM220" s="226"/>
      <c r="AN220" s="227"/>
      <c r="AO220" s="228"/>
      <c r="AP220" s="227"/>
      <c r="AQ220" s="226"/>
      <c r="AR220" s="227"/>
      <c r="AS220" s="228"/>
      <c r="AT220" s="227"/>
      <c r="AU220" s="226"/>
      <c r="AV220" s="227"/>
      <c r="AW220" s="229"/>
      <c r="AX220" s="230"/>
      <c r="AY220" s="229"/>
      <c r="AZ220" s="230"/>
      <c r="BA220" s="229"/>
      <c r="BB220" s="230"/>
      <c r="BC220" s="229"/>
      <c r="BD220" s="230"/>
    </row>
    <row r="221" spans="1:56" ht="14.25">
      <c r="A221" s="211"/>
      <c r="B221" s="240">
        <v>3</v>
      </c>
      <c r="C221" s="327" t="s">
        <v>595</v>
      </c>
      <c r="D221" s="328" t="s">
        <v>63</v>
      </c>
      <c r="E221" s="328" t="s">
        <v>77</v>
      </c>
      <c r="F221" s="328" t="s">
        <v>11</v>
      </c>
      <c r="G221" s="322">
        <v>2</v>
      </c>
      <c r="H221" s="322">
        <v>0</v>
      </c>
      <c r="I221" s="323">
        <v>0.33</v>
      </c>
      <c r="J221" s="323">
        <v>0.33</v>
      </c>
      <c r="K221" s="237" t="s">
        <v>146</v>
      </c>
      <c r="L221" s="237"/>
      <c r="M221" s="237"/>
      <c r="N221" s="237"/>
      <c r="O221" s="324" t="s">
        <v>596</v>
      </c>
      <c r="P221" s="292"/>
      <c r="Q221" s="328" t="s">
        <v>148</v>
      </c>
      <c r="R221" s="173"/>
      <c r="S221" s="195">
        <f>MATCH($D221,Reference!$J$5:$J$9,0)</f>
        <v>2</v>
      </c>
      <c r="T221" s="195">
        <f>MATCH($E221,Reference!$J$26:$J$32,0)</f>
        <v>2</v>
      </c>
      <c r="U221" s="195">
        <f>MATCH($F221,Reference!$J$45:$J$54,0)</f>
        <v>2</v>
      </c>
      <c r="V221" s="196">
        <f>MATCH($K221,Reference!$J$37:$J$39,0)</f>
        <v>2</v>
      </c>
      <c r="W221" s="197">
        <f t="shared" si="278"/>
        <v>2</v>
      </c>
      <c r="X221" s="197">
        <f t="shared" si="1"/>
        <v>1</v>
      </c>
      <c r="Y221" s="197">
        <f t="shared" si="301"/>
        <v>0</v>
      </c>
      <c r="Z221" s="197">
        <f t="shared" si="279"/>
        <v>2</v>
      </c>
      <c r="AA221" s="199" t="b">
        <f t="shared" si="3"/>
        <v>0</v>
      </c>
      <c r="AB221" s="199" t="b">
        <f t="shared" si="4"/>
        <v>0</v>
      </c>
      <c r="AC221" s="200">
        <f t="shared" ref="AC221:AD221" si="404">1-I221</f>
        <v>0.66999999999999993</v>
      </c>
      <c r="AD221" s="200">
        <f t="shared" si="404"/>
        <v>0.66999999999999993</v>
      </c>
      <c r="AE221" s="199">
        <f t="shared" si="6"/>
        <v>2</v>
      </c>
      <c r="AF221" s="201">
        <f t="shared" si="281"/>
        <v>0</v>
      </c>
      <c r="AG221" s="201">
        <f t="shared" si="8"/>
        <v>1</v>
      </c>
      <c r="AH221" s="202">
        <f t="shared" si="303"/>
        <v>0</v>
      </c>
      <c r="AI221" s="205"/>
      <c r="AJ221" s="231" t="s">
        <v>58</v>
      </c>
      <c r="AK221" s="232">
        <f t="shared" ref="AK221:AL221" si="405">SUM(AO221+AM221+AQ221+AS221+AU221+AW221+AY221+BA221+BC221)</f>
        <v>43</v>
      </c>
      <c r="AL221" s="232">
        <f t="shared" si="405"/>
        <v>43</v>
      </c>
      <c r="AM221" s="191">
        <f>SUMIFS($X$2:$X879, $E$2:$E879, "Basic", $F$2:F879, "Neutral")</f>
        <v>43</v>
      </c>
      <c r="AN221" s="191">
        <f>COUNTIFS($E$2:$E879, "Basic", $E$2:$E879, "Basic", $F$2:F879, "Neutral" )</f>
        <v>43</v>
      </c>
      <c r="AO221" s="234"/>
      <c r="AP221" s="235"/>
      <c r="AQ221" s="191"/>
      <c r="AR221" s="235"/>
      <c r="AS221" s="234"/>
      <c r="AT221" s="235"/>
      <c r="AU221" s="191"/>
      <c r="AV221" s="235"/>
      <c r="AW221" s="191"/>
      <c r="AX221" s="235"/>
      <c r="AY221" s="191"/>
      <c r="AZ221" s="235"/>
      <c r="BA221" s="191"/>
      <c r="BB221" s="235"/>
      <c r="BC221" s="191"/>
      <c r="BD221" s="235"/>
    </row>
    <row r="222" spans="1:56" ht="14.25">
      <c r="A222" s="187"/>
      <c r="B222" s="187">
        <v>3</v>
      </c>
      <c r="C222" s="320" t="s">
        <v>597</v>
      </c>
      <c r="D222" s="321" t="s">
        <v>63</v>
      </c>
      <c r="E222" s="321" t="s">
        <v>77</v>
      </c>
      <c r="F222" s="321" t="s">
        <v>115</v>
      </c>
      <c r="G222" s="325">
        <v>2</v>
      </c>
      <c r="H222" s="322">
        <v>0</v>
      </c>
      <c r="I222" s="323">
        <v>0.66</v>
      </c>
      <c r="J222" s="323">
        <v>0.66</v>
      </c>
      <c r="K222" s="229" t="s">
        <v>182</v>
      </c>
      <c r="L222" s="229"/>
      <c r="M222" s="229">
        <v>3</v>
      </c>
      <c r="N222" s="229">
        <v>3</v>
      </c>
      <c r="O222" s="326" t="s">
        <v>598</v>
      </c>
      <c r="P222" s="289" t="s">
        <v>184</v>
      </c>
      <c r="Q222" s="321" t="s">
        <v>148</v>
      </c>
      <c r="R222" s="173"/>
      <c r="S222" s="195">
        <f>MATCH($D222,Reference!$J$5:$J$9,0)</f>
        <v>2</v>
      </c>
      <c r="T222" s="195">
        <f>MATCH($E222,Reference!$J$26:$J$32,0)</f>
        <v>2</v>
      </c>
      <c r="U222" s="195">
        <f>MATCH($F222,Reference!$J$45:$J$54,0)</f>
        <v>10</v>
      </c>
      <c r="V222" s="196">
        <f>MATCH($K222,Reference!$J$37:$J$39,0)</f>
        <v>3</v>
      </c>
      <c r="W222" s="197">
        <f t="shared" si="278"/>
        <v>2</v>
      </c>
      <c r="X222" s="197">
        <f t="shared" si="1"/>
        <v>1</v>
      </c>
      <c r="Y222" s="197">
        <f t="shared" si="301"/>
        <v>0</v>
      </c>
      <c r="Z222" s="197">
        <f t="shared" si="279"/>
        <v>2</v>
      </c>
      <c r="AA222" s="199" t="b">
        <f t="shared" si="3"/>
        <v>0</v>
      </c>
      <c r="AB222" s="199" t="b">
        <f t="shared" si="4"/>
        <v>0</v>
      </c>
      <c r="AC222" s="200">
        <f t="shared" ref="AC222:AD222" si="406">1-I222</f>
        <v>0.33999999999999997</v>
      </c>
      <c r="AD222" s="200">
        <f t="shared" si="406"/>
        <v>0.33999999999999997</v>
      </c>
      <c r="AE222" s="199">
        <f t="shared" si="6"/>
        <v>2</v>
      </c>
      <c r="AF222" s="201">
        <f t="shared" si="281"/>
        <v>0</v>
      </c>
      <c r="AG222" s="201">
        <f t="shared" si="8"/>
        <v>1</v>
      </c>
      <c r="AH222" s="202">
        <f t="shared" si="303"/>
        <v>0</v>
      </c>
      <c r="AI222" s="205"/>
      <c r="AJ222" s="236" t="s">
        <v>63</v>
      </c>
      <c r="AK222" s="237">
        <f t="shared" ref="AK222:AL222" si="407">SUM(AO222+AM222+AQ222+AS222+AU222+AW222+AY222+BA222+BC222)</f>
        <v>128</v>
      </c>
      <c r="AL222" s="237">
        <f t="shared" si="407"/>
        <v>129</v>
      </c>
      <c r="AM222" s="229">
        <f>SUMIFS($X$2:$X879, $D$2:$D879, "Common", $E$2:$E879, "Classic", $F$2:F879, "Neutral")</f>
        <v>39</v>
      </c>
      <c r="AN222" s="229">
        <f>COUNTIFS($D$2:$D879, "Common", $E$2:$E879, "Classic", $F$2:F879, "Neutral" )</f>
        <v>40</v>
      </c>
      <c r="AO222" s="268">
        <f>SUMIFS($X$2:$X879, $D$2:$D879, "Common", $E$2:$E879, "Promo", $F$2:F879, "Neutral")</f>
        <v>0</v>
      </c>
      <c r="AP222" s="230">
        <f>COUNTIFS($D$2:$D879, "Common", $E$2:$E879, "Promo", $F$2:F879, "Neutral" )</f>
        <v>0</v>
      </c>
      <c r="AQ222" s="229">
        <f>SUMIFS($X$2:$X879, $D$2:$D879, "Common", $E$2:$E879, "Naxx", $F$2:F879, "Neutral")</f>
        <v>9</v>
      </c>
      <c r="AR222" s="229">
        <f>COUNTIFS($D$2:$D879, "Common", $E$2:$E879, "Naxx", $F$2:F879, "Neutral" )</f>
        <v>9</v>
      </c>
      <c r="AS222" s="268">
        <f>SUMIFS($X$2:$X879, $D$2:$D879, "Common", $E$2:$E879, "GvG", $F$2:F879, "Neutral")</f>
        <v>22</v>
      </c>
      <c r="AT222" s="230">
        <f>COUNTIFS($D$2:$D879, "Common", $E$2:$E879, "GvG", $F$2:F879, "Neutral" )</f>
        <v>22</v>
      </c>
      <c r="AU222" s="229">
        <f>SUMIFS($X$2:$X879, $D$2:$D879, "Common", $E$2:$E879, "Blackrock", $F$2:F879, "Neutral")</f>
        <v>6</v>
      </c>
      <c r="AV222" s="229">
        <f>COUNTIFS($D$2:$D879, "Common", $E$2:$E879, "Blackrock", $F$2:F879, "Neutral" )</f>
        <v>6</v>
      </c>
      <c r="AW222" s="229">
        <f>SUMIFS($X$2:$X879, $D$2:$D879, "Common", $E$2:$E879, "TGT", $F$2:F879, "Neutral")</f>
        <v>22</v>
      </c>
      <c r="AX222" s="230">
        <f>COUNTIFS($D$2:$D879, "Common", $E$2:$E879, "TGT", $F$2:F879, "Neutral" )</f>
        <v>22</v>
      </c>
      <c r="AY222" s="229">
        <f>SUMIFS($X$2:$X879, $D$2:$D879, "Common", $E$2:$E879, "LoE", $F$2:F879, "Neutral")</f>
        <v>7</v>
      </c>
      <c r="AZ222" s="230">
        <f>COUNTIFS($D$2:$D879, "Common", $E$2:$E879, "LoE", $F$2:F879, "Neutral" )</f>
        <v>7</v>
      </c>
      <c r="BA222" s="229">
        <f>SUMIFS($X$2:$X879, $D$2:$D879, "Common", $E$2:$E879, "TOG", $F$2:F879, "Neutral")</f>
        <v>23</v>
      </c>
      <c r="BB222" s="230">
        <f>COUNTIFS($D$2:$D879, "Common", $E$2:$E879, "TOG", $F$2:F879, "Neutral" )</f>
        <v>23</v>
      </c>
      <c r="BC222" s="229">
        <f>SUMIFS($X$2:$X879, $D$2:$D879, "Common", $E$2:$E879, "Adv4", $F$2:F879, "Neutral")</f>
        <v>0</v>
      </c>
      <c r="BD222" s="230">
        <f>COUNTIFS($D$2:$D879, "Common", $E$2:$E879, "Adv4", $F$2:F879, "Neutral" )</f>
        <v>0</v>
      </c>
    </row>
    <row r="223" spans="1:56" ht="14.25">
      <c r="A223" s="213"/>
      <c r="B223" s="187">
        <v>3</v>
      </c>
      <c r="C223" s="320" t="s">
        <v>599</v>
      </c>
      <c r="D223" s="321" t="s">
        <v>63</v>
      </c>
      <c r="E223" s="321" t="s">
        <v>77</v>
      </c>
      <c r="F223" s="321" t="s">
        <v>115</v>
      </c>
      <c r="G223" s="325">
        <v>2</v>
      </c>
      <c r="H223" s="325">
        <v>0</v>
      </c>
      <c r="I223" s="323">
        <v>0</v>
      </c>
      <c r="J223" s="323">
        <v>0</v>
      </c>
      <c r="K223" s="229" t="s">
        <v>182</v>
      </c>
      <c r="L223" s="229"/>
      <c r="M223" s="229">
        <v>2</v>
      </c>
      <c r="N223" s="229">
        <v>3</v>
      </c>
      <c r="O223" s="326" t="s">
        <v>600</v>
      </c>
      <c r="P223" s="289"/>
      <c r="Q223" s="321" t="s">
        <v>148</v>
      </c>
      <c r="R223" s="173"/>
      <c r="S223" s="195">
        <f>MATCH($D223,Reference!$J$5:$J$9,0)</f>
        <v>2</v>
      </c>
      <c r="T223" s="195">
        <f>MATCH($E223,Reference!$J$26:$J$32,0)</f>
        <v>2</v>
      </c>
      <c r="U223" s="195">
        <f>MATCH($F223,Reference!$J$45:$J$54,0)</f>
        <v>10</v>
      </c>
      <c r="V223" s="196">
        <f>MATCH($K223,Reference!$J$37:$J$39,0)</f>
        <v>3</v>
      </c>
      <c r="W223" s="197">
        <f t="shared" si="278"/>
        <v>2</v>
      </c>
      <c r="X223" s="197">
        <f t="shared" si="1"/>
        <v>1</v>
      </c>
      <c r="Y223" s="197">
        <f t="shared" si="301"/>
        <v>0</v>
      </c>
      <c r="Z223" s="197">
        <f t="shared" si="279"/>
        <v>2</v>
      </c>
      <c r="AA223" s="199" t="b">
        <f t="shared" si="3"/>
        <v>0</v>
      </c>
      <c r="AB223" s="199" t="b">
        <f t="shared" si="4"/>
        <v>0</v>
      </c>
      <c r="AC223" s="200">
        <f t="shared" ref="AC223:AD223" si="408">1-I223</f>
        <v>1</v>
      </c>
      <c r="AD223" s="200">
        <f t="shared" si="408"/>
        <v>1</v>
      </c>
      <c r="AE223" s="199">
        <f t="shared" si="6"/>
        <v>2</v>
      </c>
      <c r="AF223" s="201">
        <f t="shared" si="281"/>
        <v>0</v>
      </c>
      <c r="AG223" s="201">
        <f t="shared" si="8"/>
        <v>1</v>
      </c>
      <c r="AH223" s="202">
        <f t="shared" si="303"/>
        <v>0</v>
      </c>
      <c r="AI223" s="205"/>
      <c r="AJ223" s="241" t="s">
        <v>68</v>
      </c>
      <c r="AK223" s="242">
        <f t="shared" ref="AK223:AL223" si="409">SUM(AO223+AM223+AQ223+AS223+AU223+AW223+AY223+BA223+BC223)</f>
        <v>70</v>
      </c>
      <c r="AL223" s="242">
        <f t="shared" si="409"/>
        <v>74</v>
      </c>
      <c r="AM223" s="269">
        <f>SUMIFS($X$2:$X879, $D$2:$D879, "Rare", $E$2:$E879, "Classic", $F$2:F879, "Neutral")</f>
        <v>34</v>
      </c>
      <c r="AN223" s="269">
        <f>COUNTIFS($D$2:$D879, "Rare", $E$2:$E879, "Classic", $F$2:F879, "Neutral" )</f>
        <v>36</v>
      </c>
      <c r="AO223" s="270">
        <f>SUMIFS($X$2:$X879, $D$2:$D879, "Rare", $E$2:$E879, "Promo", $F$2:F879, "Neutral")</f>
        <v>0</v>
      </c>
      <c r="AP223" s="271">
        <f>COUNTIFS($D$2:$D879, "Rare", $E$2:$E879, "Promo", $F$2:F879, "Neutral" )</f>
        <v>0</v>
      </c>
      <c r="AQ223" s="269">
        <f>SUMIFS($X$2:$X879, $D$2:$D879, "Rare", $E$2:$E879, "Naxx", $F$2:F879, "Neutral")</f>
        <v>4</v>
      </c>
      <c r="AR223" s="269">
        <f>COUNTIFS($D$2:$D879, "Rare", $E$2:$E879, "Naxx", $F$2:F879, "Neutral" )</f>
        <v>4</v>
      </c>
      <c r="AS223" s="270">
        <f>SUMIFS($X$2:$X879, $D$2:$D879, "Rare", $E$2:$E879, "GvG", $F$2:F879, "Neutral")</f>
        <v>8</v>
      </c>
      <c r="AT223" s="271">
        <f>COUNTIFS($D$2:$D879, "Rare", $E$2:$E879, "GvG", $F$2:F879, "Neutral" )</f>
        <v>10</v>
      </c>
      <c r="AU223" s="269">
        <f>SUMIFS($X$2:$X879, $D$2:$D879, "Rare", $E$2:$E879, "Blackrock", $F$2:F879, "Neutral")</f>
        <v>2</v>
      </c>
      <c r="AV223" s="269">
        <f>COUNTIFS($D$2:$D879, "Rare", $E$2:$E879, "Blackrock", $F$2:F879, "Neutral" )</f>
        <v>2</v>
      </c>
      <c r="AW223" s="269">
        <f>SUMIFS($X$2:$X879, $D$2:$D879, "Rare", $E$2:$E879, "TGT", $F$2:F879, "Neutral")</f>
        <v>9</v>
      </c>
      <c r="AX223" s="271">
        <f>COUNTIFS($D$2:$D879, "Rare", $E$2:$E879, "TGT", $F$2:F879, "Neutral" )</f>
        <v>9</v>
      </c>
      <c r="AY223" s="269">
        <f>SUMIFS($X$2:$X879, $D$2:$D879, "Rare", $E$2:$E879, "LoE", $F$2:F879, "Neutral")</f>
        <v>4</v>
      </c>
      <c r="AZ223" s="271">
        <f>COUNTIFS($D$2:$D879, "Rare", $E$2:$E879, "LoE", $F$2:F879, "Neutral" )</f>
        <v>4</v>
      </c>
      <c r="BA223" s="269">
        <f>SUMIFS($X$2:$X879, $D$2:$D879, "Rare", $E$2:$E879, "TOG", $F$2:F879, "Neutral")</f>
        <v>9</v>
      </c>
      <c r="BB223" s="271">
        <f>COUNTIFS($D$2:$D879, "Rare", $E$2:$E879, "TOG", $F$2:F879, "Neutral" )</f>
        <v>9</v>
      </c>
      <c r="BC223" s="269">
        <f>SUMIFS($X$2:$X879, $D$2:$D879, "Rare", $E$2:$E879, "Adv4", $F$2:F879, "Neutral")</f>
        <v>0</v>
      </c>
      <c r="BD223" s="271">
        <f>COUNTIFS($D$2:$D879, "Rare", $E$2:$E879, "Adv4", $F$2:F879, "Neutral" )</f>
        <v>0</v>
      </c>
    </row>
    <row r="224" spans="1:56" ht="14.25">
      <c r="A224" s="187"/>
      <c r="B224" s="187">
        <v>3</v>
      </c>
      <c r="C224" s="320" t="s">
        <v>601</v>
      </c>
      <c r="D224" s="321" t="s">
        <v>63</v>
      </c>
      <c r="E224" s="321" t="s">
        <v>77</v>
      </c>
      <c r="F224" s="321" t="s">
        <v>115</v>
      </c>
      <c r="G224" s="325">
        <v>2</v>
      </c>
      <c r="H224" s="325">
        <v>0</v>
      </c>
      <c r="I224" s="323">
        <v>1</v>
      </c>
      <c r="J224" s="323">
        <v>0.66</v>
      </c>
      <c r="K224" s="229" t="s">
        <v>182</v>
      </c>
      <c r="L224" s="329" t="s">
        <v>602</v>
      </c>
      <c r="M224" s="229">
        <v>2</v>
      </c>
      <c r="N224" s="229">
        <v>3</v>
      </c>
      <c r="O224" s="326" t="s">
        <v>603</v>
      </c>
      <c r="P224" s="332" t="s">
        <v>454</v>
      </c>
      <c r="Q224" s="321" t="s">
        <v>148</v>
      </c>
      <c r="R224" s="173"/>
      <c r="S224" s="195">
        <f>MATCH($D224,Reference!$J$5:$J$9,0)</f>
        <v>2</v>
      </c>
      <c r="T224" s="195">
        <f>MATCH($E224,Reference!$J$26:$J$32,0)</f>
        <v>2</v>
      </c>
      <c r="U224" s="195">
        <f>MATCH($F224,Reference!$J$45:$J$54,0)</f>
        <v>10</v>
      </c>
      <c r="V224" s="196">
        <f>MATCH($K224,Reference!$J$37:$J$39,0)</f>
        <v>3</v>
      </c>
      <c r="W224" s="197">
        <f t="shared" si="278"/>
        <v>2</v>
      </c>
      <c r="X224" s="197">
        <f t="shared" si="1"/>
        <v>1</v>
      </c>
      <c r="Y224" s="197">
        <f t="shared" si="301"/>
        <v>0</v>
      </c>
      <c r="Z224" s="197">
        <f t="shared" si="279"/>
        <v>2</v>
      </c>
      <c r="AA224" s="199" t="b">
        <f t="shared" si="3"/>
        <v>0</v>
      </c>
      <c r="AB224" s="199" t="b">
        <f t="shared" si="4"/>
        <v>0</v>
      </c>
      <c r="AC224" s="200">
        <f t="shared" ref="AC224:AD224" si="410">1-I224</f>
        <v>0</v>
      </c>
      <c r="AD224" s="200">
        <f t="shared" si="410"/>
        <v>0.33999999999999997</v>
      </c>
      <c r="AE224" s="199">
        <f t="shared" si="6"/>
        <v>2</v>
      </c>
      <c r="AF224" s="201">
        <f t="shared" si="281"/>
        <v>0</v>
      </c>
      <c r="AG224" s="201">
        <f t="shared" si="8"/>
        <v>1</v>
      </c>
      <c r="AH224" s="202">
        <f t="shared" si="303"/>
        <v>0</v>
      </c>
      <c r="AI224" s="205"/>
      <c r="AJ224" s="245" t="s">
        <v>69</v>
      </c>
      <c r="AK224" s="246">
        <f t="shared" ref="AK224:AL224" si="411">SUM(AO224+AM224+AQ224+AS224+AU224+AW224+AY224+BA224+BC224)</f>
        <v>24</v>
      </c>
      <c r="AL224" s="246">
        <f t="shared" si="411"/>
        <v>41</v>
      </c>
      <c r="AM224" s="272">
        <f>SUMIFS($X$2:$X879, $D$2:$D879, "Epic", $E$2:$E879, "Classic", $F$2:F879, "Neutral")</f>
        <v>7</v>
      </c>
      <c r="AN224" s="272">
        <f>COUNTIFS($D$2:$D879, "Epic", $E$2:$E879, "Classic", $F$2:F879, "Neutral" )</f>
        <v>10</v>
      </c>
      <c r="AO224" s="273">
        <f>SUMIFS($X$2:$X879, $D$2:$D879, "Epic", $E$2:$E879, "Promo", $F$2:F879, "Neutral")</f>
        <v>1</v>
      </c>
      <c r="AP224" s="274">
        <f>COUNTIFS($D$2:$D879, "Epic", $E$2:$E879, "Promo", $F$2:F879, "Neutral" )</f>
        <v>1</v>
      </c>
      <c r="AQ224" s="272">
        <f>SUMIFS($X$2:$X879, $D$2:$D879, "Epic", $E$2:$E879, "Naxx", $F$2:F879, "Neutral")</f>
        <v>2</v>
      </c>
      <c r="AR224" s="272">
        <f>COUNTIFS($D$2:$D879, "Epic", $E$2:$E879, "Naxx", $F$2:F879, "Neutral" )</f>
        <v>2</v>
      </c>
      <c r="AS224" s="273">
        <f>SUMIFS($X$2:$X879, $D$2:$D879, "Epic", $E$2:$E879, "GvG", $F$2:F879, "Neutral")</f>
        <v>3</v>
      </c>
      <c r="AT224" s="274">
        <f>COUNTIFS($D$2:$D879, "Epic", $E$2:$E879, "GvG", $F$2:F879, "Neutral" )</f>
        <v>8</v>
      </c>
      <c r="AU224" s="272">
        <f>SUMIFS($X$2:$X879, $D$2:$D879, "Epic", $E$2:$E879, "Blackrock", $F$2:F879, "Neutral")</f>
        <v>0</v>
      </c>
      <c r="AV224" s="272">
        <f>COUNTIFS($D$2:$D879, "Epic", $E$2:$E879, "Blackrock", $F$2:F879, "Neutral" )</f>
        <v>0</v>
      </c>
      <c r="AW224" s="272">
        <f>SUMIFS($X$2:$X879, $D$2:$D879, "Epic", $E$2:$E879, "TGT", $F$2:F879, "Neutral")</f>
        <v>6</v>
      </c>
      <c r="AX224" s="274">
        <f>COUNTIFS($D$2:$D879, "Epic", $E$2:$E879, "TGT", $F$2:F879, "Neutral" )</f>
        <v>9</v>
      </c>
      <c r="AY224" s="272">
        <f>SUMIFS($X$2:$X879, $D$2:$D879, "Epic", $E$2:$E879, "LoE", $F$2:F879, "Neutral")</f>
        <v>2</v>
      </c>
      <c r="AZ224" s="274">
        <f>COUNTIFS($D$2:$D879, "Epic", $E$2:$E879, "LoE", $F$2:F879, "Neutral" )</f>
        <v>2</v>
      </c>
      <c r="BA224" s="272">
        <f>SUMIFS($X$2:$X879, $D$2:$D879, "Epic", $E$2:$E879, "TOG", $F$2:F879, "Neutral")</f>
        <v>3</v>
      </c>
      <c r="BB224" s="274">
        <f>COUNTIFS($D$2:$D879, "Epic", $E$2:$E879, "TOG", $F$2:F879, "Neutral" )</f>
        <v>9</v>
      </c>
      <c r="BC224" s="272">
        <f>SUMIFS($X$2:$X879, $D$2:$D879, "Epic", $E$2:$E879, "Adv4", $F$2:F879, "Neutral")</f>
        <v>0</v>
      </c>
      <c r="BD224" s="274">
        <f>COUNTIFS($D$2:$D879, "Epic", $E$2:$E879, "Adv4", $F$2:F879, "Neutral" )</f>
        <v>0</v>
      </c>
    </row>
    <row r="225" spans="1:56" ht="14.25">
      <c r="A225" s="187"/>
      <c r="B225" s="240">
        <v>3</v>
      </c>
      <c r="C225" s="327" t="s">
        <v>604</v>
      </c>
      <c r="D225" s="328" t="s">
        <v>63</v>
      </c>
      <c r="E225" s="328" t="s">
        <v>77</v>
      </c>
      <c r="F225" s="328" t="s">
        <v>13</v>
      </c>
      <c r="G225" s="322">
        <v>2</v>
      </c>
      <c r="H225" s="322">
        <v>0</v>
      </c>
      <c r="I225" s="323">
        <v>1</v>
      </c>
      <c r="J225" s="323">
        <v>1</v>
      </c>
      <c r="K225" s="237" t="s">
        <v>146</v>
      </c>
      <c r="L225" s="237" t="s">
        <v>508</v>
      </c>
      <c r="M225" s="237"/>
      <c r="N225" s="237"/>
      <c r="O225" s="324" t="s">
        <v>605</v>
      </c>
      <c r="P225" s="292"/>
      <c r="Q225" s="328" t="s">
        <v>148</v>
      </c>
      <c r="R225" s="173"/>
      <c r="S225" s="195">
        <f>MATCH($D225,Reference!$J$5:$J$9,0)</f>
        <v>2</v>
      </c>
      <c r="T225" s="195">
        <f>MATCH($E225,Reference!$J$26:$J$32,0)</f>
        <v>2</v>
      </c>
      <c r="U225" s="195">
        <f>MATCH($F225,Reference!$J$45:$J$54,0)</f>
        <v>3</v>
      </c>
      <c r="V225" s="196">
        <f>MATCH($K225,Reference!$J$37:$J$39,0)</f>
        <v>2</v>
      </c>
      <c r="W225" s="197">
        <f t="shared" si="278"/>
        <v>2</v>
      </c>
      <c r="X225" s="197">
        <f t="shared" si="1"/>
        <v>1</v>
      </c>
      <c r="Y225" s="197">
        <f t="shared" si="301"/>
        <v>0</v>
      </c>
      <c r="Z225" s="197">
        <f t="shared" si="279"/>
        <v>2</v>
      </c>
      <c r="AA225" s="199" t="b">
        <f t="shared" si="3"/>
        <v>0</v>
      </c>
      <c r="AB225" s="199" t="b">
        <f t="shared" si="4"/>
        <v>0</v>
      </c>
      <c r="AC225" s="200">
        <f t="shared" ref="AC225:AD225" si="412">1-I225</f>
        <v>0</v>
      </c>
      <c r="AD225" s="200">
        <f t="shared" si="412"/>
        <v>0</v>
      </c>
      <c r="AE225" s="199">
        <f t="shared" si="6"/>
        <v>2</v>
      </c>
      <c r="AF225" s="201">
        <f t="shared" si="281"/>
        <v>0</v>
      </c>
      <c r="AG225" s="201">
        <f t="shared" si="8"/>
        <v>1</v>
      </c>
      <c r="AH225" s="202">
        <f t="shared" si="303"/>
        <v>0</v>
      </c>
      <c r="AI225" s="205"/>
      <c r="AJ225" s="249" t="s">
        <v>70</v>
      </c>
      <c r="AK225" s="250">
        <f t="shared" ref="AK225:AL225" si="413">SUM(AO225+AM225+AQ225+AS225+AU225+AW225+AY225+BA225+BC225)</f>
        <v>45</v>
      </c>
      <c r="AL225" s="250">
        <f t="shared" si="413"/>
        <v>76</v>
      </c>
      <c r="AM225" s="275">
        <f>SUMIFS($X$2:$X879, $D$2:$D879, "Legendary", $E$2:$E879, "Classic", $F$2:F879, "Neutral")</f>
        <v>13</v>
      </c>
      <c r="AN225" s="275">
        <f>COUNTIFS($D$2:$D879, "Legendary", $E$2:$E879, "Classic", $F$2:F879, "Neutral" )</f>
        <v>24</v>
      </c>
      <c r="AO225" s="276">
        <f>SUMIFS($X$2:$X879, $D$2:$D879, "Legendary", $E$2:$E879, "Promo", $F$2:F879, "Neutral")</f>
        <v>2</v>
      </c>
      <c r="AP225" s="277">
        <f>COUNTIFS($D$2:$D879, "Legendary", $E$2:$E879, "Promo", $F$2:F879, "Neutral" )</f>
        <v>3</v>
      </c>
      <c r="AQ225" s="275">
        <f>SUMIFS($X$2:$X879, $D$2:$D879, "Legendary", $E$2:$E879, "Naxx", $F$2:F879, "Neutral")</f>
        <v>6</v>
      </c>
      <c r="AR225" s="275">
        <f>COUNTIFS($D$2:$D879, "Legendary", $E$2:$E879, "Naxx", $F$2:F879, "Neutral" )</f>
        <v>6</v>
      </c>
      <c r="AS225" s="276">
        <f>SUMIFS($X$2:$X879, $D$2:$D879, "Legendary", $E$2:$E879, "GvG", $F$2:F879, "Neutral")</f>
        <v>3</v>
      </c>
      <c r="AT225" s="277">
        <f>COUNTIFS($D$2:$D879, "Legendary", $E$2:$E879, "GvG", $F$2:F879, "Neutral" )</f>
        <v>11</v>
      </c>
      <c r="AU225" s="275">
        <f>SUMIFS($X$2:$X879, $D$2:$D879, "Legendary", $E$2:$E879, "Blackrock", $F$2:F879, "Neutral")</f>
        <v>5</v>
      </c>
      <c r="AV225" s="275">
        <f>COUNTIFS($D$2:$D879, "Legendary", $E$2:$E879, "Blackrock", $F$2:F879, "Neutral" )</f>
        <v>5</v>
      </c>
      <c r="AW225" s="275">
        <f>SUMIFS($X$2:$X879, $D$2:$D879, "Legendary", $E$2:$E879, "TGT", $F$2:F879, "Neutral")</f>
        <v>5</v>
      </c>
      <c r="AX225" s="277">
        <f>COUNTIFS($D$2:$D879, "Legendary", $E$2:$E879, "TGT", $F$2:F879, "Neutral" )</f>
        <v>10</v>
      </c>
      <c r="AY225" s="275">
        <f>SUMIFS($X$2:$X879, $D$2:$D879, "Legendary", $E$2:$E879, "LoE", $F$2:F879, "Neutral")</f>
        <v>5</v>
      </c>
      <c r="AZ225" s="277">
        <f>COUNTIFS($D$2:$D879, "Legendary", $E$2:$E879, "LoE", $F$2:F879, "Neutral" )</f>
        <v>5</v>
      </c>
      <c r="BA225" s="275">
        <f>SUMIFS($X$2:$X879, $D$2:$D879, "Legendary", $E$2:$E879, "TOG", $F$2:F879, "Neutral")</f>
        <v>6</v>
      </c>
      <c r="BB225" s="277">
        <f>COUNTIFS($D$2:$D879, "Legendary", $E$2:$E879, "TOG", $F$2:F879, "Neutral" )</f>
        <v>12</v>
      </c>
      <c r="BC225" s="275">
        <f>SUMIFS($X$2:$X879, $D$2:$D879, "Legendary", $E$2:$E879, "Adv4", $F$2:F879, "Neutral")</f>
        <v>0</v>
      </c>
      <c r="BD225" s="277">
        <f>COUNTIFS($D$2:$D879, "Legendary", $E$2:$E879, "Adv4", $F$2:F879, "Neutral" )</f>
        <v>0</v>
      </c>
    </row>
    <row r="226" spans="1:56" ht="14.25">
      <c r="A226" s="240"/>
      <c r="B226" s="333">
        <v>3</v>
      </c>
      <c r="C226" s="320" t="s">
        <v>606</v>
      </c>
      <c r="D226" s="321" t="s">
        <v>63</v>
      </c>
      <c r="E226" s="321" t="s">
        <v>77</v>
      </c>
      <c r="F226" s="321" t="s">
        <v>115</v>
      </c>
      <c r="G226" s="322">
        <v>2</v>
      </c>
      <c r="H226" s="325">
        <v>0</v>
      </c>
      <c r="I226" s="323">
        <v>1</v>
      </c>
      <c r="J226" s="323">
        <v>1</v>
      </c>
      <c r="K226" s="229" t="s">
        <v>182</v>
      </c>
      <c r="L226" s="229" t="s">
        <v>230</v>
      </c>
      <c r="M226" s="229">
        <v>2</v>
      </c>
      <c r="N226" s="229">
        <v>1</v>
      </c>
      <c r="O226" s="326" t="s">
        <v>607</v>
      </c>
      <c r="P226" s="289" t="s">
        <v>184</v>
      </c>
      <c r="Q226" s="321" t="s">
        <v>148</v>
      </c>
      <c r="R226" s="173"/>
      <c r="S226" s="195">
        <f>MATCH($D226,Reference!$J$5:$J$9,0)</f>
        <v>2</v>
      </c>
      <c r="T226" s="195">
        <f>MATCH($E226,Reference!$J$26:$J$32,0)</f>
        <v>2</v>
      </c>
      <c r="U226" s="195">
        <f>MATCH($F226,Reference!$J$45:$J$54,0)</f>
        <v>10</v>
      </c>
      <c r="V226" s="196">
        <f>MATCH($K226,Reference!$J$37:$J$39,0)</f>
        <v>3</v>
      </c>
      <c r="W226" s="197">
        <f t="shared" si="278"/>
        <v>2</v>
      </c>
      <c r="X226" s="197">
        <f t="shared" si="1"/>
        <v>1</v>
      </c>
      <c r="Y226" s="197">
        <f t="shared" si="301"/>
        <v>0</v>
      </c>
      <c r="Z226" s="197">
        <f t="shared" si="279"/>
        <v>2</v>
      </c>
      <c r="AA226" s="199" t="b">
        <f t="shared" si="3"/>
        <v>0</v>
      </c>
      <c r="AB226" s="199" t="b">
        <f t="shared" si="4"/>
        <v>0</v>
      </c>
      <c r="AC226" s="200">
        <f t="shared" ref="AC226:AD226" si="414">1-I226</f>
        <v>0</v>
      </c>
      <c r="AD226" s="200">
        <f t="shared" si="414"/>
        <v>0</v>
      </c>
      <c r="AE226" s="199">
        <f t="shared" si="6"/>
        <v>2</v>
      </c>
      <c r="AF226" s="201">
        <f t="shared" si="281"/>
        <v>0</v>
      </c>
      <c r="AG226" s="201">
        <f t="shared" si="8"/>
        <v>1</v>
      </c>
      <c r="AH226" s="202">
        <f t="shared" si="303"/>
        <v>0</v>
      </c>
      <c r="AI226" s="205"/>
      <c r="AJ226" s="253" t="s">
        <v>240</v>
      </c>
      <c r="AK226" s="237">
        <f t="shared" ref="AK226:AL226" si="415">SUM(AO226+AM226+AQ226+AS226+AU226+AW226+AY226+BA226+BC226)</f>
        <v>0</v>
      </c>
      <c r="AL226" s="238">
        <f t="shared" si="415"/>
        <v>0</v>
      </c>
      <c r="AM226" s="229"/>
      <c r="AN226" s="230"/>
      <c r="AO226" s="254"/>
      <c r="AP226" s="255"/>
      <c r="AQ226" s="229"/>
      <c r="AR226" s="230"/>
      <c r="AS226" s="254"/>
      <c r="AT226" s="255"/>
      <c r="AU226" s="229"/>
      <c r="AV226" s="230"/>
      <c r="AW226" s="229"/>
      <c r="AX226" s="230"/>
      <c r="AY226" s="229"/>
      <c r="AZ226" s="230"/>
      <c r="BA226" s="229"/>
      <c r="BB226" s="230"/>
      <c r="BC226" s="229"/>
      <c r="BD226" s="230"/>
    </row>
    <row r="227" spans="1:56" ht="14.25">
      <c r="A227" s="187"/>
      <c r="B227" s="187">
        <v>3</v>
      </c>
      <c r="C227" s="320" t="s">
        <v>608</v>
      </c>
      <c r="D227" s="321" t="s">
        <v>63</v>
      </c>
      <c r="E227" s="321" t="s">
        <v>77</v>
      </c>
      <c r="F227" s="321" t="s">
        <v>115</v>
      </c>
      <c r="G227" s="325">
        <v>2</v>
      </c>
      <c r="H227" s="325">
        <v>0</v>
      </c>
      <c r="I227" s="323">
        <v>0.33</v>
      </c>
      <c r="J227" s="323">
        <v>0.33</v>
      </c>
      <c r="K227" s="229" t="s">
        <v>182</v>
      </c>
      <c r="L227" s="229" t="s">
        <v>230</v>
      </c>
      <c r="M227" s="229">
        <v>4</v>
      </c>
      <c r="N227" s="229">
        <v>2</v>
      </c>
      <c r="O227" s="326" t="s">
        <v>539</v>
      </c>
      <c r="P227" s="289" t="s">
        <v>497</v>
      </c>
      <c r="Q227" s="321" t="s">
        <v>148</v>
      </c>
      <c r="R227" s="173"/>
      <c r="S227" s="195">
        <f>MATCH($D227,Reference!$J$5:$J$9,0)</f>
        <v>2</v>
      </c>
      <c r="T227" s="195">
        <f>MATCH($E227,Reference!$J$26:$J$32,0)</f>
        <v>2</v>
      </c>
      <c r="U227" s="195">
        <f>MATCH($F227,Reference!$J$45:$J$54,0)</f>
        <v>10</v>
      </c>
      <c r="V227" s="196">
        <f>MATCH($K227,Reference!$J$37:$J$39,0)</f>
        <v>3</v>
      </c>
      <c r="W227" s="197">
        <f t="shared" si="278"/>
        <v>2</v>
      </c>
      <c r="X227" s="197">
        <f t="shared" si="1"/>
        <v>1</v>
      </c>
      <c r="Y227" s="197">
        <f t="shared" si="301"/>
        <v>0</v>
      </c>
      <c r="Z227" s="197">
        <f t="shared" si="279"/>
        <v>2</v>
      </c>
      <c r="AA227" s="199" t="b">
        <f t="shared" si="3"/>
        <v>0</v>
      </c>
      <c r="AB227" s="199" t="b">
        <f t="shared" si="4"/>
        <v>0</v>
      </c>
      <c r="AC227" s="200">
        <f t="shared" ref="AC227:AD227" si="416">1-I227</f>
        <v>0.66999999999999993</v>
      </c>
      <c r="AD227" s="200">
        <f t="shared" si="416"/>
        <v>0.66999999999999993</v>
      </c>
      <c r="AE227" s="199">
        <f t="shared" si="6"/>
        <v>2</v>
      </c>
      <c r="AF227" s="201">
        <f t="shared" si="281"/>
        <v>0</v>
      </c>
      <c r="AG227" s="201">
        <f t="shared" si="8"/>
        <v>1</v>
      </c>
      <c r="AH227" s="202">
        <f t="shared" si="303"/>
        <v>0</v>
      </c>
      <c r="AI227" s="205"/>
      <c r="AJ227" s="231" t="s">
        <v>58</v>
      </c>
      <c r="AK227" s="232">
        <f t="shared" ref="AK227:AL227" si="417">SUM(AO227+AM227+AQ227+AS227+AU227+AW227+AY227+BA227+BC227)</f>
        <v>86</v>
      </c>
      <c r="AL227" s="232">
        <f t="shared" si="417"/>
        <v>86</v>
      </c>
      <c r="AM227" s="191">
        <f>SUMIFS($W$2:$W879, $E$2:$E879, "Basic", $F$2:F879, "Neutral")</f>
        <v>86</v>
      </c>
      <c r="AN227" s="232">
        <f>COUNTIFS($E$2:$E879, "Basic", $F$2:F879, "Neutral" )*2</f>
        <v>86</v>
      </c>
      <c r="AO227" s="234"/>
      <c r="AP227" s="235"/>
      <c r="AQ227" s="191"/>
      <c r="AR227" s="191"/>
      <c r="AS227" s="234"/>
      <c r="AT227" s="235"/>
      <c r="AU227" s="191"/>
      <c r="AV227" s="191"/>
      <c r="AW227" s="191"/>
      <c r="AX227" s="235"/>
      <c r="AY227" s="191"/>
      <c r="AZ227" s="235"/>
      <c r="BA227" s="191"/>
      <c r="BB227" s="235"/>
      <c r="BC227" s="191"/>
      <c r="BD227" s="235"/>
    </row>
    <row r="228" spans="1:56" ht="14.25">
      <c r="A228" s="209"/>
      <c r="B228" s="240">
        <v>3</v>
      </c>
      <c r="C228" s="327" t="s">
        <v>609</v>
      </c>
      <c r="D228" s="328" t="s">
        <v>63</v>
      </c>
      <c r="E228" s="328" t="s">
        <v>77</v>
      </c>
      <c r="F228" s="328" t="s">
        <v>8</v>
      </c>
      <c r="G228" s="322">
        <v>2</v>
      </c>
      <c r="H228" s="322">
        <v>0</v>
      </c>
      <c r="I228" s="323">
        <v>0</v>
      </c>
      <c r="J228" s="323">
        <v>0</v>
      </c>
      <c r="K228" s="328" t="s">
        <v>146</v>
      </c>
      <c r="L228" s="328"/>
      <c r="M228" s="330"/>
      <c r="N228" s="220"/>
      <c r="O228" s="324" t="s">
        <v>610</v>
      </c>
      <c r="P228" s="292"/>
      <c r="Q228" s="328" t="s">
        <v>148</v>
      </c>
      <c r="R228" s="173"/>
      <c r="S228" s="195">
        <f>MATCH($D228,Reference!$J$5:$J$9,0)</f>
        <v>2</v>
      </c>
      <c r="T228" s="195">
        <f>MATCH($E228,Reference!$J$26:$J$32,0)</f>
        <v>2</v>
      </c>
      <c r="U228" s="195">
        <f>MATCH($F228,Reference!$J$45:$J$54,0)</f>
        <v>1</v>
      </c>
      <c r="V228" s="196">
        <f>MATCH($K228,Reference!$J$37:$J$39,0)</f>
        <v>2</v>
      </c>
      <c r="W228" s="197">
        <f t="shared" si="278"/>
        <v>2</v>
      </c>
      <c r="X228" s="197">
        <f t="shared" si="1"/>
        <v>1</v>
      </c>
      <c r="Y228" s="197">
        <f t="shared" si="301"/>
        <v>0</v>
      </c>
      <c r="Z228" s="197">
        <f t="shared" si="279"/>
        <v>2</v>
      </c>
      <c r="AA228" s="199" t="b">
        <f t="shared" si="3"/>
        <v>0</v>
      </c>
      <c r="AB228" s="199" t="b">
        <f t="shared" si="4"/>
        <v>0</v>
      </c>
      <c r="AC228" s="200">
        <f t="shared" ref="AC228:AD228" si="418">1-I228</f>
        <v>1</v>
      </c>
      <c r="AD228" s="200">
        <f t="shared" si="418"/>
        <v>1</v>
      </c>
      <c r="AE228" s="199">
        <f t="shared" si="6"/>
        <v>2</v>
      </c>
      <c r="AF228" s="201">
        <f t="shared" si="281"/>
        <v>0</v>
      </c>
      <c r="AG228" s="201">
        <f t="shared" si="8"/>
        <v>1</v>
      </c>
      <c r="AH228" s="202">
        <f t="shared" si="303"/>
        <v>0</v>
      </c>
      <c r="AI228" s="205"/>
      <c r="AJ228" s="256" t="s">
        <v>63</v>
      </c>
      <c r="AK228" s="237">
        <f t="shared" ref="AK228:AL228" si="419">SUM(AO228+AM228+AQ228+AS228+AU228+AW228+AY228+BA228+BC228)</f>
        <v>256</v>
      </c>
      <c r="AL228" s="237">
        <f t="shared" si="419"/>
        <v>258</v>
      </c>
      <c r="AM228" s="229">
        <f>SUMIFS($W$2:$W879, $D$2:$D879, "Common", $E$2:$E879, "Classic", $F$2:F879, "Neutral")</f>
        <v>78</v>
      </c>
      <c r="AN228" s="237">
        <f>COUNTIFS($D$2:$D879, "Common", $E$2:$E879, "Classic", $F$2:F879, "Neutral" )*2</f>
        <v>80</v>
      </c>
      <c r="AO228" s="268">
        <f>SUMIFS($W$2:$W879, $D$2:$D879, "Common", $E$2:$E879, "Promo", $F$2:F879, "Neutral")</f>
        <v>0</v>
      </c>
      <c r="AP228" s="238">
        <f>COUNTIFS($D$2:$D879, "Common", $E$2:$E879, "Promo", $F$2:F879, "Neutral" )*2</f>
        <v>0</v>
      </c>
      <c r="AQ228" s="229">
        <f>SUMIFS($W$2:$W879, $D$2:$D879, "Common", $E$2:$E879, "Naxx", $F$2:F879, "Neutral")</f>
        <v>18</v>
      </c>
      <c r="AR228" s="237">
        <f>COUNTIFS($D$2:$D879, "Common", $E$2:$E879, "Naxx", $F$2:F879, "Neutral" )*2</f>
        <v>18</v>
      </c>
      <c r="AS228" s="268">
        <f>SUMIFS($W$2:$W879, $D$2:$D879, "Common", $E$2:$E879, "GvG", $F$2:F879, "Neutral")</f>
        <v>44</v>
      </c>
      <c r="AT228" s="238">
        <f>COUNTIFS($D$2:$D879, "Common", $E$2:$E879, "GvG", $F$2:F879, "Neutral" )*2</f>
        <v>44</v>
      </c>
      <c r="AU228" s="229">
        <f>SUMIFS($W$2:$W879, $D$2:$D879, "Common", $E$2:$E879, "Blackrock", $F$2:F879, "Neutral")</f>
        <v>12</v>
      </c>
      <c r="AV228" s="237">
        <f>COUNTIFS($D$2:$D879, "Common", $E$2:$E879, "Blackrock", $F$2:F879, "Neutral" )*2</f>
        <v>12</v>
      </c>
      <c r="AW228" s="229">
        <f>SUMIFS($W$2:$W879, $D$2:$D879, "Common", $E$2:$E879, "TGT", $F$2:F879, "Neutral")</f>
        <v>44</v>
      </c>
      <c r="AX228" s="238">
        <f>COUNTIFS($D$2:$D879, "Common", $E$2:$E879, "TGT", $F$2:F879, "Neutral" )*2</f>
        <v>44</v>
      </c>
      <c r="AY228" s="229">
        <f>SUMIFS($W$2:$W879, $D$2:$D879, "Common", $E$2:$E879, "LoE", $F$2:F879, "Neutral")</f>
        <v>14</v>
      </c>
      <c r="AZ228" s="238">
        <f>COUNTIFS($D$2:$D879, "Common", $E$2:$E879, "LoE", $F$2:F879, "Neutral" )*2</f>
        <v>14</v>
      </c>
      <c r="BA228" s="229">
        <f>SUMIFS($W$2:$W879, $D$2:$D879, "Common", $E$2:$E879, "TOG", $F$2:F879, "Neutral")</f>
        <v>46</v>
      </c>
      <c r="BB228" s="238">
        <f>COUNTIFS($D$2:$D879, "Common", $E$2:$E879, "TOG", $F$2:F879, "Neutral" )*2</f>
        <v>46</v>
      </c>
      <c r="BC228" s="229">
        <f>SUMIFS($W$2:$W879, $D$2:$D879, "Common", $E$2:$E879, "Adv4", $F$2:F879, "Neutral")</f>
        <v>0</v>
      </c>
      <c r="BD228" s="238">
        <f>COUNTIFS($D$2:$D879, "Common", $E$2:$E879, "Adv4", $F$2:F879, "Neutral" )*2</f>
        <v>0</v>
      </c>
    </row>
    <row r="229" spans="1:56" ht="14.25">
      <c r="A229" s="240"/>
      <c r="B229" s="240">
        <v>3</v>
      </c>
      <c r="C229" s="327" t="s">
        <v>611</v>
      </c>
      <c r="D229" s="328" t="s">
        <v>63</v>
      </c>
      <c r="E229" s="328" t="s">
        <v>77</v>
      </c>
      <c r="F229" s="328" t="s">
        <v>13</v>
      </c>
      <c r="G229" s="322">
        <v>2</v>
      </c>
      <c r="H229" s="322">
        <v>2</v>
      </c>
      <c r="I229" s="323">
        <v>1</v>
      </c>
      <c r="J229" s="323">
        <v>1</v>
      </c>
      <c r="K229" s="328" t="s">
        <v>146</v>
      </c>
      <c r="L229" s="328" t="s">
        <v>508</v>
      </c>
      <c r="M229" s="330"/>
      <c r="N229" s="220"/>
      <c r="O229" s="324" t="s">
        <v>612</v>
      </c>
      <c r="P229" s="292"/>
      <c r="Q229" s="328" t="s">
        <v>148</v>
      </c>
      <c r="R229" s="173"/>
      <c r="S229" s="195">
        <f>MATCH($D229,Reference!$J$5:$J$9,0)</f>
        <v>2</v>
      </c>
      <c r="T229" s="195">
        <f>MATCH($E229,Reference!$J$26:$J$32,0)</f>
        <v>2</v>
      </c>
      <c r="U229" s="195">
        <f>MATCH($F229,Reference!$J$45:$J$54,0)</f>
        <v>3</v>
      </c>
      <c r="V229" s="196">
        <f>MATCH($K229,Reference!$J$37:$J$39,0)</f>
        <v>2</v>
      </c>
      <c r="W229" s="197">
        <f t="shared" si="278"/>
        <v>2</v>
      </c>
      <c r="X229" s="197">
        <f t="shared" si="1"/>
        <v>1</v>
      </c>
      <c r="Y229" s="197">
        <f t="shared" si="301"/>
        <v>100</v>
      </c>
      <c r="Z229" s="197">
        <f t="shared" si="279"/>
        <v>2</v>
      </c>
      <c r="AA229" s="199" t="b">
        <f t="shared" si="3"/>
        <v>0</v>
      </c>
      <c r="AB229" s="199" t="b">
        <f t="shared" si="4"/>
        <v>0</v>
      </c>
      <c r="AC229" s="200">
        <f t="shared" ref="AC229:AD229" si="420">1-I229</f>
        <v>0</v>
      </c>
      <c r="AD229" s="200">
        <f t="shared" si="420"/>
        <v>0</v>
      </c>
      <c r="AE229" s="199">
        <f t="shared" si="6"/>
        <v>2</v>
      </c>
      <c r="AF229" s="201">
        <f t="shared" si="281"/>
        <v>2</v>
      </c>
      <c r="AG229" s="201">
        <f t="shared" si="8"/>
        <v>1</v>
      </c>
      <c r="AH229" s="202">
        <f t="shared" si="303"/>
        <v>10</v>
      </c>
      <c r="AI229" s="205"/>
      <c r="AJ229" s="257" t="s">
        <v>68</v>
      </c>
      <c r="AK229" s="242">
        <f t="shared" ref="AK229:AL229" si="421">SUM(AO229+AM229+AQ229+AS229+AU229+AW229+AY229+BA229+BC229)</f>
        <v>133</v>
      </c>
      <c r="AL229" s="242">
        <f t="shared" si="421"/>
        <v>148</v>
      </c>
      <c r="AM229" s="269">
        <f>SUMIFS($W$2:$W879, $D$2:$D879, "Rare", $E$2:$E879, "Classic", $F$2:F879, "Neutral")</f>
        <v>66</v>
      </c>
      <c r="AN229" s="242">
        <f>COUNTIFS($D$2:$D879, "Rare", $E$2:$E879, "Classic", $F$2:F879, "Neutral" )*2</f>
        <v>72</v>
      </c>
      <c r="AO229" s="270">
        <f>SUMIFS($W$2:$W879, $D$2:$D879, "Rare", $E$2:$E879, "Promo", $F$2:F879, "Neutral")</f>
        <v>0</v>
      </c>
      <c r="AP229" s="243">
        <f>COUNTIFS($D$2:$D879, "Rare", $E$2:$E879, "Promo", $F$2:F879, "Neutral" )*2</f>
        <v>0</v>
      </c>
      <c r="AQ229" s="269">
        <f>SUMIFS($W$2:$W879, $D$2:$D879, "Rare", $E$2:$E879, "Naxx", $F$2:F879, "Neutral")</f>
        <v>8</v>
      </c>
      <c r="AR229" s="242">
        <f>COUNTIFS($D$2:$D879, "Rare", $E$2:$E879, "Naxx", $F$2:F879, "Neutral" )*2</f>
        <v>8</v>
      </c>
      <c r="AS229" s="270">
        <f>SUMIFS($W$2:$W879, $D$2:$D879, "Rare", $E$2:$E879, "GvG", $F$2:F879, "Neutral")</f>
        <v>14</v>
      </c>
      <c r="AT229" s="243">
        <f>COUNTIFS($D$2:$D879, "Rare", $E$2:$E879, "GvG", $F$2:F879, "Neutral" )*2</f>
        <v>20</v>
      </c>
      <c r="AU229" s="269">
        <f>SUMIFS($W$2:$W879, $D$2:$D879, "Rare", $E$2:$E879, "Blackrock", $F$2:F879, "Neutral")</f>
        <v>4</v>
      </c>
      <c r="AV229" s="242">
        <f>COUNTIFS($D$2:$D879, "Rare", $E$2:$E879, "Blackrock", $F$2:F879, "Neutral" )*2</f>
        <v>4</v>
      </c>
      <c r="AW229" s="269">
        <f>SUMIFS($W$2:$W879, $D$2:$D879, "Rare", $E$2:$E879, "TGT", $F$2:F879, "Neutral")</f>
        <v>18</v>
      </c>
      <c r="AX229" s="243">
        <f>COUNTIFS($D$2:$D879, "Rare", $E$2:$E879, "TGT", $F$2:F879, "Neutral" )*2</f>
        <v>18</v>
      </c>
      <c r="AY229" s="269">
        <f>SUMIFS($W$2:$W879, $D$2:$D879, "Rare", $E$2:$E879, "LoE", $F$2:F879, "Neutral")</f>
        <v>8</v>
      </c>
      <c r="AZ229" s="243">
        <f>COUNTIFS($D$2:$D879, "Rare", $E$2:$E879, "LoE", $F$2:F879, "Neutral" )*2</f>
        <v>8</v>
      </c>
      <c r="BA229" s="269">
        <f>SUMIFS($W$2:$W879, $D$2:$D879, "Rare", $E$2:$E879, "TOG", $F$2:F879, "Neutral")</f>
        <v>15</v>
      </c>
      <c r="BB229" s="243">
        <f>COUNTIFS($D$2:$D879, "Rare", $E$2:$E879, "TOG", $F$2:F879, "Neutral" )*2</f>
        <v>18</v>
      </c>
      <c r="BC229" s="269">
        <f>SUMIFS($W$2:$W879, $D$2:$D879, "Rare", $E$2:$E879, "Adv4", $F$2:F879, "Neutral")</f>
        <v>0</v>
      </c>
      <c r="BD229" s="243">
        <f>COUNTIFS($D$2:$D879, "Rare", $E$2:$E879, "Adv4", $F$2:F879, "Neutral" )*2</f>
        <v>0</v>
      </c>
    </row>
    <row r="230" spans="1:56" ht="14.25">
      <c r="A230" s="206"/>
      <c r="B230" s="187">
        <v>3</v>
      </c>
      <c r="C230" s="320" t="s">
        <v>613</v>
      </c>
      <c r="D230" s="321" t="s">
        <v>63</v>
      </c>
      <c r="E230" s="321" t="s">
        <v>77</v>
      </c>
      <c r="F230" s="321" t="s">
        <v>115</v>
      </c>
      <c r="G230" s="325">
        <v>2</v>
      </c>
      <c r="H230" s="325">
        <v>0</v>
      </c>
      <c r="I230" s="323">
        <v>0.66</v>
      </c>
      <c r="J230" s="323">
        <v>0.66</v>
      </c>
      <c r="K230" s="229" t="s">
        <v>182</v>
      </c>
      <c r="L230" s="229"/>
      <c r="M230" s="229">
        <v>3</v>
      </c>
      <c r="N230" s="229">
        <v>3</v>
      </c>
      <c r="O230" s="326" t="s">
        <v>614</v>
      </c>
      <c r="P230" s="289" t="s">
        <v>545</v>
      </c>
      <c r="Q230" s="321" t="s">
        <v>148</v>
      </c>
      <c r="R230" s="173"/>
      <c r="S230" s="195">
        <f>MATCH($D230,Reference!$J$5:$J$9,0)</f>
        <v>2</v>
      </c>
      <c r="T230" s="195">
        <f>MATCH($E230,Reference!$J$26:$J$32,0)</f>
        <v>2</v>
      </c>
      <c r="U230" s="195">
        <f>MATCH($F230,Reference!$J$45:$J$54,0)</f>
        <v>10</v>
      </c>
      <c r="V230" s="196">
        <f>MATCH($K230,Reference!$J$37:$J$39,0)</f>
        <v>3</v>
      </c>
      <c r="W230" s="197">
        <f t="shared" si="278"/>
        <v>2</v>
      </c>
      <c r="X230" s="197">
        <f t="shared" si="1"/>
        <v>1</v>
      </c>
      <c r="Y230" s="197">
        <f t="shared" si="301"/>
        <v>0</v>
      </c>
      <c r="Z230" s="197">
        <f t="shared" si="279"/>
        <v>2</v>
      </c>
      <c r="AA230" s="199" t="b">
        <f t="shared" si="3"/>
        <v>0</v>
      </c>
      <c r="AB230" s="199" t="b">
        <f t="shared" si="4"/>
        <v>0</v>
      </c>
      <c r="AC230" s="200">
        <f t="shared" ref="AC230:AD230" si="422">1-I230</f>
        <v>0.33999999999999997</v>
      </c>
      <c r="AD230" s="200">
        <f t="shared" si="422"/>
        <v>0.33999999999999997</v>
      </c>
      <c r="AE230" s="199">
        <f t="shared" si="6"/>
        <v>2</v>
      </c>
      <c r="AF230" s="201">
        <f t="shared" si="281"/>
        <v>0</v>
      </c>
      <c r="AG230" s="201">
        <f t="shared" si="8"/>
        <v>1</v>
      </c>
      <c r="AH230" s="202">
        <f t="shared" si="303"/>
        <v>0</v>
      </c>
      <c r="AI230" s="205"/>
      <c r="AJ230" s="258" t="s">
        <v>69</v>
      </c>
      <c r="AK230" s="246">
        <f t="shared" ref="AK230:AL230" si="423">SUM(AO230+AM230+AQ230+AS230+AU230+AW230+AY230+BA230+BC230)</f>
        <v>41</v>
      </c>
      <c r="AL230" s="246">
        <f t="shared" si="423"/>
        <v>82</v>
      </c>
      <c r="AM230" s="272">
        <f>SUMIFS($W$2:$W879, $D$2:$D879, "Epic", $E$2:$E879, "Classic", $F$2:F879, "Neutral")</f>
        <v>13</v>
      </c>
      <c r="AN230" s="246">
        <f>COUNTIFS($D$2:$D879, "Epic", $E$2:$E879, "Classic", $F$2:F879, "Neutral" )*2</f>
        <v>20</v>
      </c>
      <c r="AO230" s="273">
        <f>SUMIFS($W$2:$W879, $D$2:$D879, "Epic", $E$2:$E879, "Promo", $F$2:F879, "Neutral")</f>
        <v>2</v>
      </c>
      <c r="AP230" s="247">
        <f>COUNTIFS($D$2:$D879, "Epic", $E$2:$E879, "Promo", $F$2:F879, "Neutral" )*2</f>
        <v>2</v>
      </c>
      <c r="AQ230" s="272">
        <f>SUMIFS($W$2:$W879, $D$2:$D879, "Epic", $E$2:$E879, "Naxx", $F$2:F879, "Neutral")</f>
        <v>4</v>
      </c>
      <c r="AR230" s="246">
        <f>COUNTIFS($D$2:$D879, "Epic", $E$2:$E879, "Naxx", $F$2:F879, "Neutral" )*2</f>
        <v>4</v>
      </c>
      <c r="AS230" s="273">
        <f>SUMIFS($W$2:$W879, $D$2:$D879, "Epic", $E$2:$E879, "GvG", $F$2:F879, "Neutral")</f>
        <v>4</v>
      </c>
      <c r="AT230" s="247">
        <f>COUNTIFS($D$2:$D879, "Epic", $E$2:$E879, "GvG", $F$2:F879, "Neutral" )*2</f>
        <v>16</v>
      </c>
      <c r="AU230" s="272">
        <f>SUMIFS($W$2:$W879, $D$2:$D879, "Epic", $E$2:$E879, "Blackrock", $F$2:F879, "Neutral")</f>
        <v>0</v>
      </c>
      <c r="AV230" s="246">
        <f>COUNTIFS($D$2:$D879, "Epic", $E$2:$E879, "Blackrock", $F$2:F879, "Neutral" )*2</f>
        <v>0</v>
      </c>
      <c r="AW230" s="272">
        <f>SUMIFS($W$2:$W879, $D$2:$D879, "Epic", $E$2:$E879, "TGT", $F$2:F879, "Neutral")</f>
        <v>9</v>
      </c>
      <c r="AX230" s="247">
        <f>COUNTIFS($D$2:$D879, "Epic", $E$2:$E879, "TGT", $F$2:F879, "Neutral" )*2</f>
        <v>18</v>
      </c>
      <c r="AY230" s="272">
        <f>SUMIFS($W$2:$W879, $D$2:$D879, "Epic", $E$2:$E879, "LoE", $F$2:F879, "Neutral")</f>
        <v>4</v>
      </c>
      <c r="AZ230" s="247">
        <f>COUNTIFS($D$2:$D879, "Epic", $E$2:$E879, "LoE", $F$2:F879, "Neutral" )*2</f>
        <v>4</v>
      </c>
      <c r="BA230" s="272">
        <f>SUMIFS($W$2:$W879, $D$2:$D879, "Epic", $E$2:$E879, "TOG", $F$2:F879, "Neutral")</f>
        <v>5</v>
      </c>
      <c r="BB230" s="247">
        <f>COUNTIFS($D$2:$D879, "Epic", $E$2:$E879, "TOG", $F$2:F879, "Neutral" )*2</f>
        <v>18</v>
      </c>
      <c r="BC230" s="272">
        <f>SUMIFS($W$2:$W879, $D$2:$D879, "Epic", $E$2:$E879, "Adv4", $F$2:F879, "Neutral")</f>
        <v>0</v>
      </c>
      <c r="BD230" s="247">
        <f>COUNTIFS($D$2:$D879, "Epic", $E$2:$E879, "Adv4", $F$2:F879, "Neutral" )*2</f>
        <v>0</v>
      </c>
    </row>
    <row r="231" spans="1:56" ht="14.25">
      <c r="A231" s="211"/>
      <c r="B231" s="187">
        <v>3</v>
      </c>
      <c r="C231" s="320" t="s">
        <v>615</v>
      </c>
      <c r="D231" s="321" t="s">
        <v>63</v>
      </c>
      <c r="E231" s="321" t="s">
        <v>77</v>
      </c>
      <c r="F231" s="321" t="s">
        <v>115</v>
      </c>
      <c r="G231" s="325">
        <v>2</v>
      </c>
      <c r="H231" s="325">
        <v>0</v>
      </c>
      <c r="I231" s="323">
        <v>0.66</v>
      </c>
      <c r="J231" s="323">
        <v>0.66</v>
      </c>
      <c r="K231" s="229" t="s">
        <v>182</v>
      </c>
      <c r="L231" s="229"/>
      <c r="M231" s="229">
        <v>3</v>
      </c>
      <c r="N231" s="229">
        <v>1</v>
      </c>
      <c r="O231" s="326" t="s">
        <v>491</v>
      </c>
      <c r="P231" s="289" t="s">
        <v>492</v>
      </c>
      <c r="Q231" s="321" t="s">
        <v>148</v>
      </c>
      <c r="R231" s="173"/>
      <c r="S231" s="195">
        <f>MATCH($D231,Reference!$J$5:$J$9,0)</f>
        <v>2</v>
      </c>
      <c r="T231" s="195">
        <f>MATCH($E231,Reference!$J$26:$J$32,0)</f>
        <v>2</v>
      </c>
      <c r="U231" s="195">
        <f>MATCH($F231,Reference!$J$45:$J$54,0)</f>
        <v>10</v>
      </c>
      <c r="V231" s="196">
        <f>MATCH($K231,Reference!$J$37:$J$39,0)</f>
        <v>3</v>
      </c>
      <c r="W231" s="197">
        <f t="shared" si="278"/>
        <v>2</v>
      </c>
      <c r="X231" s="197">
        <f t="shared" si="1"/>
        <v>1</v>
      </c>
      <c r="Y231" s="197">
        <f t="shared" si="301"/>
        <v>0</v>
      </c>
      <c r="Z231" s="197">
        <f t="shared" si="279"/>
        <v>2</v>
      </c>
      <c r="AA231" s="199" t="b">
        <f t="shared" si="3"/>
        <v>0</v>
      </c>
      <c r="AB231" s="199" t="b">
        <f t="shared" si="4"/>
        <v>0</v>
      </c>
      <c r="AC231" s="200">
        <f t="shared" ref="AC231:AD231" si="424">1-I231</f>
        <v>0.33999999999999997</v>
      </c>
      <c r="AD231" s="200">
        <f t="shared" si="424"/>
        <v>0.33999999999999997</v>
      </c>
      <c r="AE231" s="199">
        <f t="shared" si="6"/>
        <v>2</v>
      </c>
      <c r="AF231" s="201">
        <f t="shared" si="281"/>
        <v>0</v>
      </c>
      <c r="AG231" s="201">
        <f t="shared" si="8"/>
        <v>1</v>
      </c>
      <c r="AH231" s="202">
        <f t="shared" si="303"/>
        <v>0</v>
      </c>
      <c r="AI231" s="205"/>
      <c r="AJ231" s="249" t="s">
        <v>70</v>
      </c>
      <c r="AK231" s="250">
        <f t="shared" ref="AK231:AL231" si="425">SUM(AO231+AM231+AQ231+AS231+AU231+AW231+AY231+BA231+BC231)</f>
        <v>45</v>
      </c>
      <c r="AL231" s="250">
        <f t="shared" si="425"/>
        <v>76</v>
      </c>
      <c r="AM231" s="275">
        <f>SUMIFS($W$2:$W879, $D$2:$D879, "Legendary", $E$2:$E879, "Classic", $F$2:F879, "Neutral")</f>
        <v>13</v>
      </c>
      <c r="AN231" s="275">
        <f>COUNTIFS($D$2:$D879, "Legendary", $E$2:$E879, "Classic", $F$2:F879, "Neutral" )</f>
        <v>24</v>
      </c>
      <c r="AO231" s="276">
        <f>SUMIFS($W$2:$W879, $D$2:$D879, "Legendary", $E$2:$E879, "Promo", $F$2:F879, "Neutral")</f>
        <v>2</v>
      </c>
      <c r="AP231" s="277">
        <f>COUNTIFS($D$2:$D879, "Legendary", $E$2:$E879, "Promo", $F$2:F879, "Neutral" )</f>
        <v>3</v>
      </c>
      <c r="AQ231" s="275">
        <f>SUMIFS($W$2:$W879, $D$2:$D879, "Legendary", $E$2:$E879, "Naxx", $F$2:F879, "Neutral")</f>
        <v>6</v>
      </c>
      <c r="AR231" s="275">
        <f>COUNTIFS($D$2:$D879, "Legendary", $E$2:$E879, "Naxx", $F$2:F879, "Neutral" )</f>
        <v>6</v>
      </c>
      <c r="AS231" s="276">
        <f>SUMIFS($W$2:$W879, $D$2:$D879, "Legendary", $E$2:$E879, "GvG", $F$2:F879, "Neutral")</f>
        <v>3</v>
      </c>
      <c r="AT231" s="277">
        <f>COUNTIFS($D$2:$D879, "Legendary", $E$2:$E879, "GvG", $F$2:F879, "Neutral" )</f>
        <v>11</v>
      </c>
      <c r="AU231" s="275">
        <f>SUMIFS($W$2:$W879, $D$2:$D879, "Legendary", $E$2:$E879, "Blackrock", $F$2:F879, "Neutral")</f>
        <v>5</v>
      </c>
      <c r="AV231" s="275">
        <f>COUNTIFS($D$2:$D879, "Legendary", $E$2:$E879, "Blackrock", $F$2:F879, "Neutral" )</f>
        <v>5</v>
      </c>
      <c r="AW231" s="275">
        <f>SUMIFS($W$2:$W879, $D$2:$D879, "Legendary", $E$2:$E879, "TGT", $F$2:F879, "Neutral")</f>
        <v>5</v>
      </c>
      <c r="AX231" s="277">
        <f>COUNTIFS($D$2:$D879, "Legendary", $E$2:$E879, "TGT", $F$2:F879, "Neutral" )</f>
        <v>10</v>
      </c>
      <c r="AY231" s="275">
        <f>SUMIFS($W$2:$W879, $D$2:$D879, "Legendary", $E$2:$E879, "LoE", $F$2:F879, "Neutral")</f>
        <v>5</v>
      </c>
      <c r="AZ231" s="277">
        <f>COUNTIFS($D$2:$D879, "Legendary", $E$2:$E879, "LoE", $F$2:F879, "Neutral" )</f>
        <v>5</v>
      </c>
      <c r="BA231" s="275">
        <f>SUMIFS($W$2:$W879, $D$2:$D879, "Legendary", $E$2:$E879, "TOG", $F$2:F879, "Neutral")</f>
        <v>6</v>
      </c>
      <c r="BB231" s="277">
        <f>COUNTIFS($D$2:$D879, "Legendary", $E$2:$E879, "TOG", $F$2:F879, "Neutral" )</f>
        <v>12</v>
      </c>
      <c r="BC231" s="275">
        <f>SUMIFS($W$2:$W879, $D$2:$D879, "Legendary", $E$2:$E879, "Adv4", $F$2:F879, "Neutral")</f>
        <v>0</v>
      </c>
      <c r="BD231" s="251">
        <f>COUNTIFS($D$2:$D879, "Legendary", $E$2:$E879, "Adv4", $F$2:F879, "Neutral" )*2</f>
        <v>0</v>
      </c>
    </row>
    <row r="232" spans="1:56" ht="14.25">
      <c r="A232" s="187"/>
      <c r="B232" s="187">
        <v>3</v>
      </c>
      <c r="C232" s="320" t="s">
        <v>616</v>
      </c>
      <c r="D232" s="321" t="s">
        <v>63</v>
      </c>
      <c r="E232" s="321" t="s">
        <v>77</v>
      </c>
      <c r="F232" s="321" t="s">
        <v>25</v>
      </c>
      <c r="G232" s="325">
        <v>2</v>
      </c>
      <c r="H232" s="325">
        <v>0</v>
      </c>
      <c r="I232" s="323">
        <v>0</v>
      </c>
      <c r="J232" s="323">
        <v>0</v>
      </c>
      <c r="K232" s="229" t="s">
        <v>146</v>
      </c>
      <c r="L232" s="229"/>
      <c r="M232" s="229"/>
      <c r="N232" s="229"/>
      <c r="O232" s="326" t="s">
        <v>617</v>
      </c>
      <c r="P232" s="289"/>
      <c r="Q232" s="321" t="s">
        <v>148</v>
      </c>
      <c r="R232" s="173"/>
      <c r="S232" s="195">
        <f>MATCH($D232,Reference!$J$5:$J$9,0)</f>
        <v>2</v>
      </c>
      <c r="T232" s="195">
        <f>MATCH($E232,Reference!$J$26:$J$32,0)</f>
        <v>2</v>
      </c>
      <c r="U232" s="195">
        <f>MATCH($F232,Reference!$J$45:$J$54,0)</f>
        <v>8</v>
      </c>
      <c r="V232" s="196">
        <f>MATCH($K232,Reference!$J$37:$J$39,0)</f>
        <v>2</v>
      </c>
      <c r="W232" s="197">
        <f t="shared" si="278"/>
        <v>2</v>
      </c>
      <c r="X232" s="197">
        <f t="shared" si="1"/>
        <v>1</v>
      </c>
      <c r="Y232" s="197">
        <f t="shared" si="301"/>
        <v>0</v>
      </c>
      <c r="Z232" s="197">
        <f t="shared" si="279"/>
        <v>2</v>
      </c>
      <c r="AA232" s="199" t="b">
        <f t="shared" si="3"/>
        <v>0</v>
      </c>
      <c r="AB232" s="199" t="b">
        <f t="shared" si="4"/>
        <v>0</v>
      </c>
      <c r="AC232" s="200">
        <f t="shared" ref="AC232:AD232" si="426">1-I232</f>
        <v>1</v>
      </c>
      <c r="AD232" s="200">
        <f t="shared" si="426"/>
        <v>1</v>
      </c>
      <c r="AE232" s="199">
        <f t="shared" si="6"/>
        <v>2</v>
      </c>
      <c r="AF232" s="201">
        <f t="shared" si="281"/>
        <v>0</v>
      </c>
      <c r="AG232" s="201">
        <f t="shared" si="8"/>
        <v>1</v>
      </c>
      <c r="AH232" s="202">
        <f t="shared" si="303"/>
        <v>0</v>
      </c>
      <c r="AI232" s="205"/>
      <c r="AJ232" s="259" t="s">
        <v>22</v>
      </c>
      <c r="AK232" s="260"/>
      <c r="AL232" s="261"/>
      <c r="AM232" s="260"/>
      <c r="AN232" s="261"/>
      <c r="AO232" s="260"/>
      <c r="AP232" s="261"/>
      <c r="AQ232" s="260"/>
      <c r="AR232" s="261"/>
      <c r="AS232" s="260"/>
      <c r="AT232" s="261"/>
      <c r="AU232" s="260"/>
      <c r="AV232" s="261"/>
      <c r="AW232" s="260"/>
      <c r="AX232" s="261"/>
      <c r="AY232" s="260"/>
      <c r="AZ232" s="261"/>
      <c r="BA232" s="260"/>
      <c r="BB232" s="261"/>
      <c r="BC232" s="260"/>
      <c r="BD232" s="261"/>
    </row>
    <row r="233" spans="1:56" ht="14.25">
      <c r="A233" s="187"/>
      <c r="B233" s="187">
        <v>3</v>
      </c>
      <c r="C233" s="320" t="s">
        <v>618</v>
      </c>
      <c r="D233" s="321" t="s">
        <v>63</v>
      </c>
      <c r="E233" s="321" t="s">
        <v>77</v>
      </c>
      <c r="F233" s="321" t="s">
        <v>115</v>
      </c>
      <c r="G233" s="325">
        <v>2</v>
      </c>
      <c r="H233" s="325">
        <v>0</v>
      </c>
      <c r="I233" s="323">
        <v>0</v>
      </c>
      <c r="J233" s="323">
        <v>0</v>
      </c>
      <c r="K233" s="229" t="s">
        <v>182</v>
      </c>
      <c r="L233" s="229"/>
      <c r="M233" s="229">
        <v>2</v>
      </c>
      <c r="N233" s="229">
        <v>3</v>
      </c>
      <c r="O233" s="326" t="s">
        <v>619</v>
      </c>
      <c r="P233" s="289" t="s">
        <v>193</v>
      </c>
      <c r="Q233" s="321" t="s">
        <v>148</v>
      </c>
      <c r="R233" s="173"/>
      <c r="S233" s="195">
        <f>MATCH($D233,Reference!$J$5:$J$9,0)</f>
        <v>2</v>
      </c>
      <c r="T233" s="195">
        <f>MATCH($E233,Reference!$J$26:$J$32,0)</f>
        <v>2</v>
      </c>
      <c r="U233" s="195">
        <f>MATCH($F233,Reference!$J$45:$J$54,0)</f>
        <v>10</v>
      </c>
      <c r="V233" s="196">
        <f>MATCH($K233,Reference!$J$37:$J$39,0)</f>
        <v>3</v>
      </c>
      <c r="W233" s="197">
        <f t="shared" si="278"/>
        <v>2</v>
      </c>
      <c r="X233" s="197">
        <f t="shared" si="1"/>
        <v>1</v>
      </c>
      <c r="Y233" s="197">
        <f t="shared" si="301"/>
        <v>0</v>
      </c>
      <c r="Z233" s="197">
        <f t="shared" si="279"/>
        <v>2</v>
      </c>
      <c r="AA233" s="199" t="b">
        <f t="shared" si="3"/>
        <v>0</v>
      </c>
      <c r="AB233" s="199" t="b">
        <f t="shared" si="4"/>
        <v>0</v>
      </c>
      <c r="AC233" s="200">
        <f t="shared" ref="AC233:AD233" si="427">1-I233</f>
        <v>1</v>
      </c>
      <c r="AD233" s="200">
        <f t="shared" si="427"/>
        <v>1</v>
      </c>
      <c r="AE233" s="199">
        <f t="shared" si="6"/>
        <v>2</v>
      </c>
      <c r="AF233" s="201">
        <f t="shared" si="281"/>
        <v>0</v>
      </c>
      <c r="AG233" s="201">
        <f t="shared" si="8"/>
        <v>1</v>
      </c>
      <c r="AH233" s="202">
        <f t="shared" si="303"/>
        <v>0</v>
      </c>
      <c r="AI233" s="205"/>
      <c r="AJ233" s="262" t="s">
        <v>224</v>
      </c>
      <c r="AK233" s="263">
        <f t="shared" ref="AK233:AP233" si="428">SUM(AK221:AK225)</f>
        <v>310</v>
      </c>
      <c r="AL233" s="264">
        <f t="shared" si="428"/>
        <v>363</v>
      </c>
      <c r="AM233" s="263">
        <f t="shared" si="428"/>
        <v>136</v>
      </c>
      <c r="AN233" s="264">
        <f t="shared" si="428"/>
        <v>153</v>
      </c>
      <c r="AO233" s="263">
        <f t="shared" si="428"/>
        <v>3</v>
      </c>
      <c r="AP233" s="264">
        <f t="shared" si="428"/>
        <v>4</v>
      </c>
      <c r="AQ233" s="263">
        <f>SUM(AQ221:AQ225)</f>
        <v>21</v>
      </c>
      <c r="AR233" s="264">
        <f>SUM(AR221:AR225)</f>
        <v>21</v>
      </c>
      <c r="AS233" s="263">
        <f>SUM(AS221:AS225)</f>
        <v>36</v>
      </c>
      <c r="AT233" s="264">
        <f>SUM(AT221:AT225)</f>
        <v>51</v>
      </c>
      <c r="AU233" s="263">
        <f t="shared" ref="AU233:BD233" si="429">SUM(AU221:AU225)</f>
        <v>13</v>
      </c>
      <c r="AV233" s="264">
        <f t="shared" si="429"/>
        <v>13</v>
      </c>
      <c r="AW233" s="263">
        <f t="shared" si="429"/>
        <v>42</v>
      </c>
      <c r="AX233" s="264">
        <f t="shared" si="429"/>
        <v>50</v>
      </c>
      <c r="AY233" s="263">
        <f t="shared" si="429"/>
        <v>18</v>
      </c>
      <c r="AZ233" s="264">
        <f t="shared" si="429"/>
        <v>18</v>
      </c>
      <c r="BA233" s="263">
        <f t="shared" si="429"/>
        <v>41</v>
      </c>
      <c r="BB233" s="264">
        <f t="shared" si="429"/>
        <v>53</v>
      </c>
      <c r="BC233" s="263">
        <f t="shared" si="429"/>
        <v>0</v>
      </c>
      <c r="BD233" s="264">
        <f t="shared" si="429"/>
        <v>0</v>
      </c>
    </row>
    <row r="234" spans="1:56" ht="14.25">
      <c r="A234" s="187"/>
      <c r="B234" s="240">
        <v>3</v>
      </c>
      <c r="C234" s="327" t="s">
        <v>620</v>
      </c>
      <c r="D234" s="328" t="s">
        <v>63</v>
      </c>
      <c r="E234" s="328" t="s">
        <v>77</v>
      </c>
      <c r="F234" s="328" t="s">
        <v>18</v>
      </c>
      <c r="G234" s="322">
        <v>2</v>
      </c>
      <c r="H234" s="322">
        <v>0</v>
      </c>
      <c r="I234" s="323">
        <v>1</v>
      </c>
      <c r="J234" s="323">
        <v>1</v>
      </c>
      <c r="K234" s="237" t="s">
        <v>146</v>
      </c>
      <c r="L234" s="237"/>
      <c r="M234" s="237"/>
      <c r="N234" s="237"/>
      <c r="O234" s="324" t="s">
        <v>621</v>
      </c>
      <c r="P234" s="292"/>
      <c r="Q234" s="328" t="s">
        <v>148</v>
      </c>
      <c r="R234" s="173"/>
      <c r="S234" s="195">
        <f>MATCH($D234,Reference!$J$5:$J$9,0)</f>
        <v>2</v>
      </c>
      <c r="T234" s="195">
        <f>MATCH($E234,Reference!$J$26:$J$32,0)</f>
        <v>2</v>
      </c>
      <c r="U234" s="195">
        <f>MATCH($F234,Reference!$J$45:$J$54,0)</f>
        <v>5</v>
      </c>
      <c r="V234" s="196">
        <f>MATCH($K234,Reference!$J$37:$J$39,0)</f>
        <v>2</v>
      </c>
      <c r="W234" s="197">
        <f t="shared" si="278"/>
        <v>2</v>
      </c>
      <c r="X234" s="197">
        <f t="shared" si="1"/>
        <v>1</v>
      </c>
      <c r="Y234" s="197">
        <f t="shared" si="301"/>
        <v>0</v>
      </c>
      <c r="Z234" s="197">
        <f t="shared" si="279"/>
        <v>2</v>
      </c>
      <c r="AA234" s="199" t="b">
        <f t="shared" si="3"/>
        <v>0</v>
      </c>
      <c r="AB234" s="199" t="b">
        <f t="shared" si="4"/>
        <v>0</v>
      </c>
      <c r="AC234" s="200">
        <f t="shared" ref="AC234:AD234" si="430">1-I234</f>
        <v>0</v>
      </c>
      <c r="AD234" s="200">
        <f t="shared" si="430"/>
        <v>0</v>
      </c>
      <c r="AE234" s="199">
        <f t="shared" si="6"/>
        <v>2</v>
      </c>
      <c r="AF234" s="201">
        <f t="shared" si="281"/>
        <v>0</v>
      </c>
      <c r="AG234" s="201">
        <f t="shared" si="8"/>
        <v>1</v>
      </c>
      <c r="AH234" s="202">
        <f t="shared" si="303"/>
        <v>0</v>
      </c>
      <c r="AI234" s="205"/>
      <c r="AJ234" s="265" t="s">
        <v>240</v>
      </c>
      <c r="AK234" s="266">
        <f t="shared" ref="AK234:AL234" si="431">SUM(AK227:AK231)</f>
        <v>561</v>
      </c>
      <c r="AL234" s="267">
        <f t="shared" si="431"/>
        <v>650</v>
      </c>
      <c r="AM234" s="266">
        <f t="shared" ref="AM234:AR234" si="432">SUM(AM227:AM231)</f>
        <v>256</v>
      </c>
      <c r="AN234" s="267">
        <f t="shared" si="432"/>
        <v>282</v>
      </c>
      <c r="AO234" s="266">
        <f t="shared" si="432"/>
        <v>4</v>
      </c>
      <c r="AP234" s="267">
        <f t="shared" si="432"/>
        <v>5</v>
      </c>
      <c r="AQ234" s="266">
        <f t="shared" si="432"/>
        <v>36</v>
      </c>
      <c r="AR234" s="267">
        <f t="shared" si="432"/>
        <v>36</v>
      </c>
      <c r="AS234" s="266">
        <f>SUM(AS228:AS231)</f>
        <v>65</v>
      </c>
      <c r="AT234" s="267">
        <f>SUM(AT227:AT231)</f>
        <v>91</v>
      </c>
      <c r="AU234" s="266">
        <f t="shared" ref="AU234:BD234" si="433">SUM(AU227:AU231)</f>
        <v>21</v>
      </c>
      <c r="AV234" s="267">
        <f t="shared" si="433"/>
        <v>21</v>
      </c>
      <c r="AW234" s="266">
        <f t="shared" si="433"/>
        <v>76</v>
      </c>
      <c r="AX234" s="267">
        <f t="shared" si="433"/>
        <v>90</v>
      </c>
      <c r="AY234" s="266">
        <f t="shared" si="433"/>
        <v>31</v>
      </c>
      <c r="AZ234" s="267">
        <f t="shared" si="433"/>
        <v>31</v>
      </c>
      <c r="BA234" s="266">
        <f t="shared" si="433"/>
        <v>72</v>
      </c>
      <c r="BB234" s="267">
        <f t="shared" si="433"/>
        <v>94</v>
      </c>
      <c r="BC234" s="266">
        <f t="shared" si="433"/>
        <v>0</v>
      </c>
      <c r="BD234" s="267">
        <f t="shared" si="433"/>
        <v>0</v>
      </c>
    </row>
    <row r="235" spans="1:56" ht="14.25">
      <c r="A235" s="209"/>
      <c r="B235" s="187">
        <v>3</v>
      </c>
      <c r="C235" s="320" t="s">
        <v>622</v>
      </c>
      <c r="D235" s="321" t="s">
        <v>63</v>
      </c>
      <c r="E235" s="321" t="s">
        <v>77</v>
      </c>
      <c r="F235" s="321" t="s">
        <v>115</v>
      </c>
      <c r="G235" s="325">
        <v>2</v>
      </c>
      <c r="H235" s="325">
        <v>0</v>
      </c>
      <c r="I235" s="323">
        <v>0</v>
      </c>
      <c r="J235" s="323">
        <v>0</v>
      </c>
      <c r="K235" s="229" t="s">
        <v>182</v>
      </c>
      <c r="L235" s="229"/>
      <c r="M235" s="229">
        <v>2</v>
      </c>
      <c r="N235" s="229">
        <v>3</v>
      </c>
      <c r="O235" s="326" t="s">
        <v>541</v>
      </c>
      <c r="P235" s="289" t="s">
        <v>542</v>
      </c>
      <c r="Q235" s="321" t="s">
        <v>148</v>
      </c>
      <c r="R235" s="173"/>
      <c r="S235" s="195">
        <f>MATCH($D235,Reference!$J$5:$J$9,0)</f>
        <v>2</v>
      </c>
      <c r="T235" s="195">
        <f>MATCH($E235,Reference!$J$26:$J$32,0)</f>
        <v>2</v>
      </c>
      <c r="U235" s="195">
        <f>MATCH($F235,Reference!$J$45:$J$54,0)</f>
        <v>10</v>
      </c>
      <c r="V235" s="196">
        <f>MATCH($K235,Reference!$J$37:$J$39,0)</f>
        <v>3</v>
      </c>
      <c r="W235" s="197">
        <f t="shared" si="278"/>
        <v>2</v>
      </c>
      <c r="X235" s="197">
        <f t="shared" si="1"/>
        <v>1</v>
      </c>
      <c r="Y235" s="197">
        <f t="shared" si="301"/>
        <v>0</v>
      </c>
      <c r="Z235" s="197">
        <f t="shared" si="279"/>
        <v>2</v>
      </c>
      <c r="AA235" s="199" t="b">
        <f t="shared" si="3"/>
        <v>0</v>
      </c>
      <c r="AB235" s="199" t="b">
        <f t="shared" si="4"/>
        <v>0</v>
      </c>
      <c r="AC235" s="200">
        <f t="shared" ref="AC235:AD235" si="434">1-I235</f>
        <v>1</v>
      </c>
      <c r="AD235" s="200">
        <f t="shared" si="434"/>
        <v>1</v>
      </c>
      <c r="AE235" s="199">
        <f t="shared" si="6"/>
        <v>2</v>
      </c>
      <c r="AF235" s="201">
        <f t="shared" si="281"/>
        <v>0</v>
      </c>
      <c r="AG235" s="201">
        <f t="shared" si="8"/>
        <v>1</v>
      </c>
      <c r="AH235" s="202">
        <f t="shared" si="303"/>
        <v>0</v>
      </c>
      <c r="AI235" s="205"/>
    </row>
    <row r="236" spans="1:56">
      <c r="A236" s="209"/>
      <c r="B236" s="187">
        <v>3</v>
      </c>
      <c r="C236" s="320" t="s">
        <v>623</v>
      </c>
      <c r="D236" s="321" t="s">
        <v>63</v>
      </c>
      <c r="E236" s="321" t="s">
        <v>77</v>
      </c>
      <c r="F236" s="321" t="s">
        <v>21</v>
      </c>
      <c r="G236" s="325">
        <v>2</v>
      </c>
      <c r="H236" s="325">
        <v>0</v>
      </c>
      <c r="I236" s="323">
        <v>0.66</v>
      </c>
      <c r="J236" s="323">
        <v>0.66</v>
      </c>
      <c r="K236" s="229" t="s">
        <v>182</v>
      </c>
      <c r="L236" s="229"/>
      <c r="M236" s="229">
        <v>2</v>
      </c>
      <c r="N236" s="229">
        <v>4</v>
      </c>
      <c r="O236" s="326" t="s">
        <v>624</v>
      </c>
      <c r="P236" s="289"/>
      <c r="Q236" s="321" t="s">
        <v>148</v>
      </c>
      <c r="R236" s="173"/>
      <c r="S236" s="195">
        <f>MATCH($D236,Reference!$J$5:$J$9,0)</f>
        <v>2</v>
      </c>
      <c r="T236" s="195">
        <f>MATCH($E236,Reference!$J$26:$J$32,0)</f>
        <v>2</v>
      </c>
      <c r="U236" s="195">
        <f>MATCH($F236,Reference!$J$45:$J$54,0)</f>
        <v>7</v>
      </c>
      <c r="V236" s="196">
        <f>MATCH($K236,Reference!$J$37:$J$39,0)</f>
        <v>3</v>
      </c>
      <c r="W236" s="197">
        <f t="shared" si="278"/>
        <v>2</v>
      </c>
      <c r="X236" s="197">
        <f t="shared" si="1"/>
        <v>1</v>
      </c>
      <c r="Y236" s="197">
        <f t="shared" si="301"/>
        <v>0</v>
      </c>
      <c r="Z236" s="197">
        <f t="shared" si="279"/>
        <v>2</v>
      </c>
      <c r="AA236" s="199" t="b">
        <f t="shared" si="3"/>
        <v>0</v>
      </c>
      <c r="AB236" s="199" t="b">
        <f t="shared" si="4"/>
        <v>0</v>
      </c>
      <c r="AC236" s="200">
        <f t="shared" ref="AC236:AD236" si="435">1-I236</f>
        <v>0.33999999999999997</v>
      </c>
      <c r="AD236" s="200">
        <f t="shared" si="435"/>
        <v>0.33999999999999997</v>
      </c>
      <c r="AE236" s="199">
        <f t="shared" si="6"/>
        <v>2</v>
      </c>
      <c r="AF236" s="201">
        <f t="shared" si="281"/>
        <v>0</v>
      </c>
      <c r="AG236" s="201">
        <f t="shared" si="8"/>
        <v>1</v>
      </c>
      <c r="AH236" s="202">
        <f t="shared" si="303"/>
        <v>0</v>
      </c>
      <c r="AI236" s="205"/>
      <c r="AS236" s="334"/>
      <c r="AT236" s="334"/>
      <c r="AU236" s="334"/>
      <c r="AV236" s="334"/>
      <c r="AW236" s="334"/>
      <c r="AX236" s="334"/>
    </row>
    <row r="237" spans="1:56">
      <c r="A237" s="240"/>
      <c r="B237" s="240">
        <v>3</v>
      </c>
      <c r="C237" s="327" t="s">
        <v>625</v>
      </c>
      <c r="D237" s="328" t="s">
        <v>63</v>
      </c>
      <c r="E237" s="328" t="s">
        <v>77</v>
      </c>
      <c r="F237" s="328" t="s">
        <v>11</v>
      </c>
      <c r="G237" s="322">
        <v>2</v>
      </c>
      <c r="H237" s="322">
        <v>0</v>
      </c>
      <c r="I237" s="323">
        <v>1</v>
      </c>
      <c r="J237" s="323">
        <v>1</v>
      </c>
      <c r="K237" s="237" t="s">
        <v>146</v>
      </c>
      <c r="L237" s="237"/>
      <c r="M237" s="237"/>
      <c r="N237" s="237"/>
      <c r="O237" s="324" t="s">
        <v>626</v>
      </c>
      <c r="P237" s="292"/>
      <c r="Q237" s="328" t="s">
        <v>148</v>
      </c>
      <c r="R237" s="173"/>
      <c r="S237" s="195">
        <f>MATCH($D237,Reference!$J$5:$J$9,0)</f>
        <v>2</v>
      </c>
      <c r="T237" s="195">
        <f>MATCH($E237,Reference!$J$26:$J$32,0)</f>
        <v>2</v>
      </c>
      <c r="U237" s="195">
        <f>MATCH($F237,Reference!$J$45:$J$54,0)</f>
        <v>2</v>
      </c>
      <c r="V237" s="196">
        <f>MATCH($K237,Reference!$J$37:$J$39,0)</f>
        <v>2</v>
      </c>
      <c r="W237" s="197">
        <f t="shared" si="278"/>
        <v>2</v>
      </c>
      <c r="X237" s="197">
        <f t="shared" si="1"/>
        <v>1</v>
      </c>
      <c r="Y237" s="197">
        <f t="shared" si="301"/>
        <v>0</v>
      </c>
      <c r="Z237" s="197">
        <f t="shared" si="279"/>
        <v>2</v>
      </c>
      <c r="AA237" s="199" t="b">
        <f t="shared" si="3"/>
        <v>0</v>
      </c>
      <c r="AB237" s="199" t="b">
        <f t="shared" si="4"/>
        <v>0</v>
      </c>
      <c r="AC237" s="200">
        <f t="shared" ref="AC237:AD237" si="436">1-I237</f>
        <v>0</v>
      </c>
      <c r="AD237" s="200">
        <f t="shared" si="436"/>
        <v>0</v>
      </c>
      <c r="AE237" s="199">
        <f t="shared" si="6"/>
        <v>2</v>
      </c>
      <c r="AF237" s="201">
        <f t="shared" si="281"/>
        <v>0</v>
      </c>
      <c r="AG237" s="201">
        <f t="shared" si="8"/>
        <v>1</v>
      </c>
      <c r="AH237" s="202">
        <f t="shared" si="303"/>
        <v>0</v>
      </c>
      <c r="AI237" s="205"/>
      <c r="AJ237" s="1134" t="s">
        <v>627</v>
      </c>
      <c r="AK237" s="1102"/>
      <c r="AL237" s="1102"/>
      <c r="AM237" s="1102"/>
      <c r="AN237" s="1102"/>
      <c r="AO237" s="1102"/>
      <c r="AP237" s="1102"/>
      <c r="AQ237" s="1102"/>
      <c r="AR237" s="1102"/>
      <c r="AS237" s="1102"/>
      <c r="AT237" s="1102"/>
      <c r="AU237" s="1136"/>
      <c r="AV237" s="1007"/>
      <c r="AW237" s="1136"/>
      <c r="AX237" s="1007"/>
    </row>
    <row r="238" spans="1:56" ht="14.25">
      <c r="A238" s="211"/>
      <c r="B238" s="187">
        <v>4</v>
      </c>
      <c r="C238" s="320" t="s">
        <v>628</v>
      </c>
      <c r="D238" s="321" t="s">
        <v>63</v>
      </c>
      <c r="E238" s="321" t="s">
        <v>77</v>
      </c>
      <c r="F238" s="321" t="s">
        <v>115</v>
      </c>
      <c r="G238" s="325">
        <v>2</v>
      </c>
      <c r="H238" s="325">
        <v>0</v>
      </c>
      <c r="I238" s="323">
        <v>0.33</v>
      </c>
      <c r="J238" s="323">
        <v>0.33</v>
      </c>
      <c r="K238" s="229" t="s">
        <v>182</v>
      </c>
      <c r="L238" s="229"/>
      <c r="M238" s="229">
        <v>5</v>
      </c>
      <c r="N238" s="229">
        <v>4</v>
      </c>
      <c r="O238" s="326" t="s">
        <v>592</v>
      </c>
      <c r="P238" s="289" t="s">
        <v>275</v>
      </c>
      <c r="Q238" s="321" t="s">
        <v>148</v>
      </c>
      <c r="R238" s="173"/>
      <c r="S238" s="195">
        <f>MATCH($D238,Reference!$J$5:$J$9,0)</f>
        <v>2</v>
      </c>
      <c r="T238" s="195">
        <f>MATCH($E238,Reference!$J$26:$J$32,0)</f>
        <v>2</v>
      </c>
      <c r="U238" s="195">
        <f>MATCH($F238,Reference!$J$45:$J$54,0)</f>
        <v>10</v>
      </c>
      <c r="V238" s="196">
        <f>MATCH($K238,Reference!$J$37:$J$39,0)</f>
        <v>3</v>
      </c>
      <c r="W238" s="197">
        <f t="shared" si="278"/>
        <v>2</v>
      </c>
      <c r="X238" s="197">
        <f t="shared" si="1"/>
        <v>1</v>
      </c>
      <c r="Y238" s="197">
        <f t="shared" si="301"/>
        <v>0</v>
      </c>
      <c r="Z238" s="197">
        <f t="shared" si="279"/>
        <v>2</v>
      </c>
      <c r="AA238" s="199" t="b">
        <f t="shared" si="3"/>
        <v>0</v>
      </c>
      <c r="AB238" s="199" t="b">
        <f t="shared" si="4"/>
        <v>0</v>
      </c>
      <c r="AC238" s="200">
        <f t="shared" ref="AC238:AD238" si="437">1-I238</f>
        <v>0.66999999999999993</v>
      </c>
      <c r="AD238" s="200">
        <f t="shared" si="437"/>
        <v>0.66999999999999993</v>
      </c>
      <c r="AE238" s="199">
        <f t="shared" si="6"/>
        <v>2</v>
      </c>
      <c r="AF238" s="201">
        <f t="shared" si="281"/>
        <v>0</v>
      </c>
      <c r="AG238" s="201">
        <f t="shared" si="8"/>
        <v>1</v>
      </c>
      <c r="AH238" s="202">
        <f t="shared" si="303"/>
        <v>0</v>
      </c>
      <c r="AI238" s="205"/>
      <c r="AJ238" s="335" t="s">
        <v>629</v>
      </c>
      <c r="AK238" s="1133" t="s">
        <v>22</v>
      </c>
      <c r="AL238" s="1102"/>
      <c r="AM238" s="1135" t="s">
        <v>77</v>
      </c>
      <c r="AN238" s="1102"/>
      <c r="AO238" s="1135" t="s">
        <v>80</v>
      </c>
      <c r="AP238" s="1102"/>
      <c r="AQ238" s="1135" t="s">
        <v>82</v>
      </c>
      <c r="AR238" s="1102"/>
      <c r="AS238" s="1135" t="s">
        <v>73</v>
      </c>
      <c r="AT238" s="1102"/>
    </row>
    <row r="239" spans="1:56" ht="14.25">
      <c r="A239" s="187"/>
      <c r="B239" s="187">
        <v>4</v>
      </c>
      <c r="C239" s="320" t="s">
        <v>630</v>
      </c>
      <c r="D239" s="321" t="s">
        <v>63</v>
      </c>
      <c r="E239" s="321" t="s">
        <v>77</v>
      </c>
      <c r="F239" s="321" t="s">
        <v>26</v>
      </c>
      <c r="G239" s="325">
        <v>2</v>
      </c>
      <c r="H239" s="325">
        <v>0</v>
      </c>
      <c r="I239" s="323">
        <v>0.33</v>
      </c>
      <c r="J239" s="323">
        <v>0.33</v>
      </c>
      <c r="K239" s="229" t="s">
        <v>182</v>
      </c>
      <c r="L239" s="229"/>
      <c r="M239" s="229">
        <v>3</v>
      </c>
      <c r="N239" s="229">
        <v>3</v>
      </c>
      <c r="O239" s="326" t="s">
        <v>631</v>
      </c>
      <c r="P239" s="289" t="s">
        <v>275</v>
      </c>
      <c r="Q239" s="321" t="s">
        <v>148</v>
      </c>
      <c r="R239" s="173"/>
      <c r="S239" s="195">
        <f>MATCH($D239,Reference!$J$5:$J$9,0)</f>
        <v>2</v>
      </c>
      <c r="T239" s="195">
        <f>MATCH($E239,Reference!$J$26:$J$32,0)</f>
        <v>2</v>
      </c>
      <c r="U239" s="195">
        <f>MATCH($F239,Reference!$J$45:$J$54,0)</f>
        <v>9</v>
      </c>
      <c r="V239" s="196">
        <f>MATCH($K239,Reference!$J$37:$J$39,0)</f>
        <v>3</v>
      </c>
      <c r="W239" s="197">
        <f t="shared" si="278"/>
        <v>2</v>
      </c>
      <c r="X239" s="197">
        <f t="shared" si="1"/>
        <v>1</v>
      </c>
      <c r="Y239" s="197">
        <f t="shared" si="301"/>
        <v>0</v>
      </c>
      <c r="Z239" s="197">
        <f t="shared" si="279"/>
        <v>2</v>
      </c>
      <c r="AA239" s="199" t="b">
        <f t="shared" si="3"/>
        <v>0</v>
      </c>
      <c r="AB239" s="199" t="b">
        <f t="shared" si="4"/>
        <v>0</v>
      </c>
      <c r="AC239" s="200">
        <f t="shared" ref="AC239:AD239" si="438">1-I239</f>
        <v>0.66999999999999993</v>
      </c>
      <c r="AD239" s="200">
        <f t="shared" si="438"/>
        <v>0.66999999999999993</v>
      </c>
      <c r="AE239" s="199">
        <f t="shared" si="6"/>
        <v>2</v>
      </c>
      <c r="AF239" s="201">
        <f t="shared" si="281"/>
        <v>0</v>
      </c>
      <c r="AG239" s="201">
        <f t="shared" si="8"/>
        <v>1</v>
      </c>
      <c r="AH239" s="202">
        <f t="shared" si="303"/>
        <v>0</v>
      </c>
      <c r="AI239" s="205"/>
      <c r="AJ239" s="336" t="s">
        <v>63</v>
      </c>
      <c r="AK239" s="1142">
        <f t="shared" ref="AK239:AK242" si="439">SUM(AK244+AK249+AK254+AK259+AK264+AK269+AK274+AK279+AK284+AK289)</f>
        <v>365.34000000000003</v>
      </c>
      <c r="AL239" s="1007"/>
      <c r="AM239" s="1142">
        <f t="shared" ref="AM239:AM242" si="440">SUM(AM244+AM249+AM254+AM259+AM264+AM269+AM274+AM279+AM284+AM289)</f>
        <v>188</v>
      </c>
      <c r="AN239" s="1007"/>
      <c r="AO239" s="1142">
        <f t="shared" ref="AO239:AO242" si="441">SUM(AO244+AO249+AO254+AO259+AO264+AO269+AO274+AO279+AO284+AO289)</f>
        <v>79.34</v>
      </c>
      <c r="AP239" s="1007"/>
      <c r="AQ239" s="1142">
        <f t="shared" ref="AQ239:AQ242" si="442">SUM(AQ244+AQ249+AQ254+AQ259+AQ264+AQ269+AQ274+AQ279+AQ284+AQ289)</f>
        <v>98</v>
      </c>
      <c r="AR239" s="1007"/>
      <c r="AS239" s="1142">
        <f t="shared" ref="AS239:AS242" si="443">SUM(AS244+AS249+AS254+AS259+AS264+AS269+AS274+AS279+AS284+AS289)</f>
        <v>99</v>
      </c>
      <c r="AT239" s="1007"/>
      <c r="AU239" s="229"/>
      <c r="AV239" s="229"/>
      <c r="AW239" s="229"/>
      <c r="AX239" s="229"/>
    </row>
    <row r="240" spans="1:56" ht="14.25">
      <c r="A240" s="206"/>
      <c r="B240" s="187">
        <v>4</v>
      </c>
      <c r="C240" s="320" t="s">
        <v>632</v>
      </c>
      <c r="D240" s="321" t="s">
        <v>63</v>
      </c>
      <c r="E240" s="321" t="s">
        <v>77</v>
      </c>
      <c r="F240" s="321" t="s">
        <v>13</v>
      </c>
      <c r="G240" s="325">
        <v>2</v>
      </c>
      <c r="H240" s="325">
        <v>0</v>
      </c>
      <c r="I240" s="323">
        <v>0.66</v>
      </c>
      <c r="J240" s="323">
        <v>0.66</v>
      </c>
      <c r="K240" s="229" t="s">
        <v>146</v>
      </c>
      <c r="L240" s="229"/>
      <c r="M240" s="229"/>
      <c r="N240" s="229"/>
      <c r="O240" s="326" t="s">
        <v>633</v>
      </c>
      <c r="P240" s="289"/>
      <c r="Q240" s="321" t="s">
        <v>148</v>
      </c>
      <c r="R240" s="173"/>
      <c r="S240" s="195">
        <f>MATCH($D240,Reference!$J$5:$J$9,0)</f>
        <v>2</v>
      </c>
      <c r="T240" s="195">
        <f>MATCH($E240,Reference!$J$26:$J$32,0)</f>
        <v>2</v>
      </c>
      <c r="U240" s="195">
        <f>MATCH($F240,Reference!$J$45:$J$54,0)</f>
        <v>3</v>
      </c>
      <c r="V240" s="196">
        <f>MATCH($K240,Reference!$J$37:$J$39,0)</f>
        <v>2</v>
      </c>
      <c r="W240" s="197">
        <f t="shared" si="278"/>
        <v>2</v>
      </c>
      <c r="X240" s="197">
        <f t="shared" si="1"/>
        <v>1</v>
      </c>
      <c r="Y240" s="197">
        <f t="shared" si="301"/>
        <v>0</v>
      </c>
      <c r="Z240" s="197">
        <f t="shared" si="279"/>
        <v>2</v>
      </c>
      <c r="AA240" s="199" t="b">
        <f t="shared" si="3"/>
        <v>0</v>
      </c>
      <c r="AB240" s="199" t="b">
        <f t="shared" si="4"/>
        <v>0</v>
      </c>
      <c r="AC240" s="200">
        <f t="shared" ref="AC240:AD240" si="444">1-I240</f>
        <v>0.33999999999999997</v>
      </c>
      <c r="AD240" s="200">
        <f t="shared" si="444"/>
        <v>0.33999999999999997</v>
      </c>
      <c r="AE240" s="199">
        <f t="shared" si="6"/>
        <v>2</v>
      </c>
      <c r="AF240" s="201">
        <f t="shared" si="281"/>
        <v>0</v>
      </c>
      <c r="AG240" s="201">
        <f t="shared" si="8"/>
        <v>1</v>
      </c>
      <c r="AH240" s="202">
        <f t="shared" si="303"/>
        <v>0</v>
      </c>
      <c r="AI240" s="205"/>
      <c r="AJ240" s="337" t="s">
        <v>68</v>
      </c>
      <c r="AK240" s="1139">
        <f t="shared" si="439"/>
        <v>408.39</v>
      </c>
      <c r="AL240" s="1007"/>
      <c r="AM240" s="1139">
        <f t="shared" si="440"/>
        <v>158.34</v>
      </c>
      <c r="AN240" s="1007"/>
      <c r="AO240" s="1139">
        <f t="shared" si="441"/>
        <v>69.38</v>
      </c>
      <c r="AP240" s="1007"/>
      <c r="AQ240" s="1139">
        <f t="shared" si="442"/>
        <v>71.67</v>
      </c>
      <c r="AR240" s="1007"/>
      <c r="AS240" s="1139">
        <f t="shared" si="443"/>
        <v>62</v>
      </c>
      <c r="AT240" s="1007"/>
      <c r="AU240" s="229"/>
      <c r="AV240" s="229"/>
      <c r="AW240" s="229"/>
      <c r="AX240" s="229"/>
    </row>
    <row r="241" spans="1:50" ht="14.25">
      <c r="A241" s="187"/>
      <c r="B241" s="187">
        <v>4</v>
      </c>
      <c r="C241" s="320" t="s">
        <v>634</v>
      </c>
      <c r="D241" s="321" t="s">
        <v>63</v>
      </c>
      <c r="E241" s="321" t="s">
        <v>77</v>
      </c>
      <c r="F241" s="321" t="s">
        <v>115</v>
      </c>
      <c r="G241" s="325">
        <v>2</v>
      </c>
      <c r="H241" s="322">
        <v>0</v>
      </c>
      <c r="I241" s="323">
        <v>0.66</v>
      </c>
      <c r="J241" s="323">
        <v>0.66</v>
      </c>
      <c r="K241" s="229" t="s">
        <v>182</v>
      </c>
      <c r="L241" s="237"/>
      <c r="M241" s="229">
        <v>4</v>
      </c>
      <c r="N241" s="229">
        <v>2</v>
      </c>
      <c r="O241" s="324" t="s">
        <v>635</v>
      </c>
      <c r="P241" s="292"/>
      <c r="Q241" s="321" t="s">
        <v>148</v>
      </c>
      <c r="R241" s="173"/>
      <c r="S241" s="195">
        <f>MATCH($D241,Reference!$J$5:$J$9,0)</f>
        <v>2</v>
      </c>
      <c r="T241" s="195">
        <f>MATCH($E241,Reference!$J$26:$J$32,0)</f>
        <v>2</v>
      </c>
      <c r="U241" s="195">
        <f>MATCH($F241,Reference!$J$45:$J$54,0)</f>
        <v>10</v>
      </c>
      <c r="V241" s="196">
        <f>MATCH($K241,Reference!$J$37:$J$39,0)</f>
        <v>3</v>
      </c>
      <c r="W241" s="197">
        <f t="shared" si="278"/>
        <v>2</v>
      </c>
      <c r="X241" s="197">
        <f t="shared" si="1"/>
        <v>1</v>
      </c>
      <c r="Y241" s="197">
        <f t="shared" si="301"/>
        <v>0</v>
      </c>
      <c r="Z241" s="197">
        <f t="shared" si="279"/>
        <v>2</v>
      </c>
      <c r="AA241" s="199" t="b">
        <f t="shared" si="3"/>
        <v>0</v>
      </c>
      <c r="AB241" s="199" t="b">
        <f t="shared" si="4"/>
        <v>0</v>
      </c>
      <c r="AC241" s="200">
        <f t="shared" ref="AC241:AD241" si="445">1-I241</f>
        <v>0.33999999999999997</v>
      </c>
      <c r="AD241" s="200">
        <f t="shared" si="445"/>
        <v>0.33999999999999997</v>
      </c>
      <c r="AE241" s="199">
        <f t="shared" si="6"/>
        <v>2</v>
      </c>
      <c r="AF241" s="201">
        <f t="shared" si="281"/>
        <v>0</v>
      </c>
      <c r="AG241" s="201">
        <f t="shared" si="8"/>
        <v>1</v>
      </c>
      <c r="AH241" s="202">
        <f t="shared" si="303"/>
        <v>0</v>
      </c>
      <c r="AI241" s="205"/>
      <c r="AJ241" s="339" t="s">
        <v>69</v>
      </c>
      <c r="AK241" s="1140">
        <f t="shared" si="439"/>
        <v>188.48999999999998</v>
      </c>
      <c r="AL241" s="1007"/>
      <c r="AM241" s="1140">
        <f t="shared" si="440"/>
        <v>67.730000000000018</v>
      </c>
      <c r="AN241" s="1007"/>
      <c r="AO241" s="1140">
        <f t="shared" si="441"/>
        <v>44.39</v>
      </c>
      <c r="AP241" s="1007"/>
      <c r="AQ241" s="1140">
        <f t="shared" si="442"/>
        <v>49.37</v>
      </c>
      <c r="AR241" s="1007"/>
      <c r="AS241" s="1140">
        <f t="shared" si="443"/>
        <v>16</v>
      </c>
      <c r="AT241" s="1007"/>
      <c r="AU241" s="229"/>
      <c r="AV241" s="229"/>
      <c r="AW241" s="229"/>
      <c r="AX241" s="229"/>
    </row>
    <row r="242" spans="1:50" ht="14.25">
      <c r="A242" s="187"/>
      <c r="B242" s="187">
        <v>4</v>
      </c>
      <c r="C242" s="320" t="s">
        <v>636</v>
      </c>
      <c r="D242" s="321" t="s">
        <v>63</v>
      </c>
      <c r="E242" s="321" t="s">
        <v>77</v>
      </c>
      <c r="F242" s="321" t="s">
        <v>115</v>
      </c>
      <c r="G242" s="325">
        <v>2</v>
      </c>
      <c r="H242" s="325">
        <v>0</v>
      </c>
      <c r="I242" s="323">
        <v>1</v>
      </c>
      <c r="J242" s="323">
        <v>1</v>
      </c>
      <c r="K242" s="229" t="s">
        <v>182</v>
      </c>
      <c r="L242" s="229"/>
      <c r="M242" s="229">
        <v>4</v>
      </c>
      <c r="N242" s="229">
        <v>4</v>
      </c>
      <c r="O242" s="326" t="s">
        <v>489</v>
      </c>
      <c r="P242" s="289" t="s">
        <v>184</v>
      </c>
      <c r="Q242" s="321" t="s">
        <v>148</v>
      </c>
      <c r="R242" s="173"/>
      <c r="S242" s="195">
        <f>MATCH($D242,Reference!$J$5:$J$9,0)</f>
        <v>2</v>
      </c>
      <c r="T242" s="195">
        <f>MATCH($E242,Reference!$J$26:$J$32,0)</f>
        <v>2</v>
      </c>
      <c r="U242" s="195">
        <f>MATCH($F242,Reference!$J$45:$J$54,0)</f>
        <v>10</v>
      </c>
      <c r="V242" s="196">
        <f>MATCH($K242,Reference!$J$37:$J$39,0)</f>
        <v>3</v>
      </c>
      <c r="W242" s="197">
        <f t="shared" si="278"/>
        <v>2</v>
      </c>
      <c r="X242" s="197">
        <f t="shared" si="1"/>
        <v>1</v>
      </c>
      <c r="Y242" s="197">
        <f t="shared" si="301"/>
        <v>0</v>
      </c>
      <c r="Z242" s="197">
        <f t="shared" si="279"/>
        <v>2</v>
      </c>
      <c r="AA242" s="199" t="b">
        <f t="shared" si="3"/>
        <v>0</v>
      </c>
      <c r="AB242" s="199" t="b">
        <f t="shared" si="4"/>
        <v>0</v>
      </c>
      <c r="AC242" s="200">
        <f t="shared" ref="AC242:AD242" si="446">1-I242</f>
        <v>0</v>
      </c>
      <c r="AD242" s="200">
        <f t="shared" si="446"/>
        <v>0</v>
      </c>
      <c r="AE242" s="199">
        <f t="shared" si="6"/>
        <v>2</v>
      </c>
      <c r="AF242" s="201">
        <f t="shared" si="281"/>
        <v>0</v>
      </c>
      <c r="AG242" s="201">
        <f t="shared" si="8"/>
        <v>1</v>
      </c>
      <c r="AH242" s="202">
        <f t="shared" si="303"/>
        <v>0</v>
      </c>
      <c r="AI242" s="205"/>
      <c r="AJ242" s="340" t="s">
        <v>70</v>
      </c>
      <c r="AK242" s="1141">
        <f t="shared" si="439"/>
        <v>71.079999999999984</v>
      </c>
      <c r="AL242" s="1007"/>
      <c r="AM242" s="1141">
        <f t="shared" si="440"/>
        <v>30.349999999999998</v>
      </c>
      <c r="AN242" s="1007"/>
      <c r="AO242" s="1141">
        <f t="shared" si="441"/>
        <v>15.7</v>
      </c>
      <c r="AP242" s="1007"/>
      <c r="AQ242" s="1141">
        <f t="shared" si="442"/>
        <v>17.03</v>
      </c>
      <c r="AR242" s="1007"/>
      <c r="AS242" s="1141">
        <f t="shared" si="443"/>
        <v>7</v>
      </c>
      <c r="AT242" s="1007"/>
      <c r="AU242" s="229"/>
      <c r="AV242" s="229"/>
      <c r="AW242" s="229"/>
      <c r="AX242" s="229"/>
    </row>
    <row r="243" spans="1:50" ht="14.25">
      <c r="A243" s="209"/>
      <c r="B243" s="187">
        <v>4</v>
      </c>
      <c r="C243" s="320" t="s">
        <v>637</v>
      </c>
      <c r="D243" s="321" t="s">
        <v>63</v>
      </c>
      <c r="E243" s="321" t="s">
        <v>77</v>
      </c>
      <c r="F243" s="321" t="s">
        <v>115</v>
      </c>
      <c r="G243" s="325">
        <v>2</v>
      </c>
      <c r="H243" s="325">
        <v>0</v>
      </c>
      <c r="I243" s="323">
        <v>0.66</v>
      </c>
      <c r="J243" s="323">
        <v>0.66</v>
      </c>
      <c r="K243" s="229" t="s">
        <v>182</v>
      </c>
      <c r="L243" s="229" t="s">
        <v>536</v>
      </c>
      <c r="M243" s="229">
        <v>3</v>
      </c>
      <c r="N243" s="229">
        <v>3</v>
      </c>
      <c r="O243" s="326" t="s">
        <v>638</v>
      </c>
      <c r="P243" s="289" t="s">
        <v>193</v>
      </c>
      <c r="Q243" s="321" t="s">
        <v>148</v>
      </c>
      <c r="R243" s="173"/>
      <c r="S243" s="195">
        <f>MATCH($D243,Reference!$J$5:$J$9,0)</f>
        <v>2</v>
      </c>
      <c r="T243" s="195">
        <f>MATCH($E243,Reference!$J$26:$J$32,0)</f>
        <v>2</v>
      </c>
      <c r="U243" s="195">
        <f>MATCH($F243,Reference!$J$45:$J$54,0)</f>
        <v>10</v>
      </c>
      <c r="V243" s="196">
        <f>MATCH($K243,Reference!$J$37:$J$39,0)</f>
        <v>3</v>
      </c>
      <c r="W243" s="197">
        <f t="shared" si="278"/>
        <v>2</v>
      </c>
      <c r="X243" s="197">
        <f t="shared" si="1"/>
        <v>1</v>
      </c>
      <c r="Y243" s="197">
        <f t="shared" si="301"/>
        <v>0</v>
      </c>
      <c r="Z243" s="197">
        <f t="shared" si="279"/>
        <v>2</v>
      </c>
      <c r="AA243" s="199" t="b">
        <f t="shared" si="3"/>
        <v>0</v>
      </c>
      <c r="AB243" s="199" t="b">
        <f t="shared" si="4"/>
        <v>0</v>
      </c>
      <c r="AC243" s="200">
        <f t="shared" ref="AC243:AD243" si="447">1-I243</f>
        <v>0.33999999999999997</v>
      </c>
      <c r="AD243" s="200">
        <f t="shared" si="447"/>
        <v>0.33999999999999997</v>
      </c>
      <c r="AE243" s="199">
        <f t="shared" si="6"/>
        <v>2</v>
      </c>
      <c r="AF243" s="201">
        <f t="shared" si="281"/>
        <v>0</v>
      </c>
      <c r="AG243" s="201">
        <f t="shared" si="8"/>
        <v>1</v>
      </c>
      <c r="AH243" s="202">
        <f t="shared" si="303"/>
        <v>0</v>
      </c>
      <c r="AI243" s="205"/>
      <c r="AJ243" s="335" t="s">
        <v>8</v>
      </c>
      <c r="AK243" s="1133" t="s">
        <v>22</v>
      </c>
      <c r="AL243" s="1102"/>
      <c r="AM243" s="1135" t="s">
        <v>77</v>
      </c>
      <c r="AN243" s="1102"/>
      <c r="AO243" s="1135" t="s">
        <v>80</v>
      </c>
      <c r="AP243" s="1102"/>
      <c r="AQ243" s="1135" t="s">
        <v>82</v>
      </c>
      <c r="AR243" s="1102"/>
      <c r="AS243" s="1133" t="s">
        <v>73</v>
      </c>
      <c r="AT243" s="1102"/>
      <c r="AU243" s="173"/>
      <c r="AV243" s="173"/>
    </row>
    <row r="244" spans="1:50" ht="14.25">
      <c r="A244" s="187"/>
      <c r="B244" s="240">
        <v>4</v>
      </c>
      <c r="C244" s="327" t="s">
        <v>639</v>
      </c>
      <c r="D244" s="328" t="s">
        <v>63</v>
      </c>
      <c r="E244" s="328" t="s">
        <v>77</v>
      </c>
      <c r="F244" s="328" t="s">
        <v>18</v>
      </c>
      <c r="G244" s="322">
        <v>2</v>
      </c>
      <c r="H244" s="322">
        <v>0</v>
      </c>
      <c r="I244" s="323">
        <v>0.33</v>
      </c>
      <c r="J244" s="323">
        <v>0.33</v>
      </c>
      <c r="K244" s="237" t="s">
        <v>182</v>
      </c>
      <c r="L244" s="237"/>
      <c r="M244" s="237" t="s">
        <v>640</v>
      </c>
      <c r="N244" s="237">
        <v>5</v>
      </c>
      <c r="O244" s="324" t="s">
        <v>641</v>
      </c>
      <c r="P244" s="292"/>
      <c r="Q244" s="328" t="s">
        <v>148</v>
      </c>
      <c r="R244" s="173"/>
      <c r="S244" s="195">
        <f>MATCH($D244,Reference!$J$5:$J$9,0)</f>
        <v>2</v>
      </c>
      <c r="T244" s="195">
        <f>MATCH($E244,Reference!$J$26:$J$32,0)</f>
        <v>2</v>
      </c>
      <c r="U244" s="195">
        <f>MATCH($F244,Reference!$J$45:$J$54,0)</f>
        <v>5</v>
      </c>
      <c r="V244" s="196">
        <f>MATCH($K244,Reference!$J$37:$J$39,0)</f>
        <v>3</v>
      </c>
      <c r="W244" s="197">
        <f t="shared" si="278"/>
        <v>2</v>
      </c>
      <c r="X244" s="197">
        <f t="shared" si="1"/>
        <v>1</v>
      </c>
      <c r="Y244" s="197">
        <f t="shared" si="301"/>
        <v>0</v>
      </c>
      <c r="Z244" s="197">
        <f t="shared" si="279"/>
        <v>2</v>
      </c>
      <c r="AA244" s="199" t="b">
        <f t="shared" si="3"/>
        <v>0</v>
      </c>
      <c r="AB244" s="199" t="b">
        <f t="shared" si="4"/>
        <v>0</v>
      </c>
      <c r="AC244" s="200">
        <f t="shared" ref="AC244:AD244" si="448">1-I244</f>
        <v>0.66999999999999993</v>
      </c>
      <c r="AD244" s="200">
        <f t="shared" si="448"/>
        <v>0.66999999999999993</v>
      </c>
      <c r="AE244" s="199">
        <f t="shared" si="6"/>
        <v>2</v>
      </c>
      <c r="AF244" s="201">
        <f t="shared" si="281"/>
        <v>0</v>
      </c>
      <c r="AG244" s="201">
        <f t="shared" si="8"/>
        <v>1</v>
      </c>
      <c r="AH244" s="202">
        <f t="shared" si="303"/>
        <v>0</v>
      </c>
      <c r="AI244" s="205"/>
      <c r="AJ244" s="336" t="s">
        <v>63</v>
      </c>
      <c r="AK244" s="1142">
        <f>SUM(AO244+AM244+AQ244)</f>
        <v>22</v>
      </c>
      <c r="AL244" s="1007"/>
      <c r="AM244" s="1142">
        <f>SUMIFS($AE$2:$AE879, $D$2:$D879, "Common", $E$2:$E879, "Classic", $F$2:F879, "Druid")</f>
        <v>12</v>
      </c>
      <c r="AN244" s="1007"/>
      <c r="AO244" s="1142">
        <f>SUMIFS($AE$2:$AE879, $D$2:$D879, "Common", $E$2:$E879, "GvG", $F$2:F879, "Druid")</f>
        <v>4</v>
      </c>
      <c r="AP244" s="1007"/>
      <c r="AQ244" s="1142">
        <f>SUMIFS($AE$2:$AE879, $D$2:$D879, "Common", $E$2:$E879, "TGT", $F$2:F879, "Druid")</f>
        <v>6</v>
      </c>
      <c r="AR244" s="1007"/>
      <c r="AS244" s="1142">
        <f>SUMIFS($AE$2:$AE879, $D$2:$D879, "Common", $E$2:$E879, "TOG", $F$2:F879, "Druid")</f>
        <v>6</v>
      </c>
      <c r="AT244" s="1007"/>
      <c r="AU244" s="229"/>
      <c r="AV244" s="229"/>
      <c r="AW244" s="229"/>
      <c r="AX244" s="229"/>
    </row>
    <row r="245" spans="1:50" ht="14.25">
      <c r="A245" s="209"/>
      <c r="B245" s="187">
        <v>4</v>
      </c>
      <c r="C245" s="320" t="s">
        <v>642</v>
      </c>
      <c r="D245" s="321" t="s">
        <v>63</v>
      </c>
      <c r="E245" s="321" t="s">
        <v>77</v>
      </c>
      <c r="F245" s="321" t="s">
        <v>115</v>
      </c>
      <c r="G245" s="325">
        <v>2</v>
      </c>
      <c r="H245" s="325">
        <v>0</v>
      </c>
      <c r="I245" s="323">
        <v>0</v>
      </c>
      <c r="J245" s="323">
        <v>0</v>
      </c>
      <c r="K245" s="321" t="s">
        <v>182</v>
      </c>
      <c r="L245" s="321"/>
      <c r="M245" s="331">
        <v>1</v>
      </c>
      <c r="N245" s="212">
        <v>7</v>
      </c>
      <c r="O245" s="326" t="s">
        <v>192</v>
      </c>
      <c r="P245" s="289" t="s">
        <v>193</v>
      </c>
      <c r="Q245" s="321" t="s">
        <v>148</v>
      </c>
      <c r="R245" s="173"/>
      <c r="S245" s="195">
        <f>MATCH($D245,Reference!$J$5:$J$9,0)</f>
        <v>2</v>
      </c>
      <c r="T245" s="195">
        <f>MATCH($E245,Reference!$J$26:$J$32,0)</f>
        <v>2</v>
      </c>
      <c r="U245" s="195">
        <f>MATCH($F245,Reference!$J$45:$J$54,0)</f>
        <v>10</v>
      </c>
      <c r="V245" s="196">
        <f>MATCH($K245,Reference!$J$37:$J$39,0)</f>
        <v>3</v>
      </c>
      <c r="W245" s="197">
        <f t="shared" si="278"/>
        <v>2</v>
      </c>
      <c r="X245" s="197">
        <f t="shared" si="1"/>
        <v>1</v>
      </c>
      <c r="Y245" s="197">
        <f t="shared" si="301"/>
        <v>0</v>
      </c>
      <c r="Z245" s="197">
        <f t="shared" si="279"/>
        <v>2</v>
      </c>
      <c r="AA245" s="199" t="b">
        <f t="shared" si="3"/>
        <v>0</v>
      </c>
      <c r="AB245" s="199" t="b">
        <f t="shared" si="4"/>
        <v>0</v>
      </c>
      <c r="AC245" s="200">
        <f t="shared" ref="AC245:AD245" si="449">1-I245</f>
        <v>1</v>
      </c>
      <c r="AD245" s="200">
        <f t="shared" si="449"/>
        <v>1</v>
      </c>
      <c r="AE245" s="199">
        <f t="shared" si="6"/>
        <v>2</v>
      </c>
      <c r="AF245" s="201">
        <f t="shared" si="281"/>
        <v>0</v>
      </c>
      <c r="AG245" s="201">
        <f t="shared" si="8"/>
        <v>1</v>
      </c>
      <c r="AH245" s="202">
        <f t="shared" si="303"/>
        <v>0</v>
      </c>
      <c r="AI245" s="205"/>
      <c r="AJ245" s="337" t="s">
        <v>68</v>
      </c>
      <c r="AK245" s="1139">
        <f t="shared" ref="AK245:AK247" si="450">SUM(AO245+AM245+AQ245+AS240+AU240+AW240)</f>
        <v>83.67</v>
      </c>
      <c r="AL245" s="1007"/>
      <c r="AM245" s="1139">
        <f>SUMIFS($AE$2:$AE879, $D$2:$D879, "Rare", $E$2:$E879, "Classic", $F$2:F879, "Druid")</f>
        <v>10</v>
      </c>
      <c r="AN245" s="1007"/>
      <c r="AO245" s="1139">
        <f>SUMIFS($AE$2:$AE879, $D$2:$D879, "Rare", $E$2:$E879, "GvG", $F$2:F879, "Druid")</f>
        <v>5.67</v>
      </c>
      <c r="AP245" s="1007"/>
      <c r="AQ245" s="1139">
        <f>SUMIFS($AE$2:$AE879, $D$2:$D879, "Rare", $E$2:$E879, "TGT", $F$2:F879, "Druid")</f>
        <v>6</v>
      </c>
      <c r="AR245" s="1007"/>
      <c r="AS245" s="1139">
        <f>SUMIFS($AE$2:$AE879, $D$2:$D879, "Rare", $E$2:$E879, "TOG", $F$2:F879, "Druid")</f>
        <v>6</v>
      </c>
      <c r="AT245" s="1007"/>
      <c r="AU245" s="229"/>
      <c r="AV245" s="229"/>
      <c r="AW245" s="229"/>
      <c r="AX245" s="229"/>
    </row>
    <row r="246" spans="1:50" ht="14.25">
      <c r="A246" s="209"/>
      <c r="B246" s="187">
        <v>4</v>
      </c>
      <c r="C246" s="320" t="s">
        <v>643</v>
      </c>
      <c r="D246" s="321" t="s">
        <v>63</v>
      </c>
      <c r="E246" s="321" t="s">
        <v>77</v>
      </c>
      <c r="F246" s="321" t="s">
        <v>115</v>
      </c>
      <c r="G246" s="325">
        <v>2</v>
      </c>
      <c r="H246" s="325">
        <v>0</v>
      </c>
      <c r="I246" s="323">
        <v>0</v>
      </c>
      <c r="J246" s="323">
        <v>0</v>
      </c>
      <c r="K246" s="229" t="s">
        <v>182</v>
      </c>
      <c r="L246" s="229"/>
      <c r="M246" s="229">
        <v>3</v>
      </c>
      <c r="N246" s="229">
        <v>3</v>
      </c>
      <c r="O246" s="326" t="s">
        <v>491</v>
      </c>
      <c r="P246" s="289" t="s">
        <v>492</v>
      </c>
      <c r="Q246" s="321" t="s">
        <v>148</v>
      </c>
      <c r="R246" s="173"/>
      <c r="S246" s="195">
        <f>MATCH($D246,Reference!$J$5:$J$9,0)</f>
        <v>2</v>
      </c>
      <c r="T246" s="195">
        <f>MATCH($E246,Reference!$J$26:$J$32,0)</f>
        <v>2</v>
      </c>
      <c r="U246" s="195">
        <f>MATCH($F246,Reference!$J$45:$J$54,0)</f>
        <v>10</v>
      </c>
      <c r="V246" s="196">
        <f>MATCH($K246,Reference!$J$37:$J$39,0)</f>
        <v>3</v>
      </c>
      <c r="W246" s="197">
        <f t="shared" si="278"/>
        <v>2</v>
      </c>
      <c r="X246" s="197">
        <f t="shared" si="1"/>
        <v>1</v>
      </c>
      <c r="Y246" s="197">
        <f t="shared" si="301"/>
        <v>0</v>
      </c>
      <c r="Z246" s="197">
        <f t="shared" si="279"/>
        <v>2</v>
      </c>
      <c r="AA246" s="199" t="b">
        <f t="shared" si="3"/>
        <v>0</v>
      </c>
      <c r="AB246" s="199" t="b">
        <f t="shared" si="4"/>
        <v>0</v>
      </c>
      <c r="AC246" s="200">
        <f t="shared" ref="AC246:AD246" si="451">1-I246</f>
        <v>1</v>
      </c>
      <c r="AD246" s="200">
        <f t="shared" si="451"/>
        <v>1</v>
      </c>
      <c r="AE246" s="199">
        <f t="shared" si="6"/>
        <v>2</v>
      </c>
      <c r="AF246" s="201">
        <f t="shared" si="281"/>
        <v>0</v>
      </c>
      <c r="AG246" s="201">
        <f t="shared" si="8"/>
        <v>1</v>
      </c>
      <c r="AH246" s="202">
        <f t="shared" si="303"/>
        <v>0</v>
      </c>
      <c r="AI246" s="205"/>
      <c r="AJ246" s="339" t="s">
        <v>69</v>
      </c>
      <c r="AK246" s="1140">
        <f t="shared" si="450"/>
        <v>29.009999999999998</v>
      </c>
      <c r="AL246" s="1007"/>
      <c r="AM246" s="1140">
        <f>SUMIFS($AE$2:$AE879, $D$2:$D879, "Epic", $E$2:$E879, "Classic", $F$2:F879, "Druid")</f>
        <v>6</v>
      </c>
      <c r="AN246" s="1007"/>
      <c r="AO246" s="1140">
        <f>SUMIFS($AE$2:$AE879, $D$2:$D879, "Epic", $E$2:$E879, "GvG", $F$2:F879, "Druid")</f>
        <v>3.34</v>
      </c>
      <c r="AP246" s="1007"/>
      <c r="AQ246" s="1140">
        <f>SUMIFS($AE$2:$AE879, $D$2:$D879, "Epic", $E$2:$E879, "TGT", $F$2:F879, "Druid")</f>
        <v>3.67</v>
      </c>
      <c r="AR246" s="1007"/>
      <c r="AS246" s="1140">
        <f>SUMIFS($AE$2:$AE879, $D$2:$D879, "Epic", $E$2:$E879, "TOG", $F$2:F879, "Druid")</f>
        <v>0</v>
      </c>
      <c r="AT246" s="1007"/>
      <c r="AU246" s="229"/>
      <c r="AV246" s="229"/>
      <c r="AW246" s="229"/>
      <c r="AX246" s="229"/>
    </row>
    <row r="247" spans="1:50" ht="14.25">
      <c r="A247" s="187"/>
      <c r="B247" s="240">
        <v>4</v>
      </c>
      <c r="C247" s="327" t="s">
        <v>644</v>
      </c>
      <c r="D247" s="328" t="s">
        <v>63</v>
      </c>
      <c r="E247" s="328" t="s">
        <v>77</v>
      </c>
      <c r="F247" s="328" t="s">
        <v>8</v>
      </c>
      <c r="G247" s="322">
        <v>2</v>
      </c>
      <c r="H247" s="322">
        <v>0</v>
      </c>
      <c r="I247" s="323">
        <v>0</v>
      </c>
      <c r="J247" s="323">
        <v>0</v>
      </c>
      <c r="K247" s="237" t="s">
        <v>146</v>
      </c>
      <c r="L247" s="237"/>
      <c r="M247" s="237"/>
      <c r="N247" s="237"/>
      <c r="O247" s="324" t="s">
        <v>645</v>
      </c>
      <c r="P247" s="292"/>
      <c r="Q247" s="328" t="s">
        <v>148</v>
      </c>
      <c r="R247" s="173"/>
      <c r="S247" s="195">
        <f>MATCH($D247,Reference!$J$5:$J$9,0)</f>
        <v>2</v>
      </c>
      <c r="T247" s="195">
        <f>MATCH($E247,Reference!$J$26:$J$32,0)</f>
        <v>2</v>
      </c>
      <c r="U247" s="195">
        <f>MATCH($F247,Reference!$J$45:$J$54,0)</f>
        <v>1</v>
      </c>
      <c r="V247" s="196">
        <f>MATCH($K247,Reference!$J$37:$J$39,0)</f>
        <v>2</v>
      </c>
      <c r="W247" s="197">
        <f t="shared" si="278"/>
        <v>2</v>
      </c>
      <c r="X247" s="197">
        <f t="shared" si="1"/>
        <v>1</v>
      </c>
      <c r="Y247" s="197">
        <f t="shared" si="301"/>
        <v>0</v>
      </c>
      <c r="Z247" s="197">
        <f t="shared" si="279"/>
        <v>2</v>
      </c>
      <c r="AA247" s="199" t="b">
        <f t="shared" si="3"/>
        <v>0</v>
      </c>
      <c r="AB247" s="199" t="b">
        <f t="shared" si="4"/>
        <v>0</v>
      </c>
      <c r="AC247" s="200">
        <f t="shared" ref="AC247:AD247" si="452">1-I247</f>
        <v>1</v>
      </c>
      <c r="AD247" s="200">
        <f t="shared" si="452"/>
        <v>1</v>
      </c>
      <c r="AE247" s="199">
        <f t="shared" si="6"/>
        <v>2</v>
      </c>
      <c r="AF247" s="201">
        <f t="shared" si="281"/>
        <v>0</v>
      </c>
      <c r="AG247" s="201">
        <f t="shared" si="8"/>
        <v>1</v>
      </c>
      <c r="AH247" s="202">
        <f t="shared" si="303"/>
        <v>0</v>
      </c>
      <c r="AI247" s="205"/>
      <c r="AJ247" s="340" t="s">
        <v>70</v>
      </c>
      <c r="AK247" s="1141">
        <f t="shared" si="450"/>
        <v>9.67</v>
      </c>
      <c r="AL247" s="1007"/>
      <c r="AM247" s="1141">
        <f>SUMIFS($AE$2:$AE879, $D$2:$D879, "Legendary", $E$2:$E879, "Classic", $F$2:F879, "Druid")</f>
        <v>1</v>
      </c>
      <c r="AN247" s="1007"/>
      <c r="AO247" s="1141">
        <f>SUMIFS($AE$2:$AE879, $D$2:$D879, "Legendary", $E$2:$E879, "GvG", $F$2:F879, "Druid")</f>
        <v>1</v>
      </c>
      <c r="AP247" s="1007"/>
      <c r="AQ247" s="1141">
        <f>SUMIFS($AE$2:$AE879, $D$2:$D879, "Legendary", $E$2:$E879, "TGT", $F$2:F879, "Druid")</f>
        <v>0.66999999999999993</v>
      </c>
      <c r="AR247" s="1007"/>
      <c r="AS247" s="1141">
        <f>SUMIFS($AE$2:$AE879, $D$2:$D879, "Legendary", $E$2:$E879, "TOG", $F$2:F879, "Druid")</f>
        <v>0</v>
      </c>
      <c r="AT247" s="1007"/>
      <c r="AU247" s="229"/>
      <c r="AV247" s="229"/>
      <c r="AW247" s="229"/>
      <c r="AX247" s="229"/>
    </row>
    <row r="248" spans="1:50" ht="14.25">
      <c r="A248" s="187"/>
      <c r="B248" s="187">
        <v>4</v>
      </c>
      <c r="C248" s="320" t="s">
        <v>646</v>
      </c>
      <c r="D248" s="321" t="s">
        <v>63</v>
      </c>
      <c r="E248" s="321" t="s">
        <v>77</v>
      </c>
      <c r="F248" s="321" t="s">
        <v>115</v>
      </c>
      <c r="G248" s="325">
        <v>2</v>
      </c>
      <c r="H248" s="325">
        <v>0</v>
      </c>
      <c r="I248" s="323">
        <v>0.66</v>
      </c>
      <c r="J248" s="323">
        <v>0.66</v>
      </c>
      <c r="K248" s="229" t="s">
        <v>182</v>
      </c>
      <c r="L248" s="229"/>
      <c r="M248" s="229">
        <v>4</v>
      </c>
      <c r="N248" s="229">
        <v>3</v>
      </c>
      <c r="O248" s="326" t="s">
        <v>607</v>
      </c>
      <c r="P248" s="289" t="s">
        <v>184</v>
      </c>
      <c r="Q248" s="321" t="s">
        <v>148</v>
      </c>
      <c r="R248" s="173"/>
      <c r="S248" s="195">
        <f>MATCH($D248,Reference!$J$5:$J$9,0)</f>
        <v>2</v>
      </c>
      <c r="T248" s="195">
        <f>MATCH($E248,Reference!$J$26:$J$32,0)</f>
        <v>2</v>
      </c>
      <c r="U248" s="195">
        <f>MATCH($F248,Reference!$J$45:$J$54,0)</f>
        <v>10</v>
      </c>
      <c r="V248" s="196">
        <f>MATCH($K248,Reference!$J$37:$J$39,0)</f>
        <v>3</v>
      </c>
      <c r="W248" s="197">
        <f t="shared" si="278"/>
        <v>2</v>
      </c>
      <c r="X248" s="197">
        <f t="shared" si="1"/>
        <v>1</v>
      </c>
      <c r="Y248" s="197">
        <f t="shared" si="301"/>
        <v>0</v>
      </c>
      <c r="Z248" s="197">
        <f t="shared" si="279"/>
        <v>2</v>
      </c>
      <c r="AA248" s="199" t="b">
        <f t="shared" si="3"/>
        <v>0</v>
      </c>
      <c r="AB248" s="199" t="b">
        <f t="shared" si="4"/>
        <v>0</v>
      </c>
      <c r="AC248" s="200">
        <f t="shared" ref="AC248:AD248" si="453">1-I248</f>
        <v>0.33999999999999997</v>
      </c>
      <c r="AD248" s="200">
        <f t="shared" si="453"/>
        <v>0.33999999999999997</v>
      </c>
      <c r="AE248" s="199">
        <f t="shared" si="6"/>
        <v>2</v>
      </c>
      <c r="AF248" s="201">
        <f t="shared" si="281"/>
        <v>0</v>
      </c>
      <c r="AG248" s="201">
        <f t="shared" si="8"/>
        <v>1</v>
      </c>
      <c r="AH248" s="202">
        <f t="shared" si="303"/>
        <v>0</v>
      </c>
      <c r="AI248" s="205"/>
      <c r="AJ248" s="335" t="s">
        <v>11</v>
      </c>
      <c r="AK248" s="1133" t="s">
        <v>22</v>
      </c>
      <c r="AL248" s="1102"/>
      <c r="AM248" s="1135" t="s">
        <v>77</v>
      </c>
      <c r="AN248" s="1102"/>
      <c r="AO248" s="1135" t="s">
        <v>80</v>
      </c>
      <c r="AP248" s="1102"/>
      <c r="AQ248" s="1135" t="s">
        <v>82</v>
      </c>
      <c r="AR248" s="1102"/>
      <c r="AS248" s="1133" t="s">
        <v>73</v>
      </c>
      <c r="AT248" s="1102"/>
      <c r="AU248" s="173"/>
      <c r="AV248" s="173"/>
    </row>
    <row r="249" spans="1:50" ht="14.25">
      <c r="A249" s="240"/>
      <c r="B249" s="240">
        <v>4</v>
      </c>
      <c r="C249" s="327" t="s">
        <v>647</v>
      </c>
      <c r="D249" s="328" t="s">
        <v>63</v>
      </c>
      <c r="E249" s="328" t="s">
        <v>77</v>
      </c>
      <c r="F249" s="328" t="s">
        <v>25</v>
      </c>
      <c r="G249" s="322">
        <v>2</v>
      </c>
      <c r="H249" s="322">
        <v>0</v>
      </c>
      <c r="I249" s="323">
        <v>0.33</v>
      </c>
      <c r="J249" s="323">
        <v>0</v>
      </c>
      <c r="K249" s="237" t="s">
        <v>182</v>
      </c>
      <c r="L249" s="237"/>
      <c r="M249" s="237">
        <v>0</v>
      </c>
      <c r="N249" s="237">
        <v>4</v>
      </c>
      <c r="O249" s="324" t="s">
        <v>648</v>
      </c>
      <c r="P249" s="292" t="s">
        <v>197</v>
      </c>
      <c r="Q249" s="328" t="s">
        <v>148</v>
      </c>
      <c r="R249" s="34"/>
      <c r="S249" s="195">
        <f>MATCH($D249,Reference!$J$5:$J$9,0)</f>
        <v>2</v>
      </c>
      <c r="T249" s="195">
        <f>MATCH($E249,Reference!$J$26:$J$32,0)</f>
        <v>2</v>
      </c>
      <c r="U249" s="195">
        <f>MATCH($F249,Reference!$J$45:$J$54,0)</f>
        <v>8</v>
      </c>
      <c r="V249" s="196">
        <f>MATCH($K249,Reference!$J$37:$J$39,0)</f>
        <v>3</v>
      </c>
      <c r="W249" s="197">
        <f t="shared" si="278"/>
        <v>2</v>
      </c>
      <c r="X249" s="197">
        <f t="shared" si="1"/>
        <v>1</v>
      </c>
      <c r="Y249" s="197">
        <f t="shared" si="301"/>
        <v>0</v>
      </c>
      <c r="Z249" s="197">
        <f t="shared" si="279"/>
        <v>2</v>
      </c>
      <c r="AA249" s="199" t="b">
        <f t="shared" si="3"/>
        <v>0</v>
      </c>
      <c r="AB249" s="199" t="b">
        <f t="shared" si="4"/>
        <v>0</v>
      </c>
      <c r="AC249" s="200">
        <f t="shared" ref="AC249:AD249" si="454">1-I249</f>
        <v>0.66999999999999993</v>
      </c>
      <c r="AD249" s="200">
        <f t="shared" si="454"/>
        <v>1</v>
      </c>
      <c r="AE249" s="199">
        <f t="shared" si="6"/>
        <v>2</v>
      </c>
      <c r="AF249" s="201">
        <f t="shared" si="281"/>
        <v>0</v>
      </c>
      <c r="AG249" s="201">
        <f t="shared" si="8"/>
        <v>1</v>
      </c>
      <c r="AH249" s="202">
        <f t="shared" si="303"/>
        <v>0</v>
      </c>
      <c r="AI249" s="205"/>
      <c r="AJ249" s="336" t="s">
        <v>63</v>
      </c>
      <c r="AK249" s="1142">
        <f>SUM(AO249+AM249+AQ249)</f>
        <v>22</v>
      </c>
      <c r="AL249" s="1007"/>
      <c r="AM249" s="1142">
        <f>SUMIFS($AE$2:$AE879, $D$2:$D879, "Common", $E$2:$E879, "Classic", $F$2:F879, "Hunter")</f>
        <v>12</v>
      </c>
      <c r="AN249" s="1007"/>
      <c r="AO249" s="1142">
        <f>SUMIFS($AE$2:$AE879, $D$2:$D879, "Common", $E$2:$E879, "GvG", $F$2:F879, "Hunter")</f>
        <v>4</v>
      </c>
      <c r="AP249" s="1007"/>
      <c r="AQ249" s="1142">
        <f>SUMIFS($AE$2:$AE879, $D$2:$D879, "Common", $E$2:$E879, "TGT", $F$2:F879, "Hunter")</f>
        <v>6</v>
      </c>
      <c r="AR249" s="1007"/>
      <c r="AS249" s="1142">
        <f>SUMIFS($AE$2:$AE879, $D$2:$D879, "Common", $E$2:$E879, "TOG", $F$2:F879, "Hunter")</f>
        <v>6</v>
      </c>
      <c r="AT249" s="1007"/>
      <c r="AU249" s="229"/>
      <c r="AV249" s="229"/>
      <c r="AW249" s="229"/>
      <c r="AX249" s="229"/>
    </row>
    <row r="250" spans="1:50" ht="14.25">
      <c r="A250" s="240"/>
      <c r="B250" s="240">
        <v>5</v>
      </c>
      <c r="C250" s="327" t="s">
        <v>649</v>
      </c>
      <c r="D250" s="328" t="s">
        <v>63</v>
      </c>
      <c r="E250" s="328" t="s">
        <v>77</v>
      </c>
      <c r="F250" s="328" t="s">
        <v>8</v>
      </c>
      <c r="G250" s="322">
        <v>2</v>
      </c>
      <c r="H250" s="322">
        <v>0</v>
      </c>
      <c r="I250" s="323">
        <v>1</v>
      </c>
      <c r="J250" s="323">
        <v>1</v>
      </c>
      <c r="K250" s="237" t="s">
        <v>182</v>
      </c>
      <c r="L250" s="329"/>
      <c r="M250" s="237">
        <v>4</v>
      </c>
      <c r="N250" s="237">
        <v>4</v>
      </c>
      <c r="O250" s="343" t="s">
        <v>650</v>
      </c>
      <c r="P250" s="292" t="s">
        <v>651</v>
      </c>
      <c r="Q250" s="328" t="s">
        <v>148</v>
      </c>
      <c r="R250" s="173"/>
      <c r="S250" s="195">
        <f>MATCH($D250,Reference!$J$5:$J$9,0)</f>
        <v>2</v>
      </c>
      <c r="T250" s="195">
        <f>MATCH($E250,Reference!$J$26:$J$32,0)</f>
        <v>2</v>
      </c>
      <c r="U250" s="195">
        <f>MATCH($F250,Reference!$J$45:$J$54,0)</f>
        <v>1</v>
      </c>
      <c r="V250" s="196">
        <f>MATCH($K250,Reference!$J$37:$J$39,0)</f>
        <v>3</v>
      </c>
      <c r="W250" s="197">
        <f t="shared" si="278"/>
        <v>2</v>
      </c>
      <c r="X250" s="197">
        <f t="shared" si="1"/>
        <v>1</v>
      </c>
      <c r="Y250" s="197">
        <f t="shared" si="301"/>
        <v>0</v>
      </c>
      <c r="Z250" s="197">
        <f t="shared" si="279"/>
        <v>2</v>
      </c>
      <c r="AA250" s="199" t="b">
        <f t="shared" si="3"/>
        <v>0</v>
      </c>
      <c r="AB250" s="199" t="b">
        <f t="shared" si="4"/>
        <v>0</v>
      </c>
      <c r="AC250" s="200">
        <f t="shared" ref="AC250:AD250" si="455">1-I250</f>
        <v>0</v>
      </c>
      <c r="AD250" s="200">
        <f t="shared" si="455"/>
        <v>0</v>
      </c>
      <c r="AE250" s="199">
        <f t="shared" si="6"/>
        <v>2</v>
      </c>
      <c r="AF250" s="201">
        <f t="shared" si="281"/>
        <v>0</v>
      </c>
      <c r="AG250" s="201">
        <f t="shared" si="8"/>
        <v>1</v>
      </c>
      <c r="AH250" s="202">
        <f t="shared" si="303"/>
        <v>0</v>
      </c>
      <c r="AI250" s="205"/>
      <c r="AJ250" s="337" t="s">
        <v>68</v>
      </c>
      <c r="AK250" s="1139">
        <f t="shared" ref="AK250:AK252" si="456">SUM(AO250+AM250+AQ250+AS245+AU245+AW245)</f>
        <v>28</v>
      </c>
      <c r="AL250" s="1007"/>
      <c r="AM250" s="1139">
        <f>SUMIFS($AE$2:$AE879, $D$2:$D879, "Rare", $E$2:$E879, "Classic", $F$2:F879, "Hunter")</f>
        <v>10</v>
      </c>
      <c r="AN250" s="1007"/>
      <c r="AO250" s="1139">
        <f>SUMIFS($AE$2:$AE879, $D$2:$D879, "Rare", $E$2:$E879, "GvG", $F$2:F879, "Hunter")</f>
        <v>6</v>
      </c>
      <c r="AP250" s="1007"/>
      <c r="AQ250" s="1139">
        <f>SUMIFS($AE$2:$AE879, $D$2:$D879, "Rare", $E$2:$E879, "TGT", $F$2:F879, "Hunter")</f>
        <v>6</v>
      </c>
      <c r="AR250" s="1007"/>
      <c r="AS250" s="1139">
        <f>SUMIFS($AE$2:$AE879, $D$2:$D879, "Rare", $E$2:$E879, "TOG", $F$2:F879, "Hunter")</f>
        <v>6</v>
      </c>
      <c r="AT250" s="1007"/>
      <c r="AU250" s="229"/>
      <c r="AV250" s="229"/>
      <c r="AW250" s="229"/>
      <c r="AX250" s="229"/>
    </row>
    <row r="251" spans="1:50" ht="14.25">
      <c r="A251" s="187"/>
      <c r="B251" s="187">
        <v>5</v>
      </c>
      <c r="C251" s="320" t="s">
        <v>652</v>
      </c>
      <c r="D251" s="321" t="s">
        <v>63</v>
      </c>
      <c r="E251" s="321" t="s">
        <v>77</v>
      </c>
      <c r="F251" s="321" t="s">
        <v>115</v>
      </c>
      <c r="G251" s="325">
        <v>2</v>
      </c>
      <c r="H251" s="325">
        <v>0</v>
      </c>
      <c r="I251" s="323">
        <v>0</v>
      </c>
      <c r="J251" s="323">
        <v>0</v>
      </c>
      <c r="K251" s="229" t="s">
        <v>182</v>
      </c>
      <c r="L251" s="229"/>
      <c r="M251" s="229">
        <v>3</v>
      </c>
      <c r="N251" s="229">
        <v>6</v>
      </c>
      <c r="O251" s="326" t="s">
        <v>192</v>
      </c>
      <c r="P251" s="289" t="s">
        <v>193</v>
      </c>
      <c r="Q251" s="321" t="s">
        <v>148</v>
      </c>
      <c r="R251" s="173"/>
      <c r="S251" s="195">
        <f>MATCH($D251,Reference!$J$5:$J$9,0)</f>
        <v>2</v>
      </c>
      <c r="T251" s="195">
        <f>MATCH($E251,Reference!$J$26:$J$32,0)</f>
        <v>2</v>
      </c>
      <c r="U251" s="195">
        <f>MATCH($F251,Reference!$J$45:$J$54,0)</f>
        <v>10</v>
      </c>
      <c r="V251" s="196">
        <f>MATCH($K251,Reference!$J$37:$J$39,0)</f>
        <v>3</v>
      </c>
      <c r="W251" s="197">
        <f t="shared" si="278"/>
        <v>2</v>
      </c>
      <c r="X251" s="197">
        <f t="shared" si="1"/>
        <v>1</v>
      </c>
      <c r="Y251" s="197">
        <f t="shared" si="301"/>
        <v>0</v>
      </c>
      <c r="Z251" s="197">
        <f t="shared" si="279"/>
        <v>2</v>
      </c>
      <c r="AA251" s="199" t="b">
        <f t="shared" si="3"/>
        <v>0</v>
      </c>
      <c r="AB251" s="199" t="b">
        <f t="shared" si="4"/>
        <v>0</v>
      </c>
      <c r="AC251" s="200">
        <f t="shared" ref="AC251:AD251" si="457">1-I251</f>
        <v>1</v>
      </c>
      <c r="AD251" s="200">
        <f t="shared" si="457"/>
        <v>1</v>
      </c>
      <c r="AE251" s="199">
        <f t="shared" si="6"/>
        <v>2</v>
      </c>
      <c r="AF251" s="201">
        <f t="shared" si="281"/>
        <v>0</v>
      </c>
      <c r="AG251" s="201">
        <f t="shared" si="8"/>
        <v>1</v>
      </c>
      <c r="AH251" s="202">
        <f t="shared" si="303"/>
        <v>0</v>
      </c>
      <c r="AI251" s="205"/>
      <c r="AJ251" s="339" t="s">
        <v>69</v>
      </c>
      <c r="AK251" s="1140">
        <f t="shared" si="456"/>
        <v>12.35</v>
      </c>
      <c r="AL251" s="1007"/>
      <c r="AM251" s="1140">
        <f>SUMIFS($AE$2:$AE879, $D$2:$D879, "Epic", $E$2:$E879, "Classic", $F$2:F879, "Hunter")</f>
        <v>4.68</v>
      </c>
      <c r="AN251" s="1007"/>
      <c r="AO251" s="1140">
        <f>SUMIFS($AE$2:$AE879, $D$2:$D879, "Epic", $E$2:$E879, "GvG", $F$2:F879, "Hunter")</f>
        <v>3.67</v>
      </c>
      <c r="AP251" s="1007"/>
      <c r="AQ251" s="1140">
        <f>SUMIFS($AE$2:$AE879, $D$2:$D879, "Epic", $E$2:$E879, "TGT", $F$2:F879, "Hunter")</f>
        <v>4</v>
      </c>
      <c r="AR251" s="1007"/>
      <c r="AS251" s="1140">
        <f>SUMIFS($AE$2:$AE879, $D$2:$D879, "Epic", $E$2:$E879, "TOG", $F$2:F879, "Hunter")</f>
        <v>1</v>
      </c>
      <c r="AT251" s="1007"/>
      <c r="AU251" s="229"/>
      <c r="AV251" s="229"/>
      <c r="AW251" s="229"/>
      <c r="AX251" s="229"/>
    </row>
    <row r="252" spans="1:50" ht="14.25">
      <c r="A252" s="206"/>
      <c r="B252" s="187">
        <v>5</v>
      </c>
      <c r="C252" s="320" t="s">
        <v>653</v>
      </c>
      <c r="D252" s="321" t="s">
        <v>63</v>
      </c>
      <c r="E252" s="321" t="s">
        <v>77</v>
      </c>
      <c r="F252" s="321" t="s">
        <v>115</v>
      </c>
      <c r="G252" s="325">
        <v>2</v>
      </c>
      <c r="H252" s="325">
        <v>0</v>
      </c>
      <c r="I252" s="323">
        <v>0.66</v>
      </c>
      <c r="J252" s="323">
        <v>0.66</v>
      </c>
      <c r="K252" s="229" t="s">
        <v>182</v>
      </c>
      <c r="L252" s="229"/>
      <c r="M252" s="229">
        <v>4</v>
      </c>
      <c r="N252" s="229">
        <v>4</v>
      </c>
      <c r="O252" s="326" t="s">
        <v>654</v>
      </c>
      <c r="P252" s="289" t="s">
        <v>184</v>
      </c>
      <c r="Q252" s="321" t="s">
        <v>148</v>
      </c>
      <c r="R252" s="173"/>
      <c r="S252" s="195">
        <f>MATCH($D252,Reference!$J$5:$J$9,0)</f>
        <v>2</v>
      </c>
      <c r="T252" s="195">
        <f>MATCH($E252,Reference!$J$26:$J$32,0)</f>
        <v>2</v>
      </c>
      <c r="U252" s="195">
        <f>MATCH($F252,Reference!$J$45:$J$54,0)</f>
        <v>10</v>
      </c>
      <c r="V252" s="196">
        <f>MATCH($K252,Reference!$J$37:$J$39,0)</f>
        <v>3</v>
      </c>
      <c r="W252" s="197">
        <f t="shared" si="278"/>
        <v>2</v>
      </c>
      <c r="X252" s="197">
        <f t="shared" si="1"/>
        <v>1</v>
      </c>
      <c r="Y252" s="197">
        <f t="shared" si="301"/>
        <v>0</v>
      </c>
      <c r="Z252" s="197">
        <f t="shared" si="279"/>
        <v>2</v>
      </c>
      <c r="AA252" s="199" t="b">
        <f t="shared" si="3"/>
        <v>0</v>
      </c>
      <c r="AB252" s="199" t="b">
        <f t="shared" si="4"/>
        <v>0</v>
      </c>
      <c r="AC252" s="200">
        <f t="shared" ref="AC252:AD252" si="458">1-I252</f>
        <v>0.33999999999999997</v>
      </c>
      <c r="AD252" s="200">
        <f t="shared" si="458"/>
        <v>0.33999999999999997</v>
      </c>
      <c r="AE252" s="199">
        <f t="shared" si="6"/>
        <v>2</v>
      </c>
      <c r="AF252" s="201">
        <f t="shared" si="281"/>
        <v>0</v>
      </c>
      <c r="AG252" s="201">
        <f t="shared" si="8"/>
        <v>1</v>
      </c>
      <c r="AH252" s="202">
        <f t="shared" si="303"/>
        <v>0</v>
      </c>
      <c r="AI252" s="205"/>
      <c r="AJ252" s="340" t="s">
        <v>70</v>
      </c>
      <c r="AK252" s="1141">
        <f t="shared" si="456"/>
        <v>2.3499999999999996</v>
      </c>
      <c r="AL252" s="1007"/>
      <c r="AM252" s="1141">
        <f>SUMIFS($AE$2:$AE879, $D$2:$D879, "Legendary", $E$2:$E879, "Classic", $F$2:F879, "Hunter")</f>
        <v>0.66999999999999993</v>
      </c>
      <c r="AN252" s="1007"/>
      <c r="AO252" s="1141">
        <f>SUMIFS($AE$2:$AE879, $D$2:$D879, "Legendary", $E$2:$E879, "GvG", $F$2:F879, "Hunter")</f>
        <v>0.33999999999999997</v>
      </c>
      <c r="AP252" s="1007"/>
      <c r="AQ252" s="1141">
        <f>SUMIFS($AE$2:$AE879, $D$2:$D879, "Legendary", $E$2:$E879, "TGT", $F$2:F879, "Hunter")</f>
        <v>1.3399999999999999</v>
      </c>
      <c r="AR252" s="1007"/>
      <c r="AS252" s="1141">
        <f>SUMIFS($AE$2:$AE879, $D$2:$D879, "Legendary", $E$2:$E879, "TOG", $F$2:F879, "Hunter")</f>
        <v>1</v>
      </c>
      <c r="AT252" s="1007"/>
      <c r="AU252" s="229"/>
      <c r="AV252" s="229"/>
      <c r="AW252" s="229"/>
      <c r="AX252" s="229"/>
    </row>
    <row r="253" spans="1:50" ht="14.25">
      <c r="A253" s="206"/>
      <c r="B253" s="187">
        <v>5</v>
      </c>
      <c r="C253" s="320" t="s">
        <v>655</v>
      </c>
      <c r="D253" s="321" t="s">
        <v>63</v>
      </c>
      <c r="E253" s="321" t="s">
        <v>77</v>
      </c>
      <c r="F253" s="321" t="s">
        <v>115</v>
      </c>
      <c r="G253" s="325">
        <v>2</v>
      </c>
      <c r="H253" s="325">
        <v>0</v>
      </c>
      <c r="I253" s="323">
        <v>0.66</v>
      </c>
      <c r="J253" s="323">
        <v>0.33</v>
      </c>
      <c r="K253" s="229" t="s">
        <v>182</v>
      </c>
      <c r="L253" s="229"/>
      <c r="M253" s="229">
        <v>4</v>
      </c>
      <c r="N253" s="229">
        <v>6</v>
      </c>
      <c r="O253" s="326" t="s">
        <v>656</v>
      </c>
      <c r="P253" s="289" t="s">
        <v>545</v>
      </c>
      <c r="Q253" s="321" t="s">
        <v>148</v>
      </c>
      <c r="R253" s="173"/>
      <c r="S253" s="195">
        <f>MATCH($D253,Reference!$J$5:$J$9,0)</f>
        <v>2</v>
      </c>
      <c r="T253" s="195">
        <f>MATCH($E253,Reference!$J$26:$J$32,0)</f>
        <v>2</v>
      </c>
      <c r="U253" s="195">
        <f>MATCH($F253,Reference!$J$45:$J$54,0)</f>
        <v>10</v>
      </c>
      <c r="V253" s="196">
        <f>MATCH($K253,Reference!$J$37:$J$39,0)</f>
        <v>3</v>
      </c>
      <c r="W253" s="197">
        <f t="shared" si="278"/>
        <v>2</v>
      </c>
      <c r="X253" s="197">
        <f t="shared" si="1"/>
        <v>1</v>
      </c>
      <c r="Y253" s="197">
        <f t="shared" si="301"/>
        <v>0</v>
      </c>
      <c r="Z253" s="197">
        <f t="shared" si="279"/>
        <v>2</v>
      </c>
      <c r="AA253" s="199" t="b">
        <f t="shared" si="3"/>
        <v>0</v>
      </c>
      <c r="AB253" s="199" t="b">
        <f t="shared" si="4"/>
        <v>0</v>
      </c>
      <c r="AC253" s="200">
        <f t="shared" ref="AC253:AD253" si="459">1-I253</f>
        <v>0.33999999999999997</v>
      </c>
      <c r="AD253" s="200">
        <f t="shared" si="459"/>
        <v>0.66999999999999993</v>
      </c>
      <c r="AE253" s="199">
        <f t="shared" si="6"/>
        <v>2</v>
      </c>
      <c r="AF253" s="201">
        <f t="shared" si="281"/>
        <v>0</v>
      </c>
      <c r="AG253" s="201">
        <f t="shared" si="8"/>
        <v>1</v>
      </c>
      <c r="AH253" s="202">
        <f t="shared" si="303"/>
        <v>0</v>
      </c>
      <c r="AI253" s="205"/>
      <c r="AJ253" s="335" t="s">
        <v>13</v>
      </c>
      <c r="AK253" s="1133" t="s">
        <v>22</v>
      </c>
      <c r="AL253" s="1102"/>
      <c r="AM253" s="1135" t="s">
        <v>77</v>
      </c>
      <c r="AN253" s="1102"/>
      <c r="AO253" s="1135" t="s">
        <v>80</v>
      </c>
      <c r="AP253" s="1102"/>
      <c r="AQ253" s="1135" t="s">
        <v>82</v>
      </c>
      <c r="AR253" s="1102"/>
      <c r="AS253" s="1133" t="s">
        <v>73</v>
      </c>
      <c r="AT253" s="1102"/>
      <c r="AU253" s="173"/>
      <c r="AV253" s="173"/>
    </row>
    <row r="254" spans="1:50" ht="14.25">
      <c r="A254" s="187"/>
      <c r="B254" s="187">
        <v>5</v>
      </c>
      <c r="C254" s="320" t="s">
        <v>657</v>
      </c>
      <c r="D254" s="321" t="s">
        <v>63</v>
      </c>
      <c r="E254" s="321" t="s">
        <v>77</v>
      </c>
      <c r="F254" s="321" t="s">
        <v>115</v>
      </c>
      <c r="G254" s="325">
        <v>2</v>
      </c>
      <c r="H254" s="322">
        <v>0</v>
      </c>
      <c r="I254" s="323">
        <v>0.66</v>
      </c>
      <c r="J254" s="323">
        <v>0.66</v>
      </c>
      <c r="K254" s="229" t="s">
        <v>182</v>
      </c>
      <c r="L254" s="229" t="s">
        <v>230</v>
      </c>
      <c r="M254" s="229">
        <v>5</v>
      </c>
      <c r="N254" s="229">
        <v>5</v>
      </c>
      <c r="O254" s="326" t="s">
        <v>539</v>
      </c>
      <c r="P254" s="289" t="s">
        <v>497</v>
      </c>
      <c r="Q254" s="321" t="s">
        <v>148</v>
      </c>
      <c r="R254" s="173"/>
      <c r="S254" s="195">
        <f>MATCH($D254,Reference!$J$5:$J$9,0)</f>
        <v>2</v>
      </c>
      <c r="T254" s="195">
        <f>MATCH($E254,Reference!$J$26:$J$32,0)</f>
        <v>2</v>
      </c>
      <c r="U254" s="195">
        <f>MATCH($F254,Reference!$J$45:$J$54,0)</f>
        <v>10</v>
      </c>
      <c r="V254" s="196">
        <f>MATCH($K254,Reference!$J$37:$J$39,0)</f>
        <v>3</v>
      </c>
      <c r="W254" s="197">
        <f t="shared" si="278"/>
        <v>2</v>
      </c>
      <c r="X254" s="197">
        <f t="shared" si="1"/>
        <v>1</v>
      </c>
      <c r="Y254" s="197">
        <f t="shared" si="301"/>
        <v>0</v>
      </c>
      <c r="Z254" s="197">
        <f t="shared" si="279"/>
        <v>2</v>
      </c>
      <c r="AA254" s="199" t="b">
        <f t="shared" si="3"/>
        <v>0</v>
      </c>
      <c r="AB254" s="199" t="b">
        <f t="shared" si="4"/>
        <v>0</v>
      </c>
      <c r="AC254" s="200">
        <f t="shared" ref="AC254:AD254" si="460">1-I254</f>
        <v>0.33999999999999997</v>
      </c>
      <c r="AD254" s="200">
        <f t="shared" si="460"/>
        <v>0.33999999999999997</v>
      </c>
      <c r="AE254" s="199">
        <f t="shared" si="6"/>
        <v>2</v>
      </c>
      <c r="AF254" s="201">
        <f t="shared" si="281"/>
        <v>0</v>
      </c>
      <c r="AG254" s="201">
        <f t="shared" si="8"/>
        <v>1</v>
      </c>
      <c r="AH254" s="202">
        <f t="shared" si="303"/>
        <v>0</v>
      </c>
      <c r="AI254" s="205"/>
      <c r="AJ254" s="336" t="s">
        <v>63</v>
      </c>
      <c r="AK254" s="1142">
        <f>SUM(AO254+AM254+AQ254)</f>
        <v>22</v>
      </c>
      <c r="AL254" s="1007"/>
      <c r="AM254" s="1142">
        <f>SUMIFS($AE$2:$AE879, $D$2:$D879, "Common", $E$2:$E879, "Classic", $F$2:F879, "Mage")</f>
        <v>12</v>
      </c>
      <c r="AN254" s="1007"/>
      <c r="AO254" s="1142">
        <f>SUMIFS($AE$2:$AE879, $D$2:$D879, "Common", $E$2:$E879, "GvG", $F$2:F879, "Mage")</f>
        <v>4</v>
      </c>
      <c r="AP254" s="1007"/>
      <c r="AQ254" s="1142">
        <f>SUMIFS($AE$2:$AE879, $D$2:$D879, "Common", $E$2:$E879, "TGT", $F$2:F879, "Mage")</f>
        <v>6</v>
      </c>
      <c r="AR254" s="1007"/>
      <c r="AS254" s="1142">
        <f>SUMIFS($AE$2:$AE879, $D$2:$D879, "Common", $E$2:$E879, "TOG", $F$2:F879, "Mage")</f>
        <v>6</v>
      </c>
      <c r="AT254" s="1007"/>
      <c r="AU254" s="229"/>
      <c r="AV254" s="229"/>
      <c r="AW254" s="229"/>
      <c r="AX254" s="229"/>
    </row>
    <row r="255" spans="1:50" ht="14.25">
      <c r="A255" s="187"/>
      <c r="B255" s="187">
        <v>5</v>
      </c>
      <c r="C255" s="320" t="s">
        <v>658</v>
      </c>
      <c r="D255" s="321" t="s">
        <v>63</v>
      </c>
      <c r="E255" s="321" t="s">
        <v>77</v>
      </c>
      <c r="F255" s="321" t="s">
        <v>115</v>
      </c>
      <c r="G255" s="325">
        <v>2</v>
      </c>
      <c r="H255" s="325">
        <v>0</v>
      </c>
      <c r="I255" s="323">
        <v>0.33</v>
      </c>
      <c r="J255" s="323">
        <v>0.33</v>
      </c>
      <c r="K255" s="229" t="s">
        <v>182</v>
      </c>
      <c r="L255" s="229"/>
      <c r="M255" s="229">
        <v>7</v>
      </c>
      <c r="N255" s="229">
        <v>6</v>
      </c>
      <c r="O255" s="326" t="s">
        <v>659</v>
      </c>
      <c r="P255" s="289"/>
      <c r="Q255" s="321" t="s">
        <v>148</v>
      </c>
      <c r="R255" s="173"/>
      <c r="S255" s="195">
        <f>MATCH($D255,Reference!$J$5:$J$9,0)</f>
        <v>2</v>
      </c>
      <c r="T255" s="195">
        <f>MATCH($E255,Reference!$J$26:$J$32,0)</f>
        <v>2</v>
      </c>
      <c r="U255" s="195">
        <f>MATCH($F255,Reference!$J$45:$J$54,0)</f>
        <v>10</v>
      </c>
      <c r="V255" s="196">
        <f>MATCH($K255,Reference!$J$37:$J$39,0)</f>
        <v>3</v>
      </c>
      <c r="W255" s="197">
        <f t="shared" si="278"/>
        <v>2</v>
      </c>
      <c r="X255" s="197">
        <f t="shared" si="1"/>
        <v>1</v>
      </c>
      <c r="Y255" s="197">
        <f t="shared" si="301"/>
        <v>0</v>
      </c>
      <c r="Z255" s="197">
        <f t="shared" si="279"/>
        <v>2</v>
      </c>
      <c r="AA255" s="199" t="b">
        <f t="shared" si="3"/>
        <v>0</v>
      </c>
      <c r="AB255" s="199" t="b">
        <f t="shared" si="4"/>
        <v>0</v>
      </c>
      <c r="AC255" s="200">
        <f t="shared" ref="AC255:AD255" si="461">1-I255</f>
        <v>0.66999999999999993</v>
      </c>
      <c r="AD255" s="200">
        <f t="shared" si="461"/>
        <v>0.66999999999999993</v>
      </c>
      <c r="AE255" s="199">
        <f t="shared" si="6"/>
        <v>2</v>
      </c>
      <c r="AF255" s="201">
        <f t="shared" si="281"/>
        <v>0</v>
      </c>
      <c r="AG255" s="201">
        <f t="shared" si="8"/>
        <v>1</v>
      </c>
      <c r="AH255" s="202">
        <f t="shared" si="303"/>
        <v>0</v>
      </c>
      <c r="AI255" s="205"/>
      <c r="AJ255" s="337" t="s">
        <v>68</v>
      </c>
      <c r="AK255" s="1139">
        <f t="shared" ref="AK255:AK257" si="462">SUM(AO255+AM255+AQ255+AS250+AU250+AW250)</f>
        <v>27.67</v>
      </c>
      <c r="AL255" s="1007"/>
      <c r="AM255" s="1139">
        <f>SUMIFS($AE$2:$AE879, $D$2:$D879, "Rare", $E$2:$E879, "Classic", $F$2:F879, "Mage")</f>
        <v>10</v>
      </c>
      <c r="AN255" s="1007"/>
      <c r="AO255" s="1139">
        <f>SUMIFS($AE$2:$AE879, $D$2:$D879, "Rare", $E$2:$E879, "GvG", $F$2:F879, "Mage")</f>
        <v>5.67</v>
      </c>
      <c r="AP255" s="1007"/>
      <c r="AQ255" s="1139">
        <f>SUMIFS($AE$2:$AE879, $D$2:$D879, "Rare", $E$2:$E879, "TGT", $F$2:F879, "Mage")</f>
        <v>6</v>
      </c>
      <c r="AR255" s="1007"/>
      <c r="AS255" s="1139">
        <f>SUMIFS($AE$2:$AE879, $D$2:$D879, "Rare", $E$2:$E879, "TOG", $F$2:F879, "Mage")</f>
        <v>6</v>
      </c>
      <c r="AT255" s="1007"/>
      <c r="AU255" s="229"/>
      <c r="AV255" s="229"/>
      <c r="AW255" s="229"/>
      <c r="AX255" s="229"/>
    </row>
    <row r="256" spans="1:50" ht="14.25">
      <c r="A256" s="209"/>
      <c r="B256" s="187">
        <v>6</v>
      </c>
      <c r="C256" s="320" t="s">
        <v>660</v>
      </c>
      <c r="D256" s="321" t="s">
        <v>63</v>
      </c>
      <c r="E256" s="321" t="s">
        <v>77</v>
      </c>
      <c r="F256" s="321" t="s">
        <v>115</v>
      </c>
      <c r="G256" s="325">
        <v>2</v>
      </c>
      <c r="H256" s="322">
        <v>0</v>
      </c>
      <c r="I256" s="323">
        <v>0.33</v>
      </c>
      <c r="J256" s="323">
        <v>0.33</v>
      </c>
      <c r="K256" s="229" t="s">
        <v>182</v>
      </c>
      <c r="L256" s="329"/>
      <c r="M256" s="229">
        <v>5</v>
      </c>
      <c r="N256" s="229">
        <v>5</v>
      </c>
      <c r="O256" s="343" t="s">
        <v>661</v>
      </c>
      <c r="P256" s="292" t="s">
        <v>275</v>
      </c>
      <c r="Q256" s="321" t="s">
        <v>148</v>
      </c>
      <c r="R256" s="173"/>
      <c r="S256" s="195">
        <f>MATCH($D256,Reference!$J$5:$J$9,0)</f>
        <v>2</v>
      </c>
      <c r="T256" s="195">
        <f>MATCH($E256,Reference!$J$26:$J$32,0)</f>
        <v>2</v>
      </c>
      <c r="U256" s="195">
        <f>MATCH($F256,Reference!$J$45:$J$54,0)</f>
        <v>10</v>
      </c>
      <c r="V256" s="196">
        <f>MATCH($K256,Reference!$J$37:$J$39,0)</f>
        <v>3</v>
      </c>
      <c r="W256" s="197">
        <f t="shared" si="278"/>
        <v>2</v>
      </c>
      <c r="X256" s="197">
        <f t="shared" si="1"/>
        <v>1</v>
      </c>
      <c r="Y256" s="197">
        <f t="shared" si="301"/>
        <v>0</v>
      </c>
      <c r="Z256" s="197">
        <f t="shared" si="279"/>
        <v>2</v>
      </c>
      <c r="AA256" s="199" t="b">
        <f t="shared" si="3"/>
        <v>0</v>
      </c>
      <c r="AB256" s="199" t="b">
        <f t="shared" si="4"/>
        <v>0</v>
      </c>
      <c r="AC256" s="200">
        <f t="shared" ref="AC256:AD256" si="463">1-I256</f>
        <v>0.66999999999999993</v>
      </c>
      <c r="AD256" s="200">
        <f t="shared" si="463"/>
        <v>0.66999999999999993</v>
      </c>
      <c r="AE256" s="199">
        <f t="shared" si="6"/>
        <v>2</v>
      </c>
      <c r="AF256" s="201">
        <f t="shared" si="281"/>
        <v>0</v>
      </c>
      <c r="AG256" s="201">
        <f t="shared" si="8"/>
        <v>1</v>
      </c>
      <c r="AH256" s="202">
        <f t="shared" si="303"/>
        <v>0</v>
      </c>
      <c r="AI256" s="205"/>
      <c r="AJ256" s="339" t="s">
        <v>69</v>
      </c>
      <c r="AK256" s="1140">
        <f t="shared" si="462"/>
        <v>12.01</v>
      </c>
      <c r="AL256" s="1007"/>
      <c r="AM256" s="1140">
        <f>SUMIFS($AE$2:$AE879, $D$2:$D879, "Epic", $E$2:$E879, "Classic", $F$2:F879, "Mage")</f>
        <v>6</v>
      </c>
      <c r="AN256" s="1007"/>
      <c r="AO256" s="1140">
        <f>SUMIFS($AE$2:$AE879, $D$2:$D879, "Epic", $E$2:$E879, "GvG", $F$2:F879, "Mage")</f>
        <v>2.34</v>
      </c>
      <c r="AP256" s="1007"/>
      <c r="AQ256" s="1140">
        <f>SUMIFS($AE$2:$AE879, $D$2:$D879, "Epic", $E$2:$E879, "TGT", $F$2:F879, "Mage")</f>
        <v>2.67</v>
      </c>
      <c r="AR256" s="1007"/>
      <c r="AS256" s="1140">
        <f>SUMIFS($AE$2:$AE879, $D$2:$D879, "Epic", $E$2:$E879, "TOG", $F$2:F879, "Mage")</f>
        <v>0</v>
      </c>
      <c r="AT256" s="1007"/>
      <c r="AU256" s="229"/>
      <c r="AV256" s="229"/>
      <c r="AW256" s="229"/>
      <c r="AX256" s="229"/>
    </row>
    <row r="257" spans="1:50" ht="14.25">
      <c r="A257" s="187"/>
      <c r="B257" s="187">
        <v>6</v>
      </c>
      <c r="C257" s="320" t="s">
        <v>662</v>
      </c>
      <c r="D257" s="321" t="s">
        <v>63</v>
      </c>
      <c r="E257" s="321" t="s">
        <v>77</v>
      </c>
      <c r="F257" s="321" t="s">
        <v>115</v>
      </c>
      <c r="G257" s="325">
        <v>2</v>
      </c>
      <c r="H257" s="325">
        <v>0</v>
      </c>
      <c r="I257" s="323">
        <v>0</v>
      </c>
      <c r="J257" s="323">
        <v>0</v>
      </c>
      <c r="K257" s="229" t="s">
        <v>182</v>
      </c>
      <c r="L257" s="229"/>
      <c r="M257" s="229">
        <v>5</v>
      </c>
      <c r="N257" s="229">
        <v>4</v>
      </c>
      <c r="O257" s="326" t="s">
        <v>663</v>
      </c>
      <c r="P257" s="289" t="s">
        <v>184</v>
      </c>
      <c r="Q257" s="321" t="s">
        <v>148</v>
      </c>
      <c r="R257" s="173"/>
      <c r="S257" s="195">
        <f>MATCH($D257,Reference!$J$5:$J$9,0)</f>
        <v>2</v>
      </c>
      <c r="T257" s="195">
        <f>MATCH($E257,Reference!$J$26:$J$32,0)</f>
        <v>2</v>
      </c>
      <c r="U257" s="195">
        <f>MATCH($F257,Reference!$J$45:$J$54,0)</f>
        <v>10</v>
      </c>
      <c r="V257" s="196">
        <f>MATCH($K257,Reference!$J$37:$J$39,0)</f>
        <v>3</v>
      </c>
      <c r="W257" s="197">
        <f t="shared" si="278"/>
        <v>2</v>
      </c>
      <c r="X257" s="197">
        <f t="shared" si="1"/>
        <v>1</v>
      </c>
      <c r="Y257" s="197">
        <f t="shared" si="301"/>
        <v>0</v>
      </c>
      <c r="Z257" s="197">
        <f t="shared" si="279"/>
        <v>2</v>
      </c>
      <c r="AA257" s="199" t="b">
        <f t="shared" si="3"/>
        <v>0</v>
      </c>
      <c r="AB257" s="199" t="b">
        <f t="shared" si="4"/>
        <v>0</v>
      </c>
      <c r="AC257" s="200">
        <f t="shared" ref="AC257:AD257" si="464">1-I257</f>
        <v>1</v>
      </c>
      <c r="AD257" s="200">
        <f t="shared" si="464"/>
        <v>1</v>
      </c>
      <c r="AE257" s="199">
        <f t="shared" si="6"/>
        <v>2</v>
      </c>
      <c r="AF257" s="201">
        <f t="shared" si="281"/>
        <v>0</v>
      </c>
      <c r="AG257" s="201">
        <f t="shared" si="8"/>
        <v>1</v>
      </c>
      <c r="AH257" s="202">
        <f t="shared" si="303"/>
        <v>0</v>
      </c>
      <c r="AI257" s="205"/>
      <c r="AJ257" s="340" t="s">
        <v>70</v>
      </c>
      <c r="AK257" s="1141">
        <f t="shared" si="462"/>
        <v>4</v>
      </c>
      <c r="AL257" s="1007"/>
      <c r="AM257" s="1141">
        <f>SUMIFS($AE$2:$AE879, $D$2:$D879, "Legendary", $E$2:$E879, "Classic", $F$2:F879, "Mage")</f>
        <v>1</v>
      </c>
      <c r="AN257" s="1007"/>
      <c r="AO257" s="1141">
        <f>SUMIFS($AE$2:$AE879, $D$2:$D879, "Legendary", $E$2:$E879, "GvG", $F$2:F879, "Mage")</f>
        <v>1</v>
      </c>
      <c r="AP257" s="1007"/>
      <c r="AQ257" s="1141">
        <f>SUMIFS($AE$2:$AE879, $D$2:$D879, "Legendary", $E$2:$E879, "TGT", $F$2:F879, "Mage")</f>
        <v>1</v>
      </c>
      <c r="AR257" s="1007"/>
      <c r="AS257" s="1141">
        <f>SUMIFS($AE$2:$AE879, $D$2:$D879, "Legendary", $E$2:$E879, "TOG", $F$2:F879, "Mage")</f>
        <v>0</v>
      </c>
      <c r="AT257" s="1007"/>
      <c r="AU257" s="229"/>
      <c r="AV257" s="229"/>
      <c r="AW257" s="229"/>
      <c r="AX257" s="229"/>
    </row>
    <row r="258" spans="1:50" ht="14.25">
      <c r="A258" s="187"/>
      <c r="B258" s="187">
        <v>6</v>
      </c>
      <c r="C258" s="320" t="s">
        <v>664</v>
      </c>
      <c r="D258" s="321" t="s">
        <v>63</v>
      </c>
      <c r="E258" s="321" t="s">
        <v>77</v>
      </c>
      <c r="F258" s="321" t="s">
        <v>18</v>
      </c>
      <c r="G258" s="325">
        <v>2</v>
      </c>
      <c r="H258" s="325">
        <v>0</v>
      </c>
      <c r="I258" s="323">
        <v>0.33</v>
      </c>
      <c r="J258" s="323">
        <v>0.33</v>
      </c>
      <c r="K258" s="229" t="s">
        <v>182</v>
      </c>
      <c r="L258" s="229"/>
      <c r="M258" s="229">
        <v>6</v>
      </c>
      <c r="N258" s="229">
        <v>6</v>
      </c>
      <c r="O258" s="326" t="s">
        <v>665</v>
      </c>
      <c r="P258" s="289" t="s">
        <v>184</v>
      </c>
      <c r="Q258" s="321" t="s">
        <v>148</v>
      </c>
      <c r="R258" s="173"/>
      <c r="S258" s="195">
        <f>MATCH($D258,Reference!$J$5:$J$9,0)</f>
        <v>2</v>
      </c>
      <c r="T258" s="195">
        <f>MATCH($E258,Reference!$J$26:$J$32,0)</f>
        <v>2</v>
      </c>
      <c r="U258" s="195">
        <f>MATCH($F258,Reference!$J$45:$J$54,0)</f>
        <v>5</v>
      </c>
      <c r="V258" s="196">
        <f>MATCH($K258,Reference!$J$37:$J$39,0)</f>
        <v>3</v>
      </c>
      <c r="W258" s="197">
        <f t="shared" si="278"/>
        <v>2</v>
      </c>
      <c r="X258" s="197">
        <f t="shared" si="1"/>
        <v>1</v>
      </c>
      <c r="Y258" s="197">
        <f t="shared" si="301"/>
        <v>0</v>
      </c>
      <c r="Z258" s="197">
        <f t="shared" si="279"/>
        <v>2</v>
      </c>
      <c r="AA258" s="199" t="b">
        <f t="shared" si="3"/>
        <v>0</v>
      </c>
      <c r="AB258" s="199" t="b">
        <f t="shared" si="4"/>
        <v>0</v>
      </c>
      <c r="AC258" s="200">
        <f t="shared" ref="AC258:AD258" si="465">1-I258</f>
        <v>0.66999999999999993</v>
      </c>
      <c r="AD258" s="200">
        <f t="shared" si="465"/>
        <v>0.66999999999999993</v>
      </c>
      <c r="AE258" s="199">
        <f t="shared" si="6"/>
        <v>2</v>
      </c>
      <c r="AF258" s="201">
        <f t="shared" si="281"/>
        <v>0</v>
      </c>
      <c r="AG258" s="201">
        <f t="shared" si="8"/>
        <v>1</v>
      </c>
      <c r="AH258" s="202">
        <f t="shared" si="303"/>
        <v>0</v>
      </c>
      <c r="AI258" s="205"/>
      <c r="AJ258" s="335" t="s">
        <v>16</v>
      </c>
      <c r="AK258" s="1133" t="s">
        <v>22</v>
      </c>
      <c r="AL258" s="1102"/>
      <c r="AM258" s="1135" t="s">
        <v>77</v>
      </c>
      <c r="AN258" s="1102"/>
      <c r="AO258" s="1135" t="s">
        <v>80</v>
      </c>
      <c r="AP258" s="1102"/>
      <c r="AQ258" s="1135" t="s">
        <v>82</v>
      </c>
      <c r="AR258" s="1102"/>
      <c r="AS258" s="1133" t="s">
        <v>73</v>
      </c>
      <c r="AT258" s="1102"/>
      <c r="AU258" s="173"/>
      <c r="AV258" s="173"/>
    </row>
    <row r="259" spans="1:50" ht="14.25">
      <c r="A259" s="187"/>
      <c r="B259" s="187">
        <v>6</v>
      </c>
      <c r="C259" s="320" t="s">
        <v>666</v>
      </c>
      <c r="D259" s="321" t="s">
        <v>63</v>
      </c>
      <c r="E259" s="321" t="s">
        <v>77</v>
      </c>
      <c r="F259" s="321" t="s">
        <v>115</v>
      </c>
      <c r="G259" s="325">
        <v>2</v>
      </c>
      <c r="H259" s="325">
        <v>0</v>
      </c>
      <c r="I259" s="323">
        <v>0</v>
      </c>
      <c r="J259" s="323">
        <v>0</v>
      </c>
      <c r="K259" s="229" t="s">
        <v>182</v>
      </c>
      <c r="L259" s="229"/>
      <c r="M259" s="229">
        <v>4</v>
      </c>
      <c r="N259" s="229">
        <v>5</v>
      </c>
      <c r="O259" s="326" t="s">
        <v>541</v>
      </c>
      <c r="P259" s="289" t="s">
        <v>667</v>
      </c>
      <c r="Q259" s="321" t="s">
        <v>148</v>
      </c>
      <c r="R259" s="173"/>
      <c r="S259" s="195">
        <f>MATCH($D259,Reference!$J$5:$J$9,0)</f>
        <v>2</v>
      </c>
      <c r="T259" s="195">
        <f>MATCH($E259,Reference!$J$26:$J$32,0)</f>
        <v>2</v>
      </c>
      <c r="U259" s="195">
        <f>MATCH($F259,Reference!$J$45:$J$54,0)</f>
        <v>10</v>
      </c>
      <c r="V259" s="196">
        <f>MATCH($K259,Reference!$J$37:$J$39,0)</f>
        <v>3</v>
      </c>
      <c r="W259" s="197">
        <f t="shared" si="278"/>
        <v>2</v>
      </c>
      <c r="X259" s="197">
        <f t="shared" si="1"/>
        <v>1</v>
      </c>
      <c r="Y259" s="197">
        <f t="shared" si="301"/>
        <v>0</v>
      </c>
      <c r="Z259" s="197">
        <f t="shared" si="279"/>
        <v>2</v>
      </c>
      <c r="AA259" s="199" t="b">
        <f t="shared" si="3"/>
        <v>0</v>
      </c>
      <c r="AB259" s="199" t="b">
        <f t="shared" si="4"/>
        <v>0</v>
      </c>
      <c r="AC259" s="200">
        <f t="shared" ref="AC259:AD259" si="466">1-I259</f>
        <v>1</v>
      </c>
      <c r="AD259" s="200">
        <f t="shared" si="466"/>
        <v>1</v>
      </c>
      <c r="AE259" s="199">
        <f t="shared" si="6"/>
        <v>2</v>
      </c>
      <c r="AF259" s="201">
        <f t="shared" si="281"/>
        <v>0</v>
      </c>
      <c r="AG259" s="201">
        <f t="shared" si="8"/>
        <v>1</v>
      </c>
      <c r="AH259" s="202">
        <f t="shared" si="303"/>
        <v>0</v>
      </c>
      <c r="AI259" s="205"/>
      <c r="AJ259" s="336" t="s">
        <v>63</v>
      </c>
      <c r="AK259" s="1142">
        <f>SUM(AO259+AM259+AQ259)</f>
        <v>22</v>
      </c>
      <c r="AL259" s="1007"/>
      <c r="AM259" s="1142">
        <f>SUMIFS($AE$2:$AE879, $D$2:$D879, "Common", $E$2:$E879, "Classic", $F$2:F879, "Paladin")</f>
        <v>12</v>
      </c>
      <c r="AN259" s="1007"/>
      <c r="AO259" s="1142">
        <f>SUMIFS($AE$2:$AE879, $D$2:$D879, "Common", $E$2:$E879, "GvG", $F$2:F879, "Paladin")</f>
        <v>4</v>
      </c>
      <c r="AP259" s="1007"/>
      <c r="AQ259" s="1142">
        <f>SUMIFS($AE$2:$AE879, $D$2:$D879, "Common", $E$2:$E879, "TGT", $F$2:F879, "Paladin")</f>
        <v>6</v>
      </c>
      <c r="AR259" s="1007"/>
      <c r="AS259" s="1142">
        <f>SUMIFS($AE$2:$AE879, $D$2:$D879, "Common", $E$2:$E879, "TOG", $F$2:F879, "Paladin")</f>
        <v>6</v>
      </c>
      <c r="AT259" s="1007"/>
      <c r="AU259" s="229"/>
      <c r="AV259" s="229"/>
      <c r="AW259" s="229"/>
      <c r="AX259" s="229"/>
    </row>
    <row r="260" spans="1:50" ht="14.25">
      <c r="A260" s="209"/>
      <c r="B260" s="344">
        <v>0</v>
      </c>
      <c r="C260" s="345" t="s">
        <v>668</v>
      </c>
      <c r="D260" s="346" t="s">
        <v>69</v>
      </c>
      <c r="E260" s="346" t="s">
        <v>77</v>
      </c>
      <c r="F260" s="346" t="s">
        <v>20</v>
      </c>
      <c r="G260" s="347">
        <v>2</v>
      </c>
      <c r="H260" s="347">
        <v>0</v>
      </c>
      <c r="I260" s="348">
        <v>1</v>
      </c>
      <c r="J260" s="348">
        <v>1</v>
      </c>
      <c r="K260" s="272" t="s">
        <v>146</v>
      </c>
      <c r="L260" s="272"/>
      <c r="M260" s="272"/>
      <c r="N260" s="272"/>
      <c r="O260" s="349" t="s">
        <v>669</v>
      </c>
      <c r="P260" s="350"/>
      <c r="Q260" s="346" t="s">
        <v>148</v>
      </c>
      <c r="R260" s="173"/>
      <c r="S260" s="195">
        <f>MATCH($D260,Reference!$J$5:$J$9,0)</f>
        <v>4</v>
      </c>
      <c r="T260" s="195">
        <f>MATCH($E260,Reference!$J$26:$J$32,0)</f>
        <v>2</v>
      </c>
      <c r="U260" s="195">
        <f>MATCH($F260,Reference!$J$45:$J$54,0)</f>
        <v>6</v>
      </c>
      <c r="V260" s="196">
        <f>MATCH($K260,Reference!$J$37:$J$39,0)</f>
        <v>2</v>
      </c>
      <c r="W260" s="197">
        <f t="shared" si="278"/>
        <v>2</v>
      </c>
      <c r="X260" s="197">
        <f t="shared" si="1"/>
        <v>1</v>
      </c>
      <c r="Y260" s="197">
        <f t="shared" ref="Y260:Y296" si="467">(MIN(G260,2)+H260-W260)*400</f>
        <v>0</v>
      </c>
      <c r="Z260" s="197">
        <f t="shared" si="279"/>
        <v>2</v>
      </c>
      <c r="AA260" s="199" t="b">
        <f t="shared" si="3"/>
        <v>0</v>
      </c>
      <c r="AB260" s="199" t="b">
        <f t="shared" si="4"/>
        <v>0</v>
      </c>
      <c r="AC260" s="200">
        <f t="shared" ref="AC260:AD260" si="468">1-I260</f>
        <v>0</v>
      </c>
      <c r="AD260" s="200">
        <f t="shared" si="468"/>
        <v>0</v>
      </c>
      <c r="AE260" s="199">
        <f t="shared" si="6"/>
        <v>2</v>
      </c>
      <c r="AF260" s="201">
        <f t="shared" si="281"/>
        <v>0</v>
      </c>
      <c r="AG260" s="201">
        <f t="shared" si="8"/>
        <v>1</v>
      </c>
      <c r="AH260" s="202">
        <f t="shared" ref="AH260:AH282" si="469">(MIN(H260,2)+G260-W260)*100</f>
        <v>0</v>
      </c>
      <c r="AI260" s="205"/>
      <c r="AJ260" s="337" t="s">
        <v>68</v>
      </c>
      <c r="AK260" s="1139">
        <f t="shared" ref="AK260:AK262" si="470">SUM(AO260+AM260+AQ260+AS255+AU255+AW255)</f>
        <v>26.67</v>
      </c>
      <c r="AL260" s="1007"/>
      <c r="AM260" s="1139">
        <f>SUMIFS($AE$2:$AE879, $D$2:$D879, "Rare", $E$2:$E879, "Classic", $F$2:F879, "Paladin")</f>
        <v>9</v>
      </c>
      <c r="AN260" s="1007"/>
      <c r="AO260" s="1139">
        <f>SUMIFS($AE$2:$AE879, $D$2:$D879, "Rare", $E$2:$E879, "GvG", $F$2:F879, "Paladin")</f>
        <v>5.67</v>
      </c>
      <c r="AP260" s="1007"/>
      <c r="AQ260" s="1139">
        <f>SUMIFS($AE$2:$AE879, $D$2:$D879, "Rare", $E$2:$E879, "TGT", $F$2:F879, "Paladin")</f>
        <v>6</v>
      </c>
      <c r="AR260" s="1007"/>
      <c r="AS260" s="1139">
        <f>SUMIFS($AE$2:$AE879, $D$2:$D879, "Rare", $E$2:$E879, "TOG", $F$2:F879, "Paladin")</f>
        <v>2</v>
      </c>
      <c r="AT260" s="1007"/>
      <c r="AU260" s="229"/>
      <c r="AV260" s="229"/>
      <c r="AW260" s="229"/>
      <c r="AX260" s="229"/>
    </row>
    <row r="261" spans="1:50" ht="14.25">
      <c r="A261" s="187"/>
      <c r="B261" s="344">
        <v>1</v>
      </c>
      <c r="C261" s="345" t="s">
        <v>670</v>
      </c>
      <c r="D261" s="346" t="s">
        <v>69</v>
      </c>
      <c r="E261" s="346" t="s">
        <v>77</v>
      </c>
      <c r="F261" s="346" t="s">
        <v>11</v>
      </c>
      <c r="G261" s="347">
        <v>0</v>
      </c>
      <c r="H261" s="347">
        <v>0</v>
      </c>
      <c r="I261" s="348">
        <v>0</v>
      </c>
      <c r="J261" s="348">
        <v>0</v>
      </c>
      <c r="K261" s="272" t="s">
        <v>146</v>
      </c>
      <c r="L261" s="272"/>
      <c r="M261" s="272"/>
      <c r="N261" s="272"/>
      <c r="O261" s="349" t="s">
        <v>671</v>
      </c>
      <c r="P261" s="350"/>
      <c r="Q261" s="346" t="s">
        <v>148</v>
      </c>
      <c r="R261" s="173"/>
      <c r="S261" s="195">
        <f>MATCH($D261,Reference!$J$5:$J$9,0)</f>
        <v>4</v>
      </c>
      <c r="T261" s="195">
        <f>MATCH($E261,Reference!$J$26:$J$32,0)</f>
        <v>2</v>
      </c>
      <c r="U261" s="195">
        <f>MATCH($F261,Reference!$J$45:$J$54,0)</f>
        <v>2</v>
      </c>
      <c r="V261" s="196">
        <f>MATCH($K261,Reference!$J$37:$J$39,0)</f>
        <v>2</v>
      </c>
      <c r="W261" s="197">
        <f t="shared" si="278"/>
        <v>0</v>
      </c>
      <c r="X261" s="197">
        <f t="shared" si="1"/>
        <v>0</v>
      </c>
      <c r="Y261" s="197">
        <f t="shared" si="467"/>
        <v>0</v>
      </c>
      <c r="Z261" s="197">
        <f t="shared" si="279"/>
        <v>0</v>
      </c>
      <c r="AA261" s="199" t="b">
        <f t="shared" si="3"/>
        <v>1</v>
      </c>
      <c r="AB261" s="199" t="b">
        <f t="shared" si="4"/>
        <v>1</v>
      </c>
      <c r="AC261" s="200">
        <f t="shared" ref="AC261:AD261" si="471">1-I261</f>
        <v>1</v>
      </c>
      <c r="AD261" s="200">
        <f t="shared" si="471"/>
        <v>1</v>
      </c>
      <c r="AE261" s="199">
        <f t="shared" si="6"/>
        <v>2</v>
      </c>
      <c r="AF261" s="201">
        <f t="shared" si="281"/>
        <v>0</v>
      </c>
      <c r="AG261" s="201">
        <f t="shared" si="8"/>
        <v>0</v>
      </c>
      <c r="AH261" s="202">
        <f t="shared" si="469"/>
        <v>0</v>
      </c>
      <c r="AI261" s="205"/>
      <c r="AJ261" s="339" t="s">
        <v>69</v>
      </c>
      <c r="AK261" s="1140">
        <f t="shared" si="470"/>
        <v>12.02</v>
      </c>
      <c r="AL261" s="1007"/>
      <c r="AM261" s="1140">
        <f>SUMIFS($AE$2:$AE879, $D$2:$D879, "Epic", $E$2:$E879, "Classic", $F$2:F879, "Paladin")</f>
        <v>4.0199999999999996</v>
      </c>
      <c r="AN261" s="1007"/>
      <c r="AO261" s="1140">
        <f>SUMIFS($AE$2:$AE879, $D$2:$D879, "Epic", $E$2:$E879, "GvG", $F$2:F879, "Paladin")</f>
        <v>4</v>
      </c>
      <c r="AP261" s="1007"/>
      <c r="AQ261" s="1140">
        <f>SUMIFS($AE$2:$AE879, $D$2:$D879, "Epic", $E$2:$E879, "TGT", $F$2:F879, "Paladin")</f>
        <v>4</v>
      </c>
      <c r="AR261" s="1007"/>
      <c r="AS261" s="1140">
        <f>SUMIFS($AE$2:$AE879, $D$2:$D879, "Epic", $E$2:$E879, "TOG", $F$2:F879, "Paladin")</f>
        <v>1</v>
      </c>
      <c r="AT261" s="1007"/>
      <c r="AU261" s="229"/>
      <c r="AV261" s="229"/>
      <c r="AW261" s="229"/>
      <c r="AX261" s="229"/>
    </row>
    <row r="262" spans="1:50" ht="14.25">
      <c r="A262" s="187"/>
      <c r="B262" s="344">
        <v>1</v>
      </c>
      <c r="C262" s="345" t="s">
        <v>672</v>
      </c>
      <c r="D262" s="346" t="s">
        <v>69</v>
      </c>
      <c r="E262" s="346" t="s">
        <v>77</v>
      </c>
      <c r="F262" s="346" t="s">
        <v>115</v>
      </c>
      <c r="G262" s="347">
        <v>0</v>
      </c>
      <c r="H262" s="347">
        <v>0</v>
      </c>
      <c r="I262" s="348">
        <v>0.33</v>
      </c>
      <c r="J262" s="348">
        <v>0</v>
      </c>
      <c r="K262" s="272" t="s">
        <v>182</v>
      </c>
      <c r="L262" s="272" t="s">
        <v>230</v>
      </c>
      <c r="M262" s="272">
        <v>1</v>
      </c>
      <c r="N262" s="272">
        <v>2</v>
      </c>
      <c r="O262" s="349" t="s">
        <v>673</v>
      </c>
      <c r="P262" s="350" t="s">
        <v>184</v>
      </c>
      <c r="Q262" s="346" t="s">
        <v>148</v>
      </c>
      <c r="R262" s="173"/>
      <c r="S262" s="195">
        <f>MATCH($D262,Reference!$J$5:$J$9,0)</f>
        <v>4</v>
      </c>
      <c r="T262" s="195">
        <f>MATCH($E262,Reference!$J$26:$J$32,0)</f>
        <v>2</v>
      </c>
      <c r="U262" s="195">
        <f>MATCH($F262,Reference!$J$45:$J$54,0)</f>
        <v>10</v>
      </c>
      <c r="V262" s="196">
        <f>MATCH($K262,Reference!$J$37:$J$39,0)</f>
        <v>3</v>
      </c>
      <c r="W262" s="197">
        <f t="shared" si="278"/>
        <v>0</v>
      </c>
      <c r="X262" s="197">
        <f t="shared" si="1"/>
        <v>0</v>
      </c>
      <c r="Y262" s="197">
        <f t="shared" si="467"/>
        <v>0</v>
      </c>
      <c r="Z262" s="197">
        <f t="shared" si="279"/>
        <v>0</v>
      </c>
      <c r="AA262" s="199" t="b">
        <f t="shared" si="3"/>
        <v>1</v>
      </c>
      <c r="AB262" s="199" t="b">
        <f t="shared" si="4"/>
        <v>1</v>
      </c>
      <c r="AC262" s="200">
        <f t="shared" ref="AC262:AD262" si="472">1-I262</f>
        <v>0.66999999999999993</v>
      </c>
      <c r="AD262" s="200">
        <f t="shared" si="472"/>
        <v>1</v>
      </c>
      <c r="AE262" s="199">
        <f t="shared" si="6"/>
        <v>1.67</v>
      </c>
      <c r="AF262" s="201">
        <f t="shared" si="281"/>
        <v>0</v>
      </c>
      <c r="AG262" s="201">
        <f t="shared" si="8"/>
        <v>0</v>
      </c>
      <c r="AH262" s="202">
        <f t="shared" si="469"/>
        <v>0</v>
      </c>
      <c r="AI262" s="205"/>
      <c r="AJ262" s="340" t="s">
        <v>70</v>
      </c>
      <c r="AK262" s="1141">
        <f t="shared" si="470"/>
        <v>3</v>
      </c>
      <c r="AL262" s="1007"/>
      <c r="AM262" s="1141">
        <f>SUMIFS($AE$2:$AE879, $D$2:$D879, "Legendary", $E$2:$E879, "Classic", $F$2:F879, "Paladin")</f>
        <v>1</v>
      </c>
      <c r="AN262" s="1007"/>
      <c r="AO262" s="1141">
        <f>SUMIFS($AE$2:$AE879, $D$2:$D879, "Legendary", $E$2:$E879, "GvG", $F$2:F879, "Paladin")</f>
        <v>1</v>
      </c>
      <c r="AP262" s="1007"/>
      <c r="AQ262" s="1141">
        <f>SUMIFS($AE$2:$AE879, $D$2:$D879, "Legendary", $E$2:$E879, "TGT", $F$2:F879, "Paladin")</f>
        <v>1</v>
      </c>
      <c r="AR262" s="1007"/>
      <c r="AS262" s="1141">
        <f>SUMIFS($AE$2:$AE879, $D$2:$D879, "Legendary", $E$2:$E879, "TOG", $F$2:F879, "Paladin")</f>
        <v>0</v>
      </c>
      <c r="AT262" s="1007"/>
      <c r="AU262" s="229"/>
      <c r="AV262" s="229"/>
      <c r="AW262" s="229"/>
      <c r="AX262" s="229"/>
    </row>
    <row r="263" spans="1:50" ht="14.25">
      <c r="A263" s="206"/>
      <c r="B263" s="344">
        <v>1</v>
      </c>
      <c r="C263" s="345" t="s">
        <v>674</v>
      </c>
      <c r="D263" s="346" t="s">
        <v>69</v>
      </c>
      <c r="E263" s="346" t="s">
        <v>77</v>
      </c>
      <c r="F263" s="346" t="s">
        <v>26</v>
      </c>
      <c r="G263" s="347">
        <v>2</v>
      </c>
      <c r="H263" s="347">
        <v>0</v>
      </c>
      <c r="I263" s="348">
        <v>1</v>
      </c>
      <c r="J263" s="348">
        <v>1</v>
      </c>
      <c r="K263" s="272" t="s">
        <v>146</v>
      </c>
      <c r="L263" s="272"/>
      <c r="M263" s="272"/>
      <c r="N263" s="272"/>
      <c r="O263" s="349" t="s">
        <v>675</v>
      </c>
      <c r="P263" s="350"/>
      <c r="Q263" s="346" t="s">
        <v>148</v>
      </c>
      <c r="R263" s="173"/>
      <c r="S263" s="195">
        <f>MATCH($D263,Reference!$J$5:$J$9,0)</f>
        <v>4</v>
      </c>
      <c r="T263" s="195">
        <f>MATCH($E263,Reference!$J$26:$J$32,0)</f>
        <v>2</v>
      </c>
      <c r="U263" s="195">
        <f>MATCH($F263,Reference!$J$45:$J$54,0)</f>
        <v>9</v>
      </c>
      <c r="V263" s="196">
        <f>MATCH($K263,Reference!$J$37:$J$39,0)</f>
        <v>2</v>
      </c>
      <c r="W263" s="197">
        <f t="shared" si="278"/>
        <v>2</v>
      </c>
      <c r="X263" s="197">
        <f t="shared" si="1"/>
        <v>1</v>
      </c>
      <c r="Y263" s="197">
        <f t="shared" si="467"/>
        <v>0</v>
      </c>
      <c r="Z263" s="197">
        <f t="shared" si="279"/>
        <v>2</v>
      </c>
      <c r="AA263" s="199" t="b">
        <f t="shared" si="3"/>
        <v>0</v>
      </c>
      <c r="AB263" s="199" t="b">
        <f t="shared" si="4"/>
        <v>0</v>
      </c>
      <c r="AC263" s="200">
        <f t="shared" ref="AC263:AD263" si="473">1-I263</f>
        <v>0</v>
      </c>
      <c r="AD263" s="200">
        <f t="shared" si="473"/>
        <v>0</v>
      </c>
      <c r="AE263" s="199">
        <f t="shared" si="6"/>
        <v>2</v>
      </c>
      <c r="AF263" s="201">
        <f t="shared" si="281"/>
        <v>0</v>
      </c>
      <c r="AG263" s="201">
        <f t="shared" si="8"/>
        <v>1</v>
      </c>
      <c r="AH263" s="202">
        <f t="shared" si="469"/>
        <v>0</v>
      </c>
      <c r="AI263" s="205"/>
      <c r="AJ263" s="335" t="s">
        <v>18</v>
      </c>
      <c r="AK263" s="1133" t="s">
        <v>22</v>
      </c>
      <c r="AL263" s="1102"/>
      <c r="AM263" s="1135" t="s">
        <v>77</v>
      </c>
      <c r="AN263" s="1102"/>
      <c r="AO263" s="1135" t="s">
        <v>80</v>
      </c>
      <c r="AP263" s="1102"/>
      <c r="AQ263" s="1135" t="s">
        <v>82</v>
      </c>
      <c r="AR263" s="1102"/>
      <c r="AS263" s="1133" t="s">
        <v>73</v>
      </c>
      <c r="AT263" s="1102"/>
      <c r="AU263" s="173"/>
      <c r="AV263" s="173"/>
    </row>
    <row r="264" spans="1:50" ht="14.25">
      <c r="A264" s="187"/>
      <c r="B264" s="344">
        <v>2</v>
      </c>
      <c r="C264" s="345" t="s">
        <v>676</v>
      </c>
      <c r="D264" s="346" t="s">
        <v>69</v>
      </c>
      <c r="E264" s="346" t="s">
        <v>77</v>
      </c>
      <c r="F264" s="346" t="s">
        <v>115</v>
      </c>
      <c r="G264" s="347">
        <v>2</v>
      </c>
      <c r="H264" s="347">
        <v>0</v>
      </c>
      <c r="I264" s="348">
        <v>0.66</v>
      </c>
      <c r="J264" s="348">
        <v>0.66</v>
      </c>
      <c r="K264" s="272" t="s">
        <v>182</v>
      </c>
      <c r="L264" s="272"/>
      <c r="M264" s="272">
        <v>0</v>
      </c>
      <c r="N264" s="272">
        <v>7</v>
      </c>
      <c r="O264" s="349" t="s">
        <v>677</v>
      </c>
      <c r="P264" s="350"/>
      <c r="Q264" s="346" t="s">
        <v>148</v>
      </c>
      <c r="R264" s="173"/>
      <c r="S264" s="195">
        <f>MATCH($D264,Reference!$J$5:$J$9,0)</f>
        <v>4</v>
      </c>
      <c r="T264" s="195">
        <f>MATCH($E264,Reference!$J$26:$J$32,0)</f>
        <v>2</v>
      </c>
      <c r="U264" s="195">
        <f>MATCH($F264,Reference!$J$45:$J$54,0)</f>
        <v>10</v>
      </c>
      <c r="V264" s="196">
        <f>MATCH($K264,Reference!$J$37:$J$39,0)</f>
        <v>3</v>
      </c>
      <c r="W264" s="197">
        <f t="shared" si="278"/>
        <v>2</v>
      </c>
      <c r="X264" s="197">
        <f t="shared" si="1"/>
        <v>1</v>
      </c>
      <c r="Y264" s="197">
        <f t="shared" si="467"/>
        <v>0</v>
      </c>
      <c r="Z264" s="197">
        <f t="shared" si="279"/>
        <v>2</v>
      </c>
      <c r="AA264" s="199" t="b">
        <f t="shared" si="3"/>
        <v>0</v>
      </c>
      <c r="AB264" s="199" t="b">
        <f t="shared" si="4"/>
        <v>0</v>
      </c>
      <c r="AC264" s="200">
        <f t="shared" ref="AC264:AD264" si="474">1-I264</f>
        <v>0.33999999999999997</v>
      </c>
      <c r="AD264" s="200">
        <f t="shared" si="474"/>
        <v>0.33999999999999997</v>
      </c>
      <c r="AE264" s="199">
        <f t="shared" si="6"/>
        <v>2</v>
      </c>
      <c r="AF264" s="201">
        <f t="shared" si="281"/>
        <v>0</v>
      </c>
      <c r="AG264" s="201">
        <f t="shared" si="8"/>
        <v>1</v>
      </c>
      <c r="AH264" s="202">
        <f t="shared" si="469"/>
        <v>0</v>
      </c>
      <c r="AI264" s="205"/>
      <c r="AJ264" s="336" t="s">
        <v>63</v>
      </c>
      <c r="AK264" s="1142">
        <f>SUM(AO264+AM264+AQ264)</f>
        <v>22</v>
      </c>
      <c r="AL264" s="1007"/>
      <c r="AM264" s="1142">
        <f>SUMIFS($AE$2:$AE879, $D$2:$D879, "Common", $E$2:$E879, "Classic", $F$2:F879, "Priest")</f>
        <v>12</v>
      </c>
      <c r="AN264" s="1007"/>
      <c r="AO264" s="1142">
        <f>SUMIFS($AE$2:$AE879, $D$2:$D879, "Common", $E$2:$E879, "GvG", $F$2:F879, "Priest")</f>
        <v>4</v>
      </c>
      <c r="AP264" s="1007"/>
      <c r="AQ264" s="1142">
        <f>SUMIFS($AE$2:$AE879, $D$2:$D879, "Common", $E$2:$E879, "TGT", $F$2:F879, "Priest")</f>
        <v>6</v>
      </c>
      <c r="AR264" s="1007"/>
      <c r="AS264" s="1142">
        <f>SUMIFS($AE$2:$AE879, $D$2:$D879, "Common", $E$2:$E879, "TOG", $F$2:F879, "Priest")</f>
        <v>5</v>
      </c>
      <c r="AT264" s="1007"/>
      <c r="AU264" s="229"/>
      <c r="AV264" s="229"/>
      <c r="AW264" s="229"/>
      <c r="AX264" s="229"/>
    </row>
    <row r="265" spans="1:50" ht="14.25">
      <c r="A265" s="211"/>
      <c r="B265" s="344">
        <v>2</v>
      </c>
      <c r="C265" s="345" t="s">
        <v>678</v>
      </c>
      <c r="D265" s="346" t="s">
        <v>69</v>
      </c>
      <c r="E265" s="346" t="s">
        <v>77</v>
      </c>
      <c r="F265" s="346" t="s">
        <v>20</v>
      </c>
      <c r="G265" s="347">
        <v>0</v>
      </c>
      <c r="H265" s="347">
        <v>0</v>
      </c>
      <c r="I265" s="348">
        <v>0</v>
      </c>
      <c r="J265" s="348">
        <v>0</v>
      </c>
      <c r="K265" s="272" t="s">
        <v>182</v>
      </c>
      <c r="L265" s="272"/>
      <c r="M265" s="272">
        <v>1</v>
      </c>
      <c r="N265" s="272">
        <v>1</v>
      </c>
      <c r="O265" s="349" t="s">
        <v>679</v>
      </c>
      <c r="P265" s="350" t="s">
        <v>497</v>
      </c>
      <c r="Q265" s="346" t="s">
        <v>148</v>
      </c>
      <c r="R265" s="173"/>
      <c r="S265" s="195">
        <f>MATCH($D265,Reference!$J$5:$J$9,0)</f>
        <v>4</v>
      </c>
      <c r="T265" s="195">
        <f>MATCH($E265,Reference!$J$26:$J$32,0)</f>
        <v>2</v>
      </c>
      <c r="U265" s="195">
        <f>MATCH($F265,Reference!$J$45:$J$54,0)</f>
        <v>6</v>
      </c>
      <c r="V265" s="196">
        <f>MATCH($K265,Reference!$J$37:$J$39,0)</f>
        <v>3</v>
      </c>
      <c r="W265" s="197">
        <f t="shared" si="278"/>
        <v>0</v>
      </c>
      <c r="X265" s="197">
        <f t="shared" si="1"/>
        <v>0</v>
      </c>
      <c r="Y265" s="197">
        <f t="shared" si="467"/>
        <v>0</v>
      </c>
      <c r="Z265" s="197">
        <f t="shared" si="279"/>
        <v>0</v>
      </c>
      <c r="AA265" s="199" t="b">
        <f t="shared" si="3"/>
        <v>1</v>
      </c>
      <c r="AB265" s="199" t="b">
        <f t="shared" si="4"/>
        <v>1</v>
      </c>
      <c r="AC265" s="200">
        <f t="shared" ref="AC265:AD265" si="475">1-I265</f>
        <v>1</v>
      </c>
      <c r="AD265" s="200">
        <f t="shared" si="475"/>
        <v>1</v>
      </c>
      <c r="AE265" s="199">
        <f t="shared" si="6"/>
        <v>2</v>
      </c>
      <c r="AF265" s="201">
        <f t="shared" si="281"/>
        <v>0</v>
      </c>
      <c r="AG265" s="201">
        <f t="shared" si="8"/>
        <v>0</v>
      </c>
      <c r="AH265" s="202">
        <f t="shared" si="469"/>
        <v>0</v>
      </c>
      <c r="AI265" s="205"/>
      <c r="AJ265" s="337" t="s">
        <v>68</v>
      </c>
      <c r="AK265" s="1139">
        <f t="shared" ref="AK265:AK267" si="476">SUM(AO265+AM265+AQ265+AS260+AU260+AW260)</f>
        <v>24</v>
      </c>
      <c r="AL265" s="1007"/>
      <c r="AM265" s="1139">
        <f>SUMIFS($AE$2:$AE879, $D$2:$D879, "Rare", $E$2:$E879, "Classic", $F$2:F879, "Priest")</f>
        <v>10</v>
      </c>
      <c r="AN265" s="1007"/>
      <c r="AO265" s="1139">
        <f>SUMIFS($AE$2:$AE879, $D$2:$D879, "Rare", $E$2:$E879, "GvG", $F$2:F879, "Priest")</f>
        <v>6</v>
      </c>
      <c r="AP265" s="1007"/>
      <c r="AQ265" s="1139">
        <f>SUMIFS($AE$2:$AE879, $D$2:$D879, "Rare", $E$2:$E879, "TGT", $F$2:F879, "Priest")</f>
        <v>6</v>
      </c>
      <c r="AR265" s="1007"/>
      <c r="AS265" s="1139">
        <f>SUMIFS($AE$2:$AE879, $D$2:$D879, "Rare", $E$2:$E879, "TOG", $F$2:F879, "Priest")</f>
        <v>6</v>
      </c>
      <c r="AT265" s="1007"/>
      <c r="AU265" s="229"/>
      <c r="AV265" s="229"/>
      <c r="AW265" s="229"/>
      <c r="AX265" s="229"/>
    </row>
    <row r="266" spans="1:50" ht="14.25">
      <c r="A266" s="206"/>
      <c r="B266" s="344">
        <v>2</v>
      </c>
      <c r="C266" s="345" t="s">
        <v>680</v>
      </c>
      <c r="D266" s="346" t="s">
        <v>69</v>
      </c>
      <c r="E266" s="346" t="s">
        <v>77</v>
      </c>
      <c r="F266" s="346" t="s">
        <v>11</v>
      </c>
      <c r="G266" s="347">
        <v>1</v>
      </c>
      <c r="H266" s="347">
        <v>0</v>
      </c>
      <c r="I266" s="348">
        <v>1</v>
      </c>
      <c r="J266" s="348">
        <v>0.66</v>
      </c>
      <c r="K266" s="272" t="s">
        <v>146</v>
      </c>
      <c r="L266" s="272" t="s">
        <v>508</v>
      </c>
      <c r="M266" s="272"/>
      <c r="N266" s="272"/>
      <c r="O266" s="349" t="s">
        <v>681</v>
      </c>
      <c r="P266" s="350"/>
      <c r="Q266" s="346" t="s">
        <v>148</v>
      </c>
      <c r="R266" s="173"/>
      <c r="S266" s="195">
        <f>MATCH($D266,Reference!$J$5:$J$9,0)</f>
        <v>4</v>
      </c>
      <c r="T266" s="195">
        <f>MATCH($E266,Reference!$J$26:$J$32,0)</f>
        <v>2</v>
      </c>
      <c r="U266" s="195">
        <f>MATCH($F266,Reference!$J$45:$J$54,0)</f>
        <v>2</v>
      </c>
      <c r="V266" s="196">
        <f>MATCH($K266,Reference!$J$37:$J$39,0)</f>
        <v>2</v>
      </c>
      <c r="W266" s="197">
        <f t="shared" si="278"/>
        <v>1</v>
      </c>
      <c r="X266" s="197">
        <f t="shared" si="1"/>
        <v>1</v>
      </c>
      <c r="Y266" s="197">
        <f t="shared" si="467"/>
        <v>0</v>
      </c>
      <c r="Z266" s="197">
        <f t="shared" si="279"/>
        <v>1</v>
      </c>
      <c r="AA266" s="199" t="b">
        <f t="shared" si="3"/>
        <v>0</v>
      </c>
      <c r="AB266" s="199" t="b">
        <f t="shared" si="4"/>
        <v>1</v>
      </c>
      <c r="AC266" s="200">
        <f t="shared" ref="AC266:AD266" si="477">1-I266</f>
        <v>0</v>
      </c>
      <c r="AD266" s="200">
        <f t="shared" si="477"/>
        <v>0.33999999999999997</v>
      </c>
      <c r="AE266" s="199">
        <f t="shared" si="6"/>
        <v>1.3399999999999999</v>
      </c>
      <c r="AF266" s="201">
        <f t="shared" si="281"/>
        <v>0</v>
      </c>
      <c r="AG266" s="201">
        <f t="shared" si="8"/>
        <v>1</v>
      </c>
      <c r="AH266" s="202">
        <f t="shared" si="469"/>
        <v>0</v>
      </c>
      <c r="AI266" s="205"/>
      <c r="AJ266" s="339" t="s">
        <v>69</v>
      </c>
      <c r="AK266" s="1140">
        <f t="shared" si="476"/>
        <v>14.67</v>
      </c>
      <c r="AL266" s="1007"/>
      <c r="AM266" s="1140">
        <f>SUMIFS($AE$2:$AE879, $D$2:$D879, "Epic", $E$2:$E879, "Classic", $F$2:F879, "Priest")</f>
        <v>6</v>
      </c>
      <c r="AN266" s="1007"/>
      <c r="AO266" s="1140">
        <f>SUMIFS($AE$2:$AE879, $D$2:$D879, "Epic", $E$2:$E879, "GvG", $F$2:F879, "Priest")</f>
        <v>4</v>
      </c>
      <c r="AP266" s="1007"/>
      <c r="AQ266" s="1140">
        <f>SUMIFS($AE$2:$AE879, $D$2:$D879, "Epic", $E$2:$E879, "TGT", $F$2:F879, "Priest")</f>
        <v>3.67</v>
      </c>
      <c r="AR266" s="1007"/>
      <c r="AS266" s="1140">
        <f>SUMIFS($AE$2:$AE879, $D$2:$D879, "Epic", $E$2:$E879, "TOG", $F$2:F879, "Priest")</f>
        <v>1</v>
      </c>
      <c r="AT266" s="1007"/>
      <c r="AU266" s="229"/>
      <c r="AV266" s="229"/>
      <c r="AW266" s="229"/>
      <c r="AX266" s="229"/>
    </row>
    <row r="267" spans="1:50" ht="14.25">
      <c r="A267" s="187"/>
      <c r="B267" s="344">
        <v>3</v>
      </c>
      <c r="C267" s="345" t="s">
        <v>682</v>
      </c>
      <c r="D267" s="346" t="s">
        <v>69</v>
      </c>
      <c r="E267" s="346" t="s">
        <v>77</v>
      </c>
      <c r="F267" s="346" t="s">
        <v>115</v>
      </c>
      <c r="G267" s="347">
        <v>0</v>
      </c>
      <c r="H267" s="347">
        <v>0</v>
      </c>
      <c r="I267" s="348">
        <v>0.33</v>
      </c>
      <c r="J267" s="348">
        <v>0</v>
      </c>
      <c r="K267" s="272" t="s">
        <v>182</v>
      </c>
      <c r="L267" s="272"/>
      <c r="M267" s="272">
        <v>3</v>
      </c>
      <c r="N267" s="272">
        <v>3</v>
      </c>
      <c r="O267" s="349" t="s">
        <v>683</v>
      </c>
      <c r="P267" s="350" t="s">
        <v>184</v>
      </c>
      <c r="Q267" s="346" t="s">
        <v>148</v>
      </c>
      <c r="R267" s="173"/>
      <c r="S267" s="195">
        <f>MATCH($D267,Reference!$J$5:$J$9,0)</f>
        <v>4</v>
      </c>
      <c r="T267" s="195">
        <f>MATCH($E267,Reference!$J$26:$J$32,0)</f>
        <v>2</v>
      </c>
      <c r="U267" s="195">
        <f>MATCH($F267,Reference!$J$45:$J$54,0)</f>
        <v>10</v>
      </c>
      <c r="V267" s="196">
        <f>MATCH($K267,Reference!$J$37:$J$39,0)</f>
        <v>3</v>
      </c>
      <c r="W267" s="197">
        <f t="shared" si="278"/>
        <v>0</v>
      </c>
      <c r="X267" s="197">
        <f t="shared" si="1"/>
        <v>0</v>
      </c>
      <c r="Y267" s="197">
        <f t="shared" si="467"/>
        <v>0</v>
      </c>
      <c r="Z267" s="197">
        <f t="shared" si="279"/>
        <v>0</v>
      </c>
      <c r="AA267" s="199" t="b">
        <f t="shared" si="3"/>
        <v>1</v>
      </c>
      <c r="AB267" s="199" t="b">
        <f t="shared" si="4"/>
        <v>1</v>
      </c>
      <c r="AC267" s="200">
        <f t="shared" ref="AC267:AD267" si="478">1-I267</f>
        <v>0.66999999999999993</v>
      </c>
      <c r="AD267" s="200">
        <f t="shared" si="478"/>
        <v>1</v>
      </c>
      <c r="AE267" s="199">
        <f t="shared" si="6"/>
        <v>1.67</v>
      </c>
      <c r="AF267" s="201">
        <f t="shared" si="281"/>
        <v>0</v>
      </c>
      <c r="AG267" s="201">
        <f t="shared" si="8"/>
        <v>0</v>
      </c>
      <c r="AH267" s="202">
        <f t="shared" si="469"/>
        <v>0</v>
      </c>
      <c r="AI267" s="205"/>
      <c r="AJ267" s="340" t="s">
        <v>70</v>
      </c>
      <c r="AK267" s="1141">
        <f t="shared" si="476"/>
        <v>2.67</v>
      </c>
      <c r="AL267" s="1007"/>
      <c r="AM267" s="1141">
        <f>SUMIFS($AE$2:$AE879, $D$2:$D879, "Legendary", $E$2:$E879, "Classic", $F$2:F879, "Priest")</f>
        <v>0.66999999999999993</v>
      </c>
      <c r="AN267" s="1007"/>
      <c r="AO267" s="1141">
        <f>SUMIFS($AE$2:$AE879, $D$2:$D879, "Legendary", $E$2:$E879, "GvG", $F$2:F879, "Priest")</f>
        <v>1</v>
      </c>
      <c r="AP267" s="1007"/>
      <c r="AQ267" s="1141">
        <f>SUMIFS($AE$2:$AE879, $D$2:$D879, "Legendary", $E$2:$E879, "TGT", $F$2:F879, "Priest")</f>
        <v>1</v>
      </c>
      <c r="AR267" s="1007"/>
      <c r="AS267" s="1141">
        <f>SUMIFS($AE$2:$AE879, $D$2:$D879, "Legendary", $E$2:$E879, "TOG", $F$2:F879, "Priest")</f>
        <v>0</v>
      </c>
      <c r="AT267" s="1007"/>
      <c r="AU267" s="229"/>
      <c r="AV267" s="229"/>
      <c r="AW267" s="229"/>
      <c r="AX267" s="229"/>
    </row>
    <row r="268" spans="1:50" ht="14.25">
      <c r="A268" s="240"/>
      <c r="B268" s="344">
        <v>3</v>
      </c>
      <c r="C268" s="345" t="s">
        <v>684</v>
      </c>
      <c r="D268" s="346" t="s">
        <v>69</v>
      </c>
      <c r="E268" s="346" t="s">
        <v>77</v>
      </c>
      <c r="F268" s="346" t="s">
        <v>21</v>
      </c>
      <c r="G268" s="347">
        <v>0</v>
      </c>
      <c r="H268" s="347">
        <v>0</v>
      </c>
      <c r="I268" s="348">
        <v>0</v>
      </c>
      <c r="J268" s="348">
        <v>0</v>
      </c>
      <c r="K268" s="272" t="s">
        <v>146</v>
      </c>
      <c r="L268" s="272"/>
      <c r="M268" s="272"/>
      <c r="N268" s="272"/>
      <c r="O268" s="349" t="s">
        <v>685</v>
      </c>
      <c r="P268" s="350"/>
      <c r="Q268" s="346" t="s">
        <v>148</v>
      </c>
      <c r="R268" s="173"/>
      <c r="S268" s="195">
        <f>MATCH($D268,Reference!$J$5:$J$9,0)</f>
        <v>4</v>
      </c>
      <c r="T268" s="195">
        <f>MATCH($E268,Reference!$J$26:$J$32,0)</f>
        <v>2</v>
      </c>
      <c r="U268" s="195">
        <f>MATCH($F268,Reference!$J$45:$J$54,0)</f>
        <v>7</v>
      </c>
      <c r="V268" s="196">
        <f>MATCH($K268,Reference!$J$37:$J$39,0)</f>
        <v>2</v>
      </c>
      <c r="W268" s="197">
        <f t="shared" si="278"/>
        <v>0</v>
      </c>
      <c r="X268" s="197">
        <f t="shared" si="1"/>
        <v>0</v>
      </c>
      <c r="Y268" s="197">
        <f t="shared" si="467"/>
        <v>0</v>
      </c>
      <c r="Z268" s="197">
        <f t="shared" si="279"/>
        <v>0</v>
      </c>
      <c r="AA268" s="199" t="b">
        <f t="shared" si="3"/>
        <v>1</v>
      </c>
      <c r="AB268" s="199" t="b">
        <f t="shared" si="4"/>
        <v>1</v>
      </c>
      <c r="AC268" s="200">
        <f t="shared" ref="AC268:AD268" si="479">1-I268</f>
        <v>1</v>
      </c>
      <c r="AD268" s="200">
        <f t="shared" si="479"/>
        <v>1</v>
      </c>
      <c r="AE268" s="199">
        <f t="shared" si="6"/>
        <v>2</v>
      </c>
      <c r="AF268" s="201">
        <f t="shared" si="281"/>
        <v>0</v>
      </c>
      <c r="AG268" s="201">
        <f t="shared" si="8"/>
        <v>0</v>
      </c>
      <c r="AH268" s="202">
        <f t="shared" si="469"/>
        <v>0</v>
      </c>
      <c r="AI268" s="205"/>
      <c r="AJ268" s="335" t="s">
        <v>20</v>
      </c>
      <c r="AK268" s="1133" t="s">
        <v>22</v>
      </c>
      <c r="AL268" s="1102"/>
      <c r="AM268" s="1135" t="s">
        <v>77</v>
      </c>
      <c r="AN268" s="1102"/>
      <c r="AO268" s="1135" t="s">
        <v>80</v>
      </c>
      <c r="AP268" s="1102"/>
      <c r="AQ268" s="1135" t="s">
        <v>82</v>
      </c>
      <c r="AR268" s="1102"/>
      <c r="AS268" s="1133" t="s">
        <v>73</v>
      </c>
      <c r="AT268" s="1102"/>
      <c r="AU268" s="173"/>
      <c r="AV268" s="173"/>
    </row>
    <row r="269" spans="1:50" ht="14.25">
      <c r="A269" s="240"/>
      <c r="B269" s="344">
        <v>3</v>
      </c>
      <c r="C269" s="345" t="s">
        <v>686</v>
      </c>
      <c r="D269" s="346" t="s">
        <v>69</v>
      </c>
      <c r="E269" s="346" t="s">
        <v>77</v>
      </c>
      <c r="F269" s="346" t="s">
        <v>13</v>
      </c>
      <c r="G269" s="351">
        <v>2</v>
      </c>
      <c r="H269" s="347">
        <v>0</v>
      </c>
      <c r="I269" s="348">
        <v>1</v>
      </c>
      <c r="J269" s="348">
        <v>1</v>
      </c>
      <c r="K269" s="246" t="s">
        <v>146</v>
      </c>
      <c r="L269" s="272" t="s">
        <v>508</v>
      </c>
      <c r="M269" s="246"/>
      <c r="N269" s="246"/>
      <c r="O269" s="349" t="s">
        <v>687</v>
      </c>
      <c r="P269" s="350"/>
      <c r="Q269" s="346" t="s">
        <v>148</v>
      </c>
      <c r="R269" s="173"/>
      <c r="S269" s="195">
        <f>MATCH($D269,Reference!$J$5:$J$9,0)</f>
        <v>4</v>
      </c>
      <c r="T269" s="195">
        <f>MATCH($E269,Reference!$J$26:$J$32,0)</f>
        <v>2</v>
      </c>
      <c r="U269" s="195">
        <f>MATCH($F269,Reference!$J$45:$J$54,0)</f>
        <v>3</v>
      </c>
      <c r="V269" s="196">
        <f>MATCH($K269,Reference!$J$37:$J$39,0)</f>
        <v>2</v>
      </c>
      <c r="W269" s="197">
        <f t="shared" si="278"/>
        <v>2</v>
      </c>
      <c r="X269" s="197">
        <f t="shared" si="1"/>
        <v>1</v>
      </c>
      <c r="Y269" s="197">
        <f t="shared" si="467"/>
        <v>0</v>
      </c>
      <c r="Z269" s="197">
        <f t="shared" si="279"/>
        <v>2</v>
      </c>
      <c r="AA269" s="199" t="b">
        <f t="shared" si="3"/>
        <v>0</v>
      </c>
      <c r="AB269" s="199" t="b">
        <f t="shared" si="4"/>
        <v>0</v>
      </c>
      <c r="AC269" s="200">
        <f t="shared" ref="AC269:AD269" si="480">1-I269</f>
        <v>0</v>
      </c>
      <c r="AD269" s="200">
        <f t="shared" si="480"/>
        <v>0</v>
      </c>
      <c r="AE269" s="199">
        <f t="shared" si="6"/>
        <v>2</v>
      </c>
      <c r="AF269" s="201">
        <f t="shared" si="281"/>
        <v>0</v>
      </c>
      <c r="AG269" s="201">
        <f t="shared" si="8"/>
        <v>1</v>
      </c>
      <c r="AH269" s="202">
        <f t="shared" si="469"/>
        <v>0</v>
      </c>
      <c r="AI269" s="205"/>
      <c r="AJ269" s="336" t="s">
        <v>63</v>
      </c>
      <c r="AK269" s="1142">
        <f>SUM(AO269+AM269+AQ269)</f>
        <v>22</v>
      </c>
      <c r="AL269" s="1007"/>
      <c r="AM269" s="1142">
        <f>SUMIFS($AE$2:$AE879, $D$2:$D879, "Common", $E$2:$E879, "Classic", $F$2:F879, "Rogue")</f>
        <v>12</v>
      </c>
      <c r="AN269" s="1007"/>
      <c r="AO269" s="1142">
        <f>SUMIFS($AE$2:$AE879, $D$2:$D879, "Common", $E$2:$E879, "GvG", $F$2:F879, "Rogue")</f>
        <v>4</v>
      </c>
      <c r="AP269" s="1007"/>
      <c r="AQ269" s="1142">
        <f>SUMIFS($AE$2:$AE879, $D$2:$D879, "Common", $E$2:$E879, "TGT", $F$2:F879, "Rogue")</f>
        <v>6</v>
      </c>
      <c r="AR269" s="1007"/>
      <c r="AS269" s="1142">
        <f>SUMIFS($AE$2:$AE879, $D$2:$D879, "Common", $E$2:$E879, "TOG", $F$2:F879, "Rogue")</f>
        <v>6</v>
      </c>
      <c r="AT269" s="1007"/>
      <c r="AU269" s="229"/>
      <c r="AV269" s="229"/>
      <c r="AW269" s="229"/>
      <c r="AX269" s="229"/>
    </row>
    <row r="270" spans="1:50" ht="14.25">
      <c r="A270" s="209"/>
      <c r="B270" s="344">
        <v>3</v>
      </c>
      <c r="C270" s="345" t="s">
        <v>688</v>
      </c>
      <c r="D270" s="346" t="s">
        <v>69</v>
      </c>
      <c r="E270" s="346" t="s">
        <v>77</v>
      </c>
      <c r="F270" s="346" t="s">
        <v>115</v>
      </c>
      <c r="G270" s="347">
        <v>2</v>
      </c>
      <c r="H270" s="347">
        <v>0</v>
      </c>
      <c r="I270" s="348">
        <v>1</v>
      </c>
      <c r="J270" s="348">
        <v>1</v>
      </c>
      <c r="K270" s="346" t="s">
        <v>182</v>
      </c>
      <c r="L270" s="346" t="s">
        <v>195</v>
      </c>
      <c r="M270" s="352">
        <v>3</v>
      </c>
      <c r="N270" s="353">
        <v>3</v>
      </c>
      <c r="O270" s="349" t="s">
        <v>689</v>
      </c>
      <c r="P270" s="350" t="s">
        <v>197</v>
      </c>
      <c r="Q270" s="346" t="s">
        <v>148</v>
      </c>
      <c r="R270" s="173"/>
      <c r="S270" s="195">
        <f>MATCH($D270,Reference!$J$5:$J$9,0)</f>
        <v>4</v>
      </c>
      <c r="T270" s="195">
        <f>MATCH($E270,Reference!$J$26:$J$32,0)</f>
        <v>2</v>
      </c>
      <c r="U270" s="195">
        <f>MATCH($F270,Reference!$J$45:$J$54,0)</f>
        <v>10</v>
      </c>
      <c r="V270" s="196">
        <f>MATCH($K270,Reference!$J$37:$J$39,0)</f>
        <v>3</v>
      </c>
      <c r="W270" s="197">
        <f t="shared" si="278"/>
        <v>2</v>
      </c>
      <c r="X270" s="197">
        <f t="shared" si="1"/>
        <v>1</v>
      </c>
      <c r="Y270" s="197">
        <f t="shared" si="467"/>
        <v>0</v>
      </c>
      <c r="Z270" s="197">
        <f t="shared" si="279"/>
        <v>2</v>
      </c>
      <c r="AA270" s="199" t="b">
        <f t="shared" si="3"/>
        <v>0</v>
      </c>
      <c r="AB270" s="199" t="b">
        <f t="shared" si="4"/>
        <v>0</v>
      </c>
      <c r="AC270" s="200">
        <f t="shared" ref="AC270:AD270" si="481">1-I270</f>
        <v>0</v>
      </c>
      <c r="AD270" s="200">
        <f t="shared" si="481"/>
        <v>0</v>
      </c>
      <c r="AE270" s="199">
        <f t="shared" si="6"/>
        <v>2</v>
      </c>
      <c r="AF270" s="201">
        <f t="shared" si="281"/>
        <v>0</v>
      </c>
      <c r="AG270" s="201">
        <f t="shared" si="8"/>
        <v>1</v>
      </c>
      <c r="AH270" s="202">
        <f t="shared" si="469"/>
        <v>0</v>
      </c>
      <c r="AI270" s="205"/>
      <c r="AJ270" s="337" t="s">
        <v>68</v>
      </c>
      <c r="AK270" s="1139">
        <f t="shared" ref="AK270:AK272" si="482">SUM(AO270+AM270+AQ270+AS265+AU265+AW265)</f>
        <v>27.34</v>
      </c>
      <c r="AL270" s="1007"/>
      <c r="AM270" s="1139">
        <f>SUMIFS($AE$2:$AE879, $D$2:$D879, "Rare", $E$2:$E879, "Classic", $F$2:F879, "Rogue")</f>
        <v>10</v>
      </c>
      <c r="AN270" s="1007"/>
      <c r="AO270" s="1139">
        <f>SUMIFS($AE$2:$AE879, $D$2:$D879, "Rare", $E$2:$E879, "GvG", $F$2:F879, "Rogue")</f>
        <v>5.34</v>
      </c>
      <c r="AP270" s="1007"/>
      <c r="AQ270" s="1139">
        <f>SUMIFS($AE$2:$AE879, $D$2:$D879, "Rare", $E$2:$E879, "TGT", $F$2:F879, "Rogue")</f>
        <v>6</v>
      </c>
      <c r="AR270" s="1007"/>
      <c r="AS270" s="1139">
        <f>SUMIFS($AE$2:$AE879, $D$2:$D879, "Rare", $E$2:$E879, "TOG", $F$2:F879, "Rogue")</f>
        <v>5</v>
      </c>
      <c r="AT270" s="1007"/>
      <c r="AU270" s="229"/>
      <c r="AV270" s="229"/>
      <c r="AW270" s="229"/>
      <c r="AX270" s="229"/>
    </row>
    <row r="271" spans="1:50" ht="14.25">
      <c r="A271" s="211"/>
      <c r="B271" s="344">
        <v>3</v>
      </c>
      <c r="C271" s="345" t="s">
        <v>690</v>
      </c>
      <c r="D271" s="346" t="s">
        <v>69</v>
      </c>
      <c r="E271" s="346" t="s">
        <v>77</v>
      </c>
      <c r="F271" s="346" t="s">
        <v>18</v>
      </c>
      <c r="G271" s="347">
        <v>2</v>
      </c>
      <c r="H271" s="347">
        <v>0</v>
      </c>
      <c r="I271" s="348">
        <v>0.33</v>
      </c>
      <c r="J271" s="348">
        <v>0.33</v>
      </c>
      <c r="K271" s="272" t="s">
        <v>146</v>
      </c>
      <c r="L271" s="272"/>
      <c r="M271" s="272"/>
      <c r="N271" s="272"/>
      <c r="O271" s="349" t="s">
        <v>691</v>
      </c>
      <c r="P271" s="350"/>
      <c r="Q271" s="346" t="s">
        <v>148</v>
      </c>
      <c r="R271" s="173"/>
      <c r="S271" s="195">
        <f>MATCH($D271,Reference!$J$5:$J$9,0)</f>
        <v>4</v>
      </c>
      <c r="T271" s="195">
        <f>MATCH($E271,Reference!$J$26:$J$32,0)</f>
        <v>2</v>
      </c>
      <c r="U271" s="195">
        <f>MATCH($F271,Reference!$J$45:$J$54,0)</f>
        <v>5</v>
      </c>
      <c r="V271" s="196">
        <f>MATCH($K271,Reference!$J$37:$J$39,0)</f>
        <v>2</v>
      </c>
      <c r="W271" s="197">
        <f t="shared" si="278"/>
        <v>2</v>
      </c>
      <c r="X271" s="197">
        <f t="shared" si="1"/>
        <v>1</v>
      </c>
      <c r="Y271" s="197">
        <f t="shared" si="467"/>
        <v>0</v>
      </c>
      <c r="Z271" s="197">
        <f t="shared" si="279"/>
        <v>2</v>
      </c>
      <c r="AA271" s="199" t="b">
        <f t="shared" si="3"/>
        <v>0</v>
      </c>
      <c r="AB271" s="199" t="b">
        <f t="shared" si="4"/>
        <v>0</v>
      </c>
      <c r="AC271" s="200">
        <f t="shared" ref="AC271:AD271" si="483">1-I271</f>
        <v>0.66999999999999993</v>
      </c>
      <c r="AD271" s="200">
        <f t="shared" si="483"/>
        <v>0.66999999999999993</v>
      </c>
      <c r="AE271" s="199">
        <f t="shared" si="6"/>
        <v>2</v>
      </c>
      <c r="AF271" s="201">
        <f t="shared" si="281"/>
        <v>0</v>
      </c>
      <c r="AG271" s="201">
        <f t="shared" si="8"/>
        <v>1</v>
      </c>
      <c r="AH271" s="202">
        <f t="shared" si="469"/>
        <v>0</v>
      </c>
      <c r="AI271" s="205"/>
      <c r="AJ271" s="339" t="s">
        <v>69</v>
      </c>
      <c r="AK271" s="1140">
        <f t="shared" si="482"/>
        <v>14.67</v>
      </c>
      <c r="AL271" s="1007"/>
      <c r="AM271" s="1140">
        <f>SUMIFS($AE$2:$AE879, $D$2:$D879, "Epic", $E$2:$E879, "Classic", $F$2:F879, "Rogue")</f>
        <v>6</v>
      </c>
      <c r="AN271" s="1007"/>
      <c r="AO271" s="1140">
        <f>SUMIFS($AE$2:$AE879, $D$2:$D879, "Epic", $E$2:$E879, "GvG", $F$2:F879, "Rogue")</f>
        <v>3.67</v>
      </c>
      <c r="AP271" s="1007"/>
      <c r="AQ271" s="1140">
        <f>SUMIFS($AE$2:$AE879, $D$2:$D879, "Epic", $E$2:$E879, "TGT", $F$2:F879, "Rogue")</f>
        <v>4</v>
      </c>
      <c r="AR271" s="1007"/>
      <c r="AS271" s="1140">
        <f>SUMIFS($AE$2:$AE879, $D$2:$D879, "Epic", $E$2:$E879, "TOG", $F$2:F879, "Rogue")</f>
        <v>2</v>
      </c>
      <c r="AT271" s="1007"/>
      <c r="AU271" s="229"/>
      <c r="AV271" s="229"/>
      <c r="AW271" s="229"/>
      <c r="AX271" s="229"/>
    </row>
    <row r="272" spans="1:50" ht="14.25">
      <c r="A272" s="240"/>
      <c r="B272" s="344">
        <v>3</v>
      </c>
      <c r="C272" s="345" t="s">
        <v>692</v>
      </c>
      <c r="D272" s="346" t="s">
        <v>69</v>
      </c>
      <c r="E272" s="346" t="s">
        <v>77</v>
      </c>
      <c r="F272" s="346" t="s">
        <v>115</v>
      </c>
      <c r="G272" s="347">
        <v>0</v>
      </c>
      <c r="H272" s="347">
        <v>0</v>
      </c>
      <c r="I272" s="348">
        <v>0.33</v>
      </c>
      <c r="J272" s="348">
        <v>0.33</v>
      </c>
      <c r="K272" s="272" t="s">
        <v>182</v>
      </c>
      <c r="L272" s="272" t="s">
        <v>536</v>
      </c>
      <c r="M272" s="272">
        <v>3</v>
      </c>
      <c r="N272" s="272">
        <v>3</v>
      </c>
      <c r="O272" s="349" t="s">
        <v>693</v>
      </c>
      <c r="P272" s="350" t="s">
        <v>694</v>
      </c>
      <c r="Q272" s="346" t="s">
        <v>148</v>
      </c>
      <c r="R272" s="173"/>
      <c r="S272" s="195">
        <f>MATCH($D272,Reference!$J$5:$J$9,0)</f>
        <v>4</v>
      </c>
      <c r="T272" s="195">
        <f>MATCH($E272,Reference!$J$26:$J$32,0)</f>
        <v>2</v>
      </c>
      <c r="U272" s="195">
        <f>MATCH($F272,Reference!$J$45:$J$54,0)</f>
        <v>10</v>
      </c>
      <c r="V272" s="196">
        <f>MATCH($K272,Reference!$J$37:$J$39,0)</f>
        <v>3</v>
      </c>
      <c r="W272" s="197">
        <f t="shared" si="278"/>
        <v>0</v>
      </c>
      <c r="X272" s="197">
        <f t="shared" si="1"/>
        <v>0</v>
      </c>
      <c r="Y272" s="197">
        <f t="shared" si="467"/>
        <v>0</v>
      </c>
      <c r="Z272" s="197">
        <f t="shared" si="279"/>
        <v>0</v>
      </c>
      <c r="AA272" s="199" t="b">
        <f t="shared" si="3"/>
        <v>1</v>
      </c>
      <c r="AB272" s="199" t="b">
        <f t="shared" si="4"/>
        <v>1</v>
      </c>
      <c r="AC272" s="200">
        <f t="shared" ref="AC272:AD272" si="484">1-I272</f>
        <v>0.66999999999999993</v>
      </c>
      <c r="AD272" s="200">
        <f t="shared" si="484"/>
        <v>0.66999999999999993</v>
      </c>
      <c r="AE272" s="199">
        <f t="shared" si="6"/>
        <v>1.3399999999999999</v>
      </c>
      <c r="AF272" s="201">
        <f t="shared" si="281"/>
        <v>0</v>
      </c>
      <c r="AG272" s="201">
        <f t="shared" si="8"/>
        <v>0</v>
      </c>
      <c r="AH272" s="202">
        <f t="shared" si="469"/>
        <v>0</v>
      </c>
      <c r="AI272" s="205"/>
      <c r="AJ272" s="340" t="s">
        <v>70</v>
      </c>
      <c r="AK272" s="1141">
        <f t="shared" si="482"/>
        <v>2.34</v>
      </c>
      <c r="AL272" s="1007"/>
      <c r="AM272" s="1141">
        <f>SUMIFS($AE$2:$AE879, $D$2:$D879, "Legendary", $E$2:$E879, "Classic", $F$2:F879, "Rogue")</f>
        <v>1</v>
      </c>
      <c r="AN272" s="1007"/>
      <c r="AO272" s="1141">
        <f>SUMIFS($AE$2:$AE879, $D$2:$D879, "Legendary", $E$2:$E879, "GvG", $F$2:F879, "Rogue")</f>
        <v>0.66999999999999993</v>
      </c>
      <c r="AP272" s="1007"/>
      <c r="AQ272" s="1141">
        <f>SUMIFS($AE$2:$AE879, $D$2:$D879, "Legendary", $E$2:$E879, "TGT", $F$2:F879, "Rogue")</f>
        <v>0.66999999999999993</v>
      </c>
      <c r="AR272" s="1007"/>
      <c r="AS272" s="1141">
        <f>SUMIFS($AE$2:$AE879, $D$2:$D879, "Legendary", $E$2:$E879, "TOG", $F$2:F879, "Rogue")</f>
        <v>0</v>
      </c>
      <c r="AT272" s="1007"/>
      <c r="AU272" s="229"/>
      <c r="AV272" s="229"/>
      <c r="AW272" s="229"/>
      <c r="AX272" s="229"/>
    </row>
    <row r="273" spans="1:50" ht="14.25">
      <c r="A273" s="187"/>
      <c r="B273" s="344">
        <v>3</v>
      </c>
      <c r="C273" s="345" t="s">
        <v>695</v>
      </c>
      <c r="D273" s="346" t="s">
        <v>69</v>
      </c>
      <c r="E273" s="346" t="s">
        <v>77</v>
      </c>
      <c r="F273" s="346" t="s">
        <v>13</v>
      </c>
      <c r="G273" s="347">
        <v>2</v>
      </c>
      <c r="H273" s="351">
        <v>0</v>
      </c>
      <c r="I273" s="348">
        <v>0.33</v>
      </c>
      <c r="J273" s="348">
        <v>0</v>
      </c>
      <c r="K273" s="272" t="s">
        <v>146</v>
      </c>
      <c r="L273" s="272" t="s">
        <v>508</v>
      </c>
      <c r="M273" s="272"/>
      <c r="N273" s="272"/>
      <c r="O273" s="349" t="s">
        <v>696</v>
      </c>
      <c r="P273" s="350"/>
      <c r="Q273" s="346" t="s">
        <v>148</v>
      </c>
      <c r="R273" s="173"/>
      <c r="S273" s="195">
        <f>MATCH($D273,Reference!$J$5:$J$9,0)</f>
        <v>4</v>
      </c>
      <c r="T273" s="195">
        <f>MATCH($E273,Reference!$J$26:$J$32,0)</f>
        <v>2</v>
      </c>
      <c r="U273" s="195">
        <f>MATCH($F273,Reference!$J$45:$J$54,0)</f>
        <v>3</v>
      </c>
      <c r="V273" s="196">
        <f>MATCH($K273,Reference!$J$37:$J$39,0)</f>
        <v>2</v>
      </c>
      <c r="W273" s="197">
        <f t="shared" si="278"/>
        <v>2</v>
      </c>
      <c r="X273" s="197">
        <f t="shared" si="1"/>
        <v>1</v>
      </c>
      <c r="Y273" s="197">
        <f t="shared" si="467"/>
        <v>0</v>
      </c>
      <c r="Z273" s="197">
        <f t="shared" si="279"/>
        <v>2</v>
      </c>
      <c r="AA273" s="199" t="b">
        <f t="shared" si="3"/>
        <v>0</v>
      </c>
      <c r="AB273" s="199" t="b">
        <f t="shared" si="4"/>
        <v>0</v>
      </c>
      <c r="AC273" s="200">
        <f t="shared" ref="AC273:AD273" si="485">1-I273</f>
        <v>0.66999999999999993</v>
      </c>
      <c r="AD273" s="200">
        <f t="shared" si="485"/>
        <v>1</v>
      </c>
      <c r="AE273" s="199">
        <f t="shared" si="6"/>
        <v>2</v>
      </c>
      <c r="AF273" s="201">
        <f t="shared" si="281"/>
        <v>0</v>
      </c>
      <c r="AG273" s="201">
        <f t="shared" si="8"/>
        <v>1</v>
      </c>
      <c r="AH273" s="202">
        <f t="shared" si="469"/>
        <v>0</v>
      </c>
      <c r="AI273" s="205"/>
      <c r="AJ273" s="335" t="s">
        <v>21</v>
      </c>
      <c r="AK273" s="1133" t="s">
        <v>22</v>
      </c>
      <c r="AL273" s="1102"/>
      <c r="AM273" s="1135" t="s">
        <v>77</v>
      </c>
      <c r="AN273" s="1102"/>
      <c r="AO273" s="1135" t="s">
        <v>80</v>
      </c>
      <c r="AP273" s="1102"/>
      <c r="AQ273" s="1135" t="s">
        <v>82</v>
      </c>
      <c r="AR273" s="1102"/>
      <c r="AS273" s="1133" t="s">
        <v>73</v>
      </c>
      <c r="AT273" s="1102"/>
      <c r="AU273" s="173"/>
      <c r="AV273" s="173"/>
    </row>
    <row r="274" spans="1:50" ht="14.25">
      <c r="A274" s="206"/>
      <c r="B274" s="344">
        <v>3</v>
      </c>
      <c r="C274" s="345" t="s">
        <v>697</v>
      </c>
      <c r="D274" s="346" t="s">
        <v>69</v>
      </c>
      <c r="E274" s="346" t="s">
        <v>77</v>
      </c>
      <c r="F274" s="346" t="s">
        <v>16</v>
      </c>
      <c r="G274" s="347">
        <v>0</v>
      </c>
      <c r="H274" s="347">
        <v>0</v>
      </c>
      <c r="I274" s="348">
        <v>0.66</v>
      </c>
      <c r="J274" s="348">
        <v>0</v>
      </c>
      <c r="K274" s="272" t="s">
        <v>207</v>
      </c>
      <c r="L274" s="272"/>
      <c r="M274" s="272">
        <v>1</v>
      </c>
      <c r="N274" s="272">
        <v>5</v>
      </c>
      <c r="O274" s="349" t="s">
        <v>698</v>
      </c>
      <c r="P274" s="350"/>
      <c r="Q274" s="346" t="s">
        <v>148</v>
      </c>
      <c r="R274" s="173"/>
      <c r="S274" s="195">
        <f>MATCH($D274,Reference!$J$5:$J$9,0)</f>
        <v>4</v>
      </c>
      <c r="T274" s="195">
        <f>MATCH($E274,Reference!$J$26:$J$32,0)</f>
        <v>2</v>
      </c>
      <c r="U274" s="195">
        <f>MATCH($F274,Reference!$J$45:$J$54,0)</f>
        <v>4</v>
      </c>
      <c r="V274" s="196">
        <f>MATCH($K274,Reference!$J$37:$J$39,0)</f>
        <v>1</v>
      </c>
      <c r="W274" s="197">
        <f t="shared" si="278"/>
        <v>0</v>
      </c>
      <c r="X274" s="197">
        <f t="shared" si="1"/>
        <v>0</v>
      </c>
      <c r="Y274" s="197">
        <f t="shared" si="467"/>
        <v>0</v>
      </c>
      <c r="Z274" s="197">
        <f t="shared" si="279"/>
        <v>0</v>
      </c>
      <c r="AA274" s="199" t="b">
        <f t="shared" si="3"/>
        <v>1</v>
      </c>
      <c r="AB274" s="199" t="b">
        <f t="shared" si="4"/>
        <v>1</v>
      </c>
      <c r="AC274" s="200">
        <f t="shared" ref="AC274:AD274" si="486">1-I274</f>
        <v>0.33999999999999997</v>
      </c>
      <c r="AD274" s="200">
        <f t="shared" si="486"/>
        <v>1</v>
      </c>
      <c r="AE274" s="199">
        <f t="shared" si="6"/>
        <v>1.3399999999999999</v>
      </c>
      <c r="AF274" s="201">
        <f t="shared" si="281"/>
        <v>0</v>
      </c>
      <c r="AG274" s="201">
        <f t="shared" si="8"/>
        <v>0</v>
      </c>
      <c r="AH274" s="202">
        <f t="shared" si="469"/>
        <v>0</v>
      </c>
      <c r="AI274" s="205"/>
      <c r="AJ274" s="336" t="s">
        <v>63</v>
      </c>
      <c r="AK274" s="1142">
        <f>SUM(AO274+AM274+AQ274)</f>
        <v>22</v>
      </c>
      <c r="AL274" s="1007"/>
      <c r="AM274" s="1142">
        <f>SUMIFS($AE$2:$AE879, $D$2:$D879, "Common", $E$2:$E879, "Classic", $F$2:F879, "Shaman")</f>
        <v>12</v>
      </c>
      <c r="AN274" s="1007"/>
      <c r="AO274" s="1142">
        <f>SUMIFS($AE$2:$AE879, $D$2:$D879, "Common", $E$2:$E879, "GvG", $F$2:F879, "Shaman")</f>
        <v>4</v>
      </c>
      <c r="AP274" s="1007"/>
      <c r="AQ274" s="1142">
        <f>SUMIFS($AE$2:$AE879, $D$2:$D879, "Common", $E$2:$E879, "TGT", $F$2:F879, "Shaman")</f>
        <v>6</v>
      </c>
      <c r="AR274" s="1007"/>
      <c r="AS274" s="1142">
        <f>SUMIFS($AE$2:$AE879, $D$2:$D879, "Common", $E$2:$E879, "TOG", $F$2:F879, "Shaman")</f>
        <v>6</v>
      </c>
      <c r="AT274" s="1007"/>
      <c r="AU274" s="229"/>
      <c r="AV274" s="229"/>
      <c r="AW274" s="229"/>
      <c r="AX274" s="229"/>
    </row>
    <row r="275" spans="1:50" ht="14.25">
      <c r="A275" s="206"/>
      <c r="B275" s="344">
        <v>4</v>
      </c>
      <c r="C275" s="345" t="s">
        <v>699</v>
      </c>
      <c r="D275" s="346" t="s">
        <v>69</v>
      </c>
      <c r="E275" s="346" t="s">
        <v>77</v>
      </c>
      <c r="F275" s="346" t="s">
        <v>18</v>
      </c>
      <c r="G275" s="347">
        <v>2</v>
      </c>
      <c r="H275" s="347">
        <v>0</v>
      </c>
      <c r="I275" s="348">
        <v>0</v>
      </c>
      <c r="J275" s="348">
        <v>0</v>
      </c>
      <c r="K275" s="346" t="s">
        <v>146</v>
      </c>
      <c r="L275" s="346"/>
      <c r="M275" s="352"/>
      <c r="N275" s="353"/>
      <c r="O275" s="349" t="s">
        <v>700</v>
      </c>
      <c r="P275" s="350"/>
      <c r="Q275" s="346" t="s">
        <v>148</v>
      </c>
      <c r="R275" s="173"/>
      <c r="S275" s="195">
        <f>MATCH($D275,Reference!$J$5:$J$9,0)</f>
        <v>4</v>
      </c>
      <c r="T275" s="195">
        <f>MATCH($E275,Reference!$J$26:$J$32,0)</f>
        <v>2</v>
      </c>
      <c r="U275" s="195">
        <f>MATCH($F275,Reference!$J$45:$J$54,0)</f>
        <v>5</v>
      </c>
      <c r="V275" s="196">
        <f>MATCH($K275,Reference!$J$37:$J$39,0)</f>
        <v>2</v>
      </c>
      <c r="W275" s="197">
        <f t="shared" si="278"/>
        <v>2</v>
      </c>
      <c r="X275" s="197">
        <f t="shared" si="1"/>
        <v>1</v>
      </c>
      <c r="Y275" s="197">
        <f t="shared" si="467"/>
        <v>0</v>
      </c>
      <c r="Z275" s="197">
        <f t="shared" si="279"/>
        <v>2</v>
      </c>
      <c r="AA275" s="199" t="b">
        <f t="shared" si="3"/>
        <v>0</v>
      </c>
      <c r="AB275" s="199" t="b">
        <f t="shared" si="4"/>
        <v>0</v>
      </c>
      <c r="AC275" s="200">
        <f t="shared" ref="AC275:AD275" si="487">1-I275</f>
        <v>1</v>
      </c>
      <c r="AD275" s="200">
        <f t="shared" si="487"/>
        <v>1</v>
      </c>
      <c r="AE275" s="199">
        <f t="shared" si="6"/>
        <v>2</v>
      </c>
      <c r="AF275" s="201">
        <f t="shared" si="281"/>
        <v>0</v>
      </c>
      <c r="AG275" s="201">
        <f t="shared" si="8"/>
        <v>1</v>
      </c>
      <c r="AH275" s="202">
        <f t="shared" si="469"/>
        <v>0</v>
      </c>
      <c r="AI275" s="205"/>
      <c r="AJ275" s="337" t="s">
        <v>68</v>
      </c>
      <c r="AK275" s="1139">
        <f t="shared" ref="AK275:AK277" si="488">SUM(AO275+AM275+AQ275+AS270+AU270+AW270)</f>
        <v>25.34</v>
      </c>
      <c r="AL275" s="1007"/>
      <c r="AM275" s="1139">
        <f>SUMIFS($AE$2:$AE879, $D$2:$D879, "Rare", $E$2:$E879, "Classic", $F$2:F879, "Shaman")</f>
        <v>8.34</v>
      </c>
      <c r="AN275" s="1007"/>
      <c r="AO275" s="1139">
        <f>SUMIFS($AE$2:$AE879, $D$2:$D879, "Rare", $E$2:$E879, "GvG", $F$2:F879, "Shaman")</f>
        <v>6</v>
      </c>
      <c r="AP275" s="1007"/>
      <c r="AQ275" s="1139">
        <f>SUMIFS($AE$2:$AE879, $D$2:$D879, "Rare", $E$2:$E879, "TGT", $F$2:F879, "Shaman")</f>
        <v>6</v>
      </c>
      <c r="AR275" s="1007"/>
      <c r="AS275" s="1139">
        <f>SUMIFS($AE$2:$AE879, $D$2:$D879, "Rare", $E$2:$E879, "TOG", $F$2:F879, "Shaman")</f>
        <v>6</v>
      </c>
      <c r="AT275" s="1007"/>
      <c r="AU275" s="229"/>
      <c r="AV275" s="229"/>
      <c r="AW275" s="229"/>
      <c r="AX275" s="229"/>
    </row>
    <row r="276" spans="1:50" ht="14.25">
      <c r="A276" s="209"/>
      <c r="B276" s="344">
        <v>4</v>
      </c>
      <c r="C276" s="345" t="s">
        <v>701</v>
      </c>
      <c r="D276" s="346" t="s">
        <v>69</v>
      </c>
      <c r="E276" s="346" t="s">
        <v>77</v>
      </c>
      <c r="F276" s="346" t="s">
        <v>25</v>
      </c>
      <c r="G276" s="351">
        <v>1</v>
      </c>
      <c r="H276" s="347">
        <v>0</v>
      </c>
      <c r="I276" s="348">
        <v>0.66</v>
      </c>
      <c r="J276" s="348">
        <v>0.66</v>
      </c>
      <c r="K276" s="246" t="s">
        <v>182</v>
      </c>
      <c r="L276" s="272" t="s">
        <v>239</v>
      </c>
      <c r="M276" s="246">
        <v>5</v>
      </c>
      <c r="N276" s="246">
        <v>6</v>
      </c>
      <c r="O276" s="349" t="s">
        <v>702</v>
      </c>
      <c r="P276" s="350" t="s">
        <v>275</v>
      </c>
      <c r="Q276" s="346" t="s">
        <v>148</v>
      </c>
      <c r="R276" s="173"/>
      <c r="S276" s="195">
        <f>MATCH($D276,Reference!$J$5:$J$9,0)</f>
        <v>4</v>
      </c>
      <c r="T276" s="195">
        <f>MATCH($E276,Reference!$J$26:$J$32,0)</f>
        <v>2</v>
      </c>
      <c r="U276" s="195">
        <f>MATCH($F276,Reference!$J$45:$J$54,0)</f>
        <v>8</v>
      </c>
      <c r="V276" s="196">
        <f>MATCH($K276,Reference!$J$37:$J$39,0)</f>
        <v>3</v>
      </c>
      <c r="W276" s="197">
        <f t="shared" si="278"/>
        <v>1</v>
      </c>
      <c r="X276" s="197">
        <f t="shared" si="1"/>
        <v>1</v>
      </c>
      <c r="Y276" s="197">
        <f t="shared" si="467"/>
        <v>0</v>
      </c>
      <c r="Z276" s="197">
        <f t="shared" si="279"/>
        <v>1</v>
      </c>
      <c r="AA276" s="199" t="b">
        <f t="shared" si="3"/>
        <v>0</v>
      </c>
      <c r="AB276" s="199" t="b">
        <f t="shared" si="4"/>
        <v>1</v>
      </c>
      <c r="AC276" s="200">
        <f t="shared" ref="AC276:AD276" si="489">1-I276</f>
        <v>0.33999999999999997</v>
      </c>
      <c r="AD276" s="200">
        <f t="shared" si="489"/>
        <v>0.33999999999999997</v>
      </c>
      <c r="AE276" s="199">
        <f t="shared" si="6"/>
        <v>1.3399999999999999</v>
      </c>
      <c r="AF276" s="201">
        <f t="shared" si="281"/>
        <v>0</v>
      </c>
      <c r="AG276" s="201">
        <f t="shared" si="8"/>
        <v>1</v>
      </c>
      <c r="AH276" s="202">
        <f t="shared" si="469"/>
        <v>0</v>
      </c>
      <c r="AI276" s="205"/>
      <c r="AJ276" s="339" t="s">
        <v>69</v>
      </c>
      <c r="AK276" s="1140">
        <f t="shared" si="488"/>
        <v>14.35</v>
      </c>
      <c r="AL276" s="1007"/>
      <c r="AM276" s="1140">
        <f>SUMIFS($AE$2:$AE879, $D$2:$D879, "Epic", $E$2:$E879, "Classic", $F$2:F879, "Shaman")</f>
        <v>5.67</v>
      </c>
      <c r="AN276" s="1007"/>
      <c r="AO276" s="1140">
        <f>SUMIFS($AE$2:$AE879, $D$2:$D879, "Epic", $E$2:$E879, "GvG", $F$2:F879, "Shaman")</f>
        <v>3.01</v>
      </c>
      <c r="AP276" s="1007"/>
      <c r="AQ276" s="1140">
        <f>SUMIFS($AE$2:$AE879, $D$2:$D879, "Epic", $E$2:$E879, "TGT", $F$2:F879, "Shaman")</f>
        <v>3.67</v>
      </c>
      <c r="AR276" s="1007"/>
      <c r="AS276" s="1140">
        <f>SUMIFS($AE$2:$AE879, $D$2:$D879, "Epic", $E$2:$E879, "TOG", $F$2:F879, "Shaman")</f>
        <v>4</v>
      </c>
      <c r="AT276" s="1007"/>
      <c r="AU276" s="229"/>
      <c r="AV276" s="229"/>
      <c r="AW276" s="229"/>
      <c r="AX276" s="229"/>
    </row>
    <row r="277" spans="1:50" ht="14.25">
      <c r="A277" s="209"/>
      <c r="B277" s="344">
        <v>5</v>
      </c>
      <c r="C277" s="345" t="s">
        <v>703</v>
      </c>
      <c r="D277" s="346" t="s">
        <v>69</v>
      </c>
      <c r="E277" s="346" t="s">
        <v>77</v>
      </c>
      <c r="F277" s="346" t="s">
        <v>25</v>
      </c>
      <c r="G277" s="347">
        <v>2</v>
      </c>
      <c r="H277" s="347">
        <v>0</v>
      </c>
      <c r="I277" s="348">
        <v>1</v>
      </c>
      <c r="J277" s="348">
        <v>1</v>
      </c>
      <c r="K277" s="272" t="s">
        <v>146</v>
      </c>
      <c r="L277" s="272"/>
      <c r="M277" s="272"/>
      <c r="N277" s="272"/>
      <c r="O277" s="349" t="s">
        <v>704</v>
      </c>
      <c r="P277" s="350"/>
      <c r="Q277" s="346" t="s">
        <v>148</v>
      </c>
      <c r="R277" s="173"/>
      <c r="S277" s="195">
        <f>MATCH($D277,Reference!$J$5:$J$9,0)</f>
        <v>4</v>
      </c>
      <c r="T277" s="195">
        <f>MATCH($E277,Reference!$J$26:$J$32,0)</f>
        <v>2</v>
      </c>
      <c r="U277" s="195">
        <f>MATCH($F277,Reference!$J$45:$J$54,0)</f>
        <v>8</v>
      </c>
      <c r="V277" s="196">
        <f>MATCH($K277,Reference!$J$37:$J$39,0)</f>
        <v>2</v>
      </c>
      <c r="W277" s="197">
        <f t="shared" si="278"/>
        <v>2</v>
      </c>
      <c r="X277" s="197">
        <f t="shared" si="1"/>
        <v>1</v>
      </c>
      <c r="Y277" s="197">
        <f t="shared" si="467"/>
        <v>0</v>
      </c>
      <c r="Z277" s="197">
        <f t="shared" si="279"/>
        <v>2</v>
      </c>
      <c r="AA277" s="199" t="b">
        <f t="shared" si="3"/>
        <v>0</v>
      </c>
      <c r="AB277" s="199" t="b">
        <f t="shared" si="4"/>
        <v>0</v>
      </c>
      <c r="AC277" s="200">
        <f t="shared" ref="AC277:AD277" si="490">1-I277</f>
        <v>0</v>
      </c>
      <c r="AD277" s="200">
        <f t="shared" si="490"/>
        <v>0</v>
      </c>
      <c r="AE277" s="199">
        <f t="shared" si="6"/>
        <v>2</v>
      </c>
      <c r="AF277" s="201">
        <f t="shared" si="281"/>
        <v>0</v>
      </c>
      <c r="AG277" s="201">
        <f t="shared" si="8"/>
        <v>1</v>
      </c>
      <c r="AH277" s="202">
        <f t="shared" si="469"/>
        <v>0</v>
      </c>
      <c r="AI277" s="205"/>
      <c r="AJ277" s="340" t="s">
        <v>70</v>
      </c>
      <c r="AK277" s="1141">
        <f t="shared" si="488"/>
        <v>1.67</v>
      </c>
      <c r="AL277" s="1007"/>
      <c r="AM277" s="1141">
        <f>SUMIFS($AE$2:$AE879, $D$2:$D879, "Legendary", $E$2:$E879, "Classic", $F$2:F879, "Shaman")</f>
        <v>1</v>
      </c>
      <c r="AN277" s="1007"/>
      <c r="AO277" s="1141">
        <f>SUMIFS($AE$2:$AE879, $D$2:$D879, "Legendary", $E$2:$E879, "GvG", $F$2:F879, "Shaman")</f>
        <v>0</v>
      </c>
      <c r="AP277" s="1007"/>
      <c r="AQ277" s="1141">
        <f>SUMIFS($AE$2:$AE879, $D$2:$D879, "Legendary", $E$2:$E879, "TGT", $F$2:F879, "Shaman")</f>
        <v>0.66999999999999993</v>
      </c>
      <c r="AR277" s="1007"/>
      <c r="AS277" s="1141">
        <f>SUMIFS($AE$2:$AE879, $D$2:$D879, "Legendary", $E$2:$E879, "TOG", $F$2:F879, "Shaman")</f>
        <v>0</v>
      </c>
      <c r="AT277" s="1007"/>
      <c r="AU277" s="229"/>
      <c r="AV277" s="229"/>
      <c r="AW277" s="229"/>
      <c r="AX277" s="229"/>
    </row>
    <row r="278" spans="1:50" ht="14.25">
      <c r="A278" s="187"/>
      <c r="B278" s="354">
        <v>5</v>
      </c>
      <c r="C278" s="345" t="s">
        <v>705</v>
      </c>
      <c r="D278" s="346" t="s">
        <v>69</v>
      </c>
      <c r="E278" s="346" t="s">
        <v>77</v>
      </c>
      <c r="F278" s="346" t="s">
        <v>115</v>
      </c>
      <c r="G278" s="351">
        <v>2</v>
      </c>
      <c r="H278" s="347">
        <v>0</v>
      </c>
      <c r="I278" s="348">
        <v>1</v>
      </c>
      <c r="J278" s="348">
        <v>0.33</v>
      </c>
      <c r="K278" s="272" t="s">
        <v>182</v>
      </c>
      <c r="L278" s="272"/>
      <c r="M278" s="272">
        <v>4</v>
      </c>
      <c r="N278" s="272">
        <v>2</v>
      </c>
      <c r="O278" s="349" t="s">
        <v>706</v>
      </c>
      <c r="P278" s="350" t="s">
        <v>184</v>
      </c>
      <c r="Q278" s="346" t="s">
        <v>148</v>
      </c>
      <c r="R278" s="173"/>
      <c r="S278" s="195">
        <f>MATCH($D278,Reference!$J$5:$J$9,0)</f>
        <v>4</v>
      </c>
      <c r="T278" s="195">
        <f>MATCH($E278,Reference!$J$26:$J$32,0)</f>
        <v>2</v>
      </c>
      <c r="U278" s="195">
        <f>MATCH($F278,Reference!$J$45:$J$54,0)</f>
        <v>10</v>
      </c>
      <c r="V278" s="196">
        <f>MATCH($K278,Reference!$J$37:$J$39,0)</f>
        <v>3</v>
      </c>
      <c r="W278" s="197">
        <f t="shared" si="278"/>
        <v>2</v>
      </c>
      <c r="X278" s="197">
        <f t="shared" si="1"/>
        <v>1</v>
      </c>
      <c r="Y278" s="197">
        <f t="shared" si="467"/>
        <v>0</v>
      </c>
      <c r="Z278" s="197">
        <f t="shared" si="279"/>
        <v>2</v>
      </c>
      <c r="AA278" s="199" t="b">
        <f t="shared" si="3"/>
        <v>0</v>
      </c>
      <c r="AB278" s="199" t="b">
        <f t="shared" si="4"/>
        <v>0</v>
      </c>
      <c r="AC278" s="200">
        <f t="shared" ref="AC278:AD278" si="491">1-I278</f>
        <v>0</v>
      </c>
      <c r="AD278" s="200">
        <f t="shared" si="491"/>
        <v>0.66999999999999993</v>
      </c>
      <c r="AE278" s="199">
        <f t="shared" si="6"/>
        <v>2</v>
      </c>
      <c r="AF278" s="201">
        <f t="shared" si="281"/>
        <v>0</v>
      </c>
      <c r="AG278" s="201">
        <f t="shared" si="8"/>
        <v>1</v>
      </c>
      <c r="AH278" s="202">
        <f t="shared" si="469"/>
        <v>0</v>
      </c>
      <c r="AI278" s="205"/>
      <c r="AJ278" s="335" t="s">
        <v>25</v>
      </c>
      <c r="AK278" s="1133" t="s">
        <v>22</v>
      </c>
      <c r="AL278" s="1102"/>
      <c r="AM278" s="1135" t="s">
        <v>77</v>
      </c>
      <c r="AN278" s="1102"/>
      <c r="AO278" s="1135" t="s">
        <v>80</v>
      </c>
      <c r="AP278" s="1102"/>
      <c r="AQ278" s="1135" t="s">
        <v>82</v>
      </c>
      <c r="AR278" s="1102"/>
      <c r="AS278" s="1133" t="s">
        <v>73</v>
      </c>
      <c r="AT278" s="1102"/>
      <c r="AU278" s="173"/>
      <c r="AV278" s="173"/>
    </row>
    <row r="279" spans="1:50" ht="14.25">
      <c r="A279" s="187"/>
      <c r="B279" s="344">
        <v>5</v>
      </c>
      <c r="C279" s="345" t="s">
        <v>707</v>
      </c>
      <c r="D279" s="346" t="s">
        <v>69</v>
      </c>
      <c r="E279" s="346" t="s">
        <v>77</v>
      </c>
      <c r="F279" s="346" t="s">
        <v>26</v>
      </c>
      <c r="G279" s="347">
        <v>2</v>
      </c>
      <c r="H279" s="347">
        <v>0</v>
      </c>
      <c r="I279" s="348">
        <v>1</v>
      </c>
      <c r="J279" s="348">
        <v>0.33</v>
      </c>
      <c r="K279" s="272" t="s">
        <v>146</v>
      </c>
      <c r="L279" s="272"/>
      <c r="M279" s="272"/>
      <c r="N279" s="272"/>
      <c r="O279" s="349" t="s">
        <v>708</v>
      </c>
      <c r="P279" s="350"/>
      <c r="Q279" s="346" t="s">
        <v>148</v>
      </c>
      <c r="R279" s="173"/>
      <c r="S279" s="195">
        <f>MATCH($D279,Reference!$J$5:$J$9,0)</f>
        <v>4</v>
      </c>
      <c r="T279" s="195">
        <f>MATCH($E279,Reference!$J$26:$J$32,0)</f>
        <v>2</v>
      </c>
      <c r="U279" s="195">
        <f>MATCH($F279,Reference!$J$45:$J$54,0)</f>
        <v>9</v>
      </c>
      <c r="V279" s="196">
        <f>MATCH($K279,Reference!$J$37:$J$39,0)</f>
        <v>2</v>
      </c>
      <c r="W279" s="197">
        <f t="shared" si="278"/>
        <v>2</v>
      </c>
      <c r="X279" s="197">
        <f t="shared" si="1"/>
        <v>1</v>
      </c>
      <c r="Y279" s="197">
        <f t="shared" si="467"/>
        <v>0</v>
      </c>
      <c r="Z279" s="197">
        <f t="shared" si="279"/>
        <v>2</v>
      </c>
      <c r="AA279" s="199" t="b">
        <f t="shared" si="3"/>
        <v>0</v>
      </c>
      <c r="AB279" s="199" t="b">
        <f t="shared" si="4"/>
        <v>0</v>
      </c>
      <c r="AC279" s="200">
        <f t="shared" ref="AC279:AD279" si="492">1-I279</f>
        <v>0</v>
      </c>
      <c r="AD279" s="200">
        <f t="shared" si="492"/>
        <v>0.66999999999999993</v>
      </c>
      <c r="AE279" s="199">
        <f t="shared" si="6"/>
        <v>2</v>
      </c>
      <c r="AF279" s="201">
        <f t="shared" si="281"/>
        <v>0</v>
      </c>
      <c r="AG279" s="201">
        <f t="shared" si="8"/>
        <v>1</v>
      </c>
      <c r="AH279" s="202">
        <f t="shared" si="469"/>
        <v>0</v>
      </c>
      <c r="AI279" s="205"/>
      <c r="AJ279" s="336" t="s">
        <v>63</v>
      </c>
      <c r="AK279" s="1142">
        <f>SUM(AO279+AM279+AQ279)</f>
        <v>21.34</v>
      </c>
      <c r="AL279" s="1007"/>
      <c r="AM279" s="1142">
        <f>SUMIFS($AE$2:$AE879, $D$2:$D879, "Common", $E$2:$E879, "Classic", $F$2:F879, "Warlock")</f>
        <v>12</v>
      </c>
      <c r="AN279" s="1007"/>
      <c r="AO279" s="1142">
        <f>SUMIFS($AE$2:$AE879, $D$2:$D879, "Common", $E$2:$E879, "GvG", $F$2:F879, "Warlock")</f>
        <v>3.34</v>
      </c>
      <c r="AP279" s="1007"/>
      <c r="AQ279" s="1142">
        <f>SUMIFS($AE$2:$AE879, $D$2:$D879, "Common", $E$2:$E879, "TGT", $F$2:F879, "Warlock")</f>
        <v>6</v>
      </c>
      <c r="AR279" s="1007"/>
      <c r="AS279" s="1142">
        <f>SUMIFS($AE$2:$AE879, $D$2:$D879, "Common", $E$2:$E879, "TOG", $F$2:F879, "Warlock")</f>
        <v>6</v>
      </c>
      <c r="AT279" s="1007"/>
      <c r="AU279" s="229"/>
      <c r="AV279" s="229"/>
      <c r="AW279" s="229"/>
      <c r="AX279" s="229"/>
    </row>
    <row r="280" spans="1:50" ht="14.25">
      <c r="A280" s="187"/>
      <c r="B280" s="344">
        <v>5</v>
      </c>
      <c r="C280" s="355" t="s">
        <v>709</v>
      </c>
      <c r="D280" s="346" t="s">
        <v>69</v>
      </c>
      <c r="E280" s="346" t="s">
        <v>77</v>
      </c>
      <c r="F280" s="346" t="s">
        <v>21</v>
      </c>
      <c r="G280" s="351">
        <v>2</v>
      </c>
      <c r="H280" s="347">
        <v>0</v>
      </c>
      <c r="I280" s="348">
        <v>1</v>
      </c>
      <c r="J280" s="348">
        <v>0.33</v>
      </c>
      <c r="K280" s="272" t="s">
        <v>207</v>
      </c>
      <c r="L280" s="272"/>
      <c r="M280" s="272">
        <v>2</v>
      </c>
      <c r="N280" s="272">
        <v>8</v>
      </c>
      <c r="O280" s="349" t="s">
        <v>710</v>
      </c>
      <c r="P280" s="350"/>
      <c r="Q280" s="346" t="s">
        <v>148</v>
      </c>
      <c r="R280" s="173"/>
      <c r="S280" s="195">
        <f>MATCH($D280,Reference!$J$5:$J$9,0)</f>
        <v>4</v>
      </c>
      <c r="T280" s="195">
        <f>MATCH($E280,Reference!$J$26:$J$32,0)</f>
        <v>2</v>
      </c>
      <c r="U280" s="195">
        <f>MATCH($F280,Reference!$J$45:$J$54,0)</f>
        <v>7</v>
      </c>
      <c r="V280" s="196">
        <f>MATCH($K280,Reference!$J$37:$J$39,0)</f>
        <v>1</v>
      </c>
      <c r="W280" s="197">
        <f t="shared" si="278"/>
        <v>2</v>
      </c>
      <c r="X280" s="197">
        <f t="shared" si="1"/>
        <v>1</v>
      </c>
      <c r="Y280" s="197">
        <f t="shared" si="467"/>
        <v>0</v>
      </c>
      <c r="Z280" s="197">
        <f t="shared" si="279"/>
        <v>2</v>
      </c>
      <c r="AA280" s="199" t="b">
        <f t="shared" si="3"/>
        <v>0</v>
      </c>
      <c r="AB280" s="199" t="b">
        <f t="shared" si="4"/>
        <v>0</v>
      </c>
      <c r="AC280" s="200">
        <f t="shared" ref="AC280:AD280" si="493">1-I280</f>
        <v>0</v>
      </c>
      <c r="AD280" s="200">
        <f t="shared" si="493"/>
        <v>0.66999999999999993</v>
      </c>
      <c r="AE280" s="199">
        <f t="shared" si="6"/>
        <v>2</v>
      </c>
      <c r="AF280" s="201">
        <f t="shared" si="281"/>
        <v>0</v>
      </c>
      <c r="AG280" s="201">
        <f t="shared" si="8"/>
        <v>1</v>
      </c>
      <c r="AH280" s="202">
        <f t="shared" si="469"/>
        <v>0</v>
      </c>
      <c r="AI280" s="205"/>
      <c r="AJ280" s="337" t="s">
        <v>68</v>
      </c>
      <c r="AK280" s="1139">
        <f t="shared" ref="AK280:AK282" si="494">SUM(AO280+AM280+AQ280+AS275+AU275+AW275)</f>
        <v>27.67</v>
      </c>
      <c r="AL280" s="1007"/>
      <c r="AM280" s="1139">
        <f>SUMIFS($AE$2:$AE879, $D$2:$D879, "Rare", $E$2:$E879, "Classic", $F$2:F879, "Warlock")</f>
        <v>10</v>
      </c>
      <c r="AN280" s="1007"/>
      <c r="AO280" s="1139">
        <f>SUMIFS($AE$2:$AE879, $D$2:$D879, "Rare", $E$2:$E879, "GvG", $F$2:F879, "Warlock")</f>
        <v>6</v>
      </c>
      <c r="AP280" s="1007"/>
      <c r="AQ280" s="1139">
        <f>SUMIFS($AE$2:$AE879, $D$2:$D879, "Rare", $E$2:$E879, "TGT", $F$2:F879, "Warlock")</f>
        <v>5.67</v>
      </c>
      <c r="AR280" s="1007"/>
      <c r="AS280" s="1139">
        <f>SUMIFS($AE$2:$AE879, $D$2:$D879, "Rare", $E$2:$E879, "TOG", $F$2:F879, "Warlock")</f>
        <v>5</v>
      </c>
      <c r="AT280" s="1007"/>
      <c r="AU280" s="229"/>
      <c r="AV280" s="229"/>
      <c r="AW280" s="229"/>
      <c r="AX280" s="229"/>
    </row>
    <row r="281" spans="1:50" ht="14.25">
      <c r="A281" s="209"/>
      <c r="B281" s="344">
        <v>5</v>
      </c>
      <c r="C281" s="345" t="s">
        <v>711</v>
      </c>
      <c r="D281" s="346" t="s">
        <v>69</v>
      </c>
      <c r="E281" s="346" t="s">
        <v>77</v>
      </c>
      <c r="F281" s="346" t="s">
        <v>21</v>
      </c>
      <c r="G281" s="347">
        <v>1</v>
      </c>
      <c r="H281" s="347">
        <v>0</v>
      </c>
      <c r="I281" s="348">
        <v>0.33</v>
      </c>
      <c r="J281" s="348">
        <v>0.33</v>
      </c>
      <c r="K281" s="272" t="s">
        <v>182</v>
      </c>
      <c r="L281" s="272"/>
      <c r="M281" s="272">
        <v>7</v>
      </c>
      <c r="N281" s="272">
        <v>8</v>
      </c>
      <c r="O281" s="349" t="s">
        <v>712</v>
      </c>
      <c r="P281" s="350" t="s">
        <v>193</v>
      </c>
      <c r="Q281" s="346" t="s">
        <v>148</v>
      </c>
      <c r="R281" s="173"/>
      <c r="S281" s="195">
        <f>MATCH($D281,Reference!$J$5:$J$9,0)</f>
        <v>4</v>
      </c>
      <c r="T281" s="195">
        <f>MATCH($E281,Reference!$J$26:$J$32,0)</f>
        <v>2</v>
      </c>
      <c r="U281" s="195">
        <f>MATCH($F281,Reference!$J$45:$J$54,0)</f>
        <v>7</v>
      </c>
      <c r="V281" s="196">
        <f>MATCH($K281,Reference!$J$37:$J$39,0)</f>
        <v>3</v>
      </c>
      <c r="W281" s="197">
        <f t="shared" si="278"/>
        <v>1</v>
      </c>
      <c r="X281" s="197">
        <f t="shared" si="1"/>
        <v>1</v>
      </c>
      <c r="Y281" s="197">
        <f t="shared" si="467"/>
        <v>0</v>
      </c>
      <c r="Z281" s="197">
        <f t="shared" si="279"/>
        <v>1</v>
      </c>
      <c r="AA281" s="199" t="b">
        <f t="shared" si="3"/>
        <v>0</v>
      </c>
      <c r="AB281" s="199" t="b">
        <f t="shared" si="4"/>
        <v>1</v>
      </c>
      <c r="AC281" s="200">
        <f t="shared" ref="AC281:AD281" si="495">1-I281</f>
        <v>0.66999999999999993</v>
      </c>
      <c r="AD281" s="200">
        <f t="shared" si="495"/>
        <v>0.66999999999999993</v>
      </c>
      <c r="AE281" s="199">
        <f t="shared" si="6"/>
        <v>1.67</v>
      </c>
      <c r="AF281" s="201">
        <f t="shared" si="281"/>
        <v>0</v>
      </c>
      <c r="AG281" s="201">
        <f t="shared" si="8"/>
        <v>1</v>
      </c>
      <c r="AH281" s="202">
        <f t="shared" si="469"/>
        <v>0</v>
      </c>
      <c r="AI281" s="205"/>
      <c r="AJ281" s="339" t="s">
        <v>69</v>
      </c>
      <c r="AK281" s="1140">
        <f t="shared" si="494"/>
        <v>17.009999999999998</v>
      </c>
      <c r="AL281" s="1007"/>
      <c r="AM281" s="1140">
        <f>SUMIFS($AE$2:$AE879, $D$2:$D879, "Epic", $E$2:$E879, "Classic", $F$2:F879, "Warlock")</f>
        <v>5.34</v>
      </c>
      <c r="AN281" s="1007"/>
      <c r="AO281" s="1140">
        <f>SUMIFS($AE$2:$AE879, $D$2:$D879, "Epic", $E$2:$E879, "GvG", $F$2:F879, "Warlock")</f>
        <v>3.67</v>
      </c>
      <c r="AP281" s="1007"/>
      <c r="AQ281" s="1140">
        <f>SUMIFS($AE$2:$AE879, $D$2:$D879, "Epic", $E$2:$E879, "TGT", $F$2:F879, "Warlock")</f>
        <v>4</v>
      </c>
      <c r="AR281" s="1007"/>
      <c r="AS281" s="1140">
        <f>SUMIFS($AE$2:$AE879, $D$2:$D879, "Epic", $E$2:$E879, "TOG", $F$2:F879, "Warlock")</f>
        <v>1</v>
      </c>
      <c r="AT281" s="1007"/>
      <c r="AU281" s="229"/>
      <c r="AV281" s="229"/>
      <c r="AW281" s="229"/>
      <c r="AX281" s="229"/>
    </row>
    <row r="282" spans="1:50" ht="14.25">
      <c r="A282" s="209"/>
      <c r="B282" s="344">
        <v>5</v>
      </c>
      <c r="C282" s="345" t="s">
        <v>713</v>
      </c>
      <c r="D282" s="346" t="s">
        <v>69</v>
      </c>
      <c r="E282" s="346" t="s">
        <v>77</v>
      </c>
      <c r="F282" s="346" t="s">
        <v>115</v>
      </c>
      <c r="G282" s="347">
        <v>1</v>
      </c>
      <c r="H282" s="347">
        <v>0</v>
      </c>
      <c r="I282" s="348">
        <v>1</v>
      </c>
      <c r="J282" s="348">
        <v>0.33</v>
      </c>
      <c r="K282" s="272" t="s">
        <v>182</v>
      </c>
      <c r="L282" s="272"/>
      <c r="M282" s="272">
        <v>3</v>
      </c>
      <c r="N282" s="272">
        <v>3</v>
      </c>
      <c r="O282" s="349" t="s">
        <v>714</v>
      </c>
      <c r="P282" s="350" t="s">
        <v>275</v>
      </c>
      <c r="Q282" s="346" t="s">
        <v>148</v>
      </c>
      <c r="R282" s="173"/>
      <c r="S282" s="195">
        <f>MATCH($D282,Reference!$J$5:$J$9,0)</f>
        <v>4</v>
      </c>
      <c r="T282" s="195">
        <f>MATCH($E282,Reference!$J$26:$J$32,0)</f>
        <v>2</v>
      </c>
      <c r="U282" s="195">
        <f>MATCH($F282,Reference!$J$45:$J$54,0)</f>
        <v>10</v>
      </c>
      <c r="V282" s="196">
        <f>MATCH($K282,Reference!$J$37:$J$39,0)</f>
        <v>3</v>
      </c>
      <c r="W282" s="197">
        <f t="shared" si="278"/>
        <v>1</v>
      </c>
      <c r="X282" s="197">
        <f t="shared" si="1"/>
        <v>1</v>
      </c>
      <c r="Y282" s="197">
        <f t="shared" si="467"/>
        <v>0</v>
      </c>
      <c r="Z282" s="197">
        <f t="shared" si="279"/>
        <v>1</v>
      </c>
      <c r="AA282" s="199" t="b">
        <f t="shared" si="3"/>
        <v>0</v>
      </c>
      <c r="AB282" s="199" t="b">
        <f t="shared" si="4"/>
        <v>1</v>
      </c>
      <c r="AC282" s="200">
        <f t="shared" ref="AC282:AD282" si="496">1-I282</f>
        <v>0</v>
      </c>
      <c r="AD282" s="200">
        <f t="shared" si="496"/>
        <v>0.66999999999999993</v>
      </c>
      <c r="AE282" s="199">
        <f t="shared" si="6"/>
        <v>1.67</v>
      </c>
      <c r="AF282" s="201">
        <f t="shared" si="281"/>
        <v>0</v>
      </c>
      <c r="AG282" s="201">
        <f t="shared" si="8"/>
        <v>1</v>
      </c>
      <c r="AH282" s="202">
        <f t="shared" si="469"/>
        <v>0</v>
      </c>
      <c r="AI282" s="205"/>
      <c r="AJ282" s="340" t="s">
        <v>70</v>
      </c>
      <c r="AK282" s="1141">
        <f t="shared" si="494"/>
        <v>3</v>
      </c>
      <c r="AL282" s="1007"/>
      <c r="AM282" s="1141">
        <f>SUMIFS($AE$2:$AE879, $D$2:$D879, "Legendary", $E$2:$E879, "Classic", $F$2:F879, "Warlock")</f>
        <v>1</v>
      </c>
      <c r="AN282" s="1007"/>
      <c r="AO282" s="1141">
        <f>SUMIFS($AE$2:$AE879, $D$2:$D879, "Legendary", $E$2:$E879, "GvG", $F$2:F879, "Warlock")</f>
        <v>1</v>
      </c>
      <c r="AP282" s="1007"/>
      <c r="AQ282" s="1141">
        <f>SUMIFS($AE$2:$AE879, $D$2:$D879, "Legendary", $E$2:$E879, "TGT", $F$2:F879, "Warlock")</f>
        <v>1</v>
      </c>
      <c r="AR282" s="1007"/>
      <c r="AS282" s="1141">
        <f>SUMIFS($AE$2:$AE879, $D$2:$D879, "Legendary", $E$2:$E879, "TOG", $F$2:F879, "Warlock")</f>
        <v>0</v>
      </c>
      <c r="AT282" s="1007"/>
      <c r="AU282" s="229"/>
      <c r="AV282" s="229"/>
      <c r="AW282" s="229"/>
      <c r="AX282" s="229"/>
    </row>
    <row r="283" spans="1:50" ht="14.25">
      <c r="A283" s="209"/>
      <c r="B283" s="354">
        <v>5</v>
      </c>
      <c r="C283" s="345" t="s">
        <v>715</v>
      </c>
      <c r="D283" s="346" t="s">
        <v>69</v>
      </c>
      <c r="E283" s="346" t="s">
        <v>77</v>
      </c>
      <c r="F283" s="346" t="s">
        <v>8</v>
      </c>
      <c r="G283" s="351">
        <v>2</v>
      </c>
      <c r="H283" s="351">
        <v>0</v>
      </c>
      <c r="I283" s="348">
        <v>1</v>
      </c>
      <c r="J283" s="348">
        <v>1</v>
      </c>
      <c r="K283" s="272" t="s">
        <v>146</v>
      </c>
      <c r="L283" s="272"/>
      <c r="M283" s="272"/>
      <c r="N283" s="272"/>
      <c r="O283" s="356" t="s">
        <v>716</v>
      </c>
      <c r="P283" s="350"/>
      <c r="Q283" s="346" t="s">
        <v>148</v>
      </c>
      <c r="R283" s="173"/>
      <c r="S283" s="195">
        <f>MATCH($D283,Reference!$J$5:$J$9,0)</f>
        <v>4</v>
      </c>
      <c r="T283" s="195">
        <f>MATCH($E283,Reference!$J$26:$J$32,0)</f>
        <v>2</v>
      </c>
      <c r="U283" s="195">
        <f>MATCH($F283,Reference!$J$45:$J$54,0)</f>
        <v>1</v>
      </c>
      <c r="V283" s="196">
        <f>MATCH($K283,Reference!$J$37:$J$39,0)</f>
        <v>2</v>
      </c>
      <c r="W283" s="197">
        <f t="shared" si="278"/>
        <v>2</v>
      </c>
      <c r="X283" s="197">
        <f t="shared" si="1"/>
        <v>1</v>
      </c>
      <c r="Y283" s="197">
        <f t="shared" si="467"/>
        <v>0</v>
      </c>
      <c r="Z283" s="197">
        <f t="shared" si="279"/>
        <v>2</v>
      </c>
      <c r="AA283" s="199" t="b">
        <f t="shared" si="3"/>
        <v>0</v>
      </c>
      <c r="AB283" s="199" t="b">
        <f t="shared" si="4"/>
        <v>0</v>
      </c>
      <c r="AC283" s="200">
        <f t="shared" ref="AC283:AD283" si="497">1-I283</f>
        <v>0</v>
      </c>
      <c r="AD283" s="200">
        <f t="shared" si="497"/>
        <v>0</v>
      </c>
      <c r="AE283" s="199">
        <f t="shared" si="6"/>
        <v>2</v>
      </c>
      <c r="AF283" s="201">
        <f t="shared" si="281"/>
        <v>0</v>
      </c>
      <c r="AG283" s="201">
        <f t="shared" si="8"/>
        <v>1</v>
      </c>
      <c r="AH283" s="202">
        <f>(MIN(H283,2)+G283-W283)*400</f>
        <v>0</v>
      </c>
      <c r="AI283" s="205"/>
      <c r="AJ283" s="335" t="s">
        <v>26</v>
      </c>
      <c r="AK283" s="1133" t="s">
        <v>22</v>
      </c>
      <c r="AL283" s="1102"/>
      <c r="AM283" s="1135" t="s">
        <v>77</v>
      </c>
      <c r="AN283" s="1102"/>
      <c r="AO283" s="1135" t="s">
        <v>80</v>
      </c>
      <c r="AP283" s="1102"/>
      <c r="AQ283" s="1135" t="s">
        <v>82</v>
      </c>
      <c r="AR283" s="1102"/>
      <c r="AS283" s="1133" t="s">
        <v>73</v>
      </c>
      <c r="AT283" s="1102"/>
      <c r="AU283" s="173"/>
      <c r="AV283" s="173"/>
    </row>
    <row r="284" spans="1:50" ht="14.25">
      <c r="A284" s="187"/>
      <c r="B284" s="344">
        <v>6</v>
      </c>
      <c r="C284" s="345" t="s">
        <v>717</v>
      </c>
      <c r="D284" s="346" t="s">
        <v>69</v>
      </c>
      <c r="E284" s="346" t="s">
        <v>77</v>
      </c>
      <c r="F284" s="346" t="s">
        <v>16</v>
      </c>
      <c r="G284" s="351">
        <v>0</v>
      </c>
      <c r="H284" s="347">
        <v>0</v>
      </c>
      <c r="I284" s="348">
        <v>0.66</v>
      </c>
      <c r="J284" s="348">
        <v>0.33</v>
      </c>
      <c r="K284" s="246" t="s">
        <v>146</v>
      </c>
      <c r="L284" s="272"/>
      <c r="M284" s="246"/>
      <c r="N284" s="246"/>
      <c r="O284" s="349" t="s">
        <v>718</v>
      </c>
      <c r="P284" s="350"/>
      <c r="Q284" s="346" t="s">
        <v>148</v>
      </c>
      <c r="R284" s="173"/>
      <c r="S284" s="195">
        <f>MATCH($D284,Reference!$J$5:$J$9,0)</f>
        <v>4</v>
      </c>
      <c r="T284" s="195">
        <f>MATCH($E284,Reference!$J$26:$J$32,0)</f>
        <v>2</v>
      </c>
      <c r="U284" s="195">
        <f>MATCH($F284,Reference!$J$45:$J$54,0)</f>
        <v>4</v>
      </c>
      <c r="V284" s="196">
        <f>MATCH($K284,Reference!$J$37:$J$39,0)</f>
        <v>2</v>
      </c>
      <c r="W284" s="197">
        <f t="shared" si="278"/>
        <v>0</v>
      </c>
      <c r="X284" s="197">
        <f t="shared" si="1"/>
        <v>0</v>
      </c>
      <c r="Y284" s="197">
        <f t="shared" si="467"/>
        <v>0</v>
      </c>
      <c r="Z284" s="197">
        <f t="shared" si="279"/>
        <v>0</v>
      </c>
      <c r="AA284" s="199" t="b">
        <f t="shared" si="3"/>
        <v>1</v>
      </c>
      <c r="AB284" s="199" t="b">
        <f t="shared" si="4"/>
        <v>1</v>
      </c>
      <c r="AC284" s="200">
        <f t="shared" ref="AC284:AD284" si="498">1-I284</f>
        <v>0.33999999999999997</v>
      </c>
      <c r="AD284" s="200">
        <f t="shared" si="498"/>
        <v>0.66999999999999993</v>
      </c>
      <c r="AE284" s="199">
        <f t="shared" si="6"/>
        <v>1.0099999999999998</v>
      </c>
      <c r="AF284" s="201">
        <f t="shared" si="281"/>
        <v>0</v>
      </c>
      <c r="AG284" s="201">
        <f t="shared" si="8"/>
        <v>0</v>
      </c>
      <c r="AH284" s="202">
        <f t="shared" ref="AH284:AH296" si="499">(MIN(H284,2)+G284-W284)*100</f>
        <v>0</v>
      </c>
      <c r="AI284" s="205"/>
      <c r="AJ284" s="336" t="s">
        <v>63</v>
      </c>
      <c r="AK284" s="1142">
        <f>SUM(AO284+AM284+AQ284)</f>
        <v>22</v>
      </c>
      <c r="AL284" s="1007"/>
      <c r="AM284" s="1142">
        <f>SUMIFS($AE$2:$AE879, $D$2:$D879, "Common", $E$2:$E879, "Classic", $F$2:F879, "Warrior")</f>
        <v>12</v>
      </c>
      <c r="AN284" s="1007"/>
      <c r="AO284" s="1142">
        <f>SUMIFS($AE$2:$AE879, $D$2:$D879, "Common", $E$2:$E879, "GvG", $F$2:F879, "Warrior")</f>
        <v>4</v>
      </c>
      <c r="AP284" s="1007"/>
      <c r="AQ284" s="1142">
        <f>SUMIFS($AE$2:$AE879, $D$2:$D879, "Common", $E$2:$E879, "TGT", $F$2:F879, "Warrior")</f>
        <v>6</v>
      </c>
      <c r="AR284" s="1007"/>
      <c r="AS284" s="1142">
        <f>SUMIFS($AE$2:$AE879, $D$2:$D879, "Common", $E$2:$E879, "TOG", $F$2:F879, "Warrior")</f>
        <v>6</v>
      </c>
      <c r="AT284" s="1007"/>
      <c r="AU284" s="229"/>
      <c r="AV284" s="229"/>
      <c r="AW284" s="229"/>
      <c r="AX284" s="229"/>
    </row>
    <row r="285" spans="1:50" ht="14.25">
      <c r="A285" s="240"/>
      <c r="B285" s="344">
        <v>6</v>
      </c>
      <c r="C285" s="345" t="s">
        <v>719</v>
      </c>
      <c r="D285" s="346" t="s">
        <v>69</v>
      </c>
      <c r="E285" s="346" t="s">
        <v>77</v>
      </c>
      <c r="F285" s="346" t="s">
        <v>18</v>
      </c>
      <c r="G285" s="347">
        <v>2</v>
      </c>
      <c r="H285" s="347">
        <v>0</v>
      </c>
      <c r="I285" s="348">
        <v>1</v>
      </c>
      <c r="J285" s="348">
        <v>1</v>
      </c>
      <c r="K285" s="272" t="s">
        <v>182</v>
      </c>
      <c r="L285" s="272"/>
      <c r="M285" s="272">
        <v>4</v>
      </c>
      <c r="N285" s="272">
        <v>5</v>
      </c>
      <c r="O285" s="349" t="s">
        <v>720</v>
      </c>
      <c r="P285" s="350" t="s">
        <v>184</v>
      </c>
      <c r="Q285" s="346" t="s">
        <v>148</v>
      </c>
      <c r="R285" s="173"/>
      <c r="S285" s="195">
        <f>MATCH($D285,Reference!$J$5:$J$9,0)</f>
        <v>4</v>
      </c>
      <c r="T285" s="195">
        <f>MATCH($E285,Reference!$J$26:$J$32,0)</f>
        <v>2</v>
      </c>
      <c r="U285" s="195">
        <f>MATCH($F285,Reference!$J$45:$J$54,0)</f>
        <v>5</v>
      </c>
      <c r="V285" s="196">
        <f>MATCH($K285,Reference!$J$37:$J$39,0)</f>
        <v>3</v>
      </c>
      <c r="W285" s="197">
        <f t="shared" si="278"/>
        <v>2</v>
      </c>
      <c r="X285" s="197">
        <f t="shared" si="1"/>
        <v>1</v>
      </c>
      <c r="Y285" s="197">
        <f t="shared" si="467"/>
        <v>0</v>
      </c>
      <c r="Z285" s="197">
        <f t="shared" si="279"/>
        <v>2</v>
      </c>
      <c r="AA285" s="199" t="b">
        <f t="shared" si="3"/>
        <v>0</v>
      </c>
      <c r="AB285" s="199" t="b">
        <f t="shared" si="4"/>
        <v>0</v>
      </c>
      <c r="AC285" s="200">
        <f t="shared" ref="AC285:AD285" si="500">1-I285</f>
        <v>0</v>
      </c>
      <c r="AD285" s="200">
        <f t="shared" si="500"/>
        <v>0</v>
      </c>
      <c r="AE285" s="199">
        <f t="shared" si="6"/>
        <v>2</v>
      </c>
      <c r="AF285" s="201">
        <f t="shared" si="281"/>
        <v>0</v>
      </c>
      <c r="AG285" s="201">
        <f t="shared" si="8"/>
        <v>1</v>
      </c>
      <c r="AH285" s="202">
        <f t="shared" si="499"/>
        <v>0</v>
      </c>
      <c r="AI285" s="205"/>
      <c r="AJ285" s="337" t="s">
        <v>68</v>
      </c>
      <c r="AK285" s="1139">
        <f t="shared" ref="AK285:AK287" si="501">SUM(AO285+AM285+AQ285+AS280+AU280+AW280)</f>
        <v>27</v>
      </c>
      <c r="AL285" s="1007"/>
      <c r="AM285" s="1139">
        <f>SUMIFS($AE$2:$AE879, $D$2:$D879, "Rare", $E$2:$E879, "Classic", $F$2:F879, "Warrior")</f>
        <v>10</v>
      </c>
      <c r="AN285" s="1007"/>
      <c r="AO285" s="1139">
        <f>SUMIFS($AE$2:$AE879, $D$2:$D879, "Rare", $E$2:$E879, "GvG", $F$2:F879, "Warrior")</f>
        <v>6</v>
      </c>
      <c r="AP285" s="1007"/>
      <c r="AQ285" s="1139">
        <f>SUMIFS($AE$2:$AE879, $D$2:$D879, "Rare", $E$2:$E879, "TGT", $F$2:F879, "Warrior")</f>
        <v>6</v>
      </c>
      <c r="AR285" s="1007"/>
      <c r="AS285" s="1139">
        <f>SUMIFS($AE$2:$AE879, $D$2:$D879, "Rare", $E$2:$E879, "TOG", $F$2:F879, "Warrior")</f>
        <v>5</v>
      </c>
      <c r="AT285" s="1007"/>
      <c r="AU285" s="229"/>
      <c r="AV285" s="229"/>
      <c r="AW285" s="229"/>
      <c r="AX285" s="229"/>
    </row>
    <row r="286" spans="1:50" ht="14.25">
      <c r="A286" s="206"/>
      <c r="B286" s="344">
        <v>6</v>
      </c>
      <c r="C286" s="345" t="s">
        <v>721</v>
      </c>
      <c r="D286" s="346" t="s">
        <v>69</v>
      </c>
      <c r="E286" s="346" t="s">
        <v>77</v>
      </c>
      <c r="F286" s="346" t="s">
        <v>20</v>
      </c>
      <c r="G286" s="347">
        <v>1</v>
      </c>
      <c r="H286" s="347">
        <v>0</v>
      </c>
      <c r="I286" s="348">
        <v>0</v>
      </c>
      <c r="J286" s="348">
        <v>0</v>
      </c>
      <c r="K286" s="272" t="s">
        <v>182</v>
      </c>
      <c r="L286" s="272"/>
      <c r="M286" s="272">
        <v>5</v>
      </c>
      <c r="N286" s="272">
        <v>3</v>
      </c>
      <c r="O286" s="349" t="s">
        <v>722</v>
      </c>
      <c r="P286" s="350" t="s">
        <v>558</v>
      </c>
      <c r="Q286" s="346" t="s">
        <v>148</v>
      </c>
      <c r="R286" s="173"/>
      <c r="S286" s="195">
        <f>MATCH($D286,Reference!$J$5:$J$9,0)</f>
        <v>4</v>
      </c>
      <c r="T286" s="195">
        <f>MATCH($E286,Reference!$J$26:$J$32,0)</f>
        <v>2</v>
      </c>
      <c r="U286" s="195">
        <f>MATCH($F286,Reference!$J$45:$J$54,0)</f>
        <v>6</v>
      </c>
      <c r="V286" s="196">
        <f>MATCH($K286,Reference!$J$37:$J$39,0)</f>
        <v>3</v>
      </c>
      <c r="W286" s="197">
        <f t="shared" si="278"/>
        <v>1</v>
      </c>
      <c r="X286" s="197">
        <f t="shared" si="1"/>
        <v>1</v>
      </c>
      <c r="Y286" s="197">
        <f t="shared" si="467"/>
        <v>0</v>
      </c>
      <c r="Z286" s="197">
        <f t="shared" si="279"/>
        <v>1</v>
      </c>
      <c r="AA286" s="199" t="b">
        <f t="shared" si="3"/>
        <v>0</v>
      </c>
      <c r="AB286" s="199" t="b">
        <f t="shared" si="4"/>
        <v>1</v>
      </c>
      <c r="AC286" s="200">
        <f t="shared" ref="AC286:AD286" si="502">1-I286</f>
        <v>1</v>
      </c>
      <c r="AD286" s="200">
        <f t="shared" si="502"/>
        <v>1</v>
      </c>
      <c r="AE286" s="199">
        <f t="shared" si="6"/>
        <v>2</v>
      </c>
      <c r="AF286" s="201">
        <f t="shared" si="281"/>
        <v>0</v>
      </c>
      <c r="AG286" s="201">
        <f t="shared" si="8"/>
        <v>1</v>
      </c>
      <c r="AH286" s="202">
        <f t="shared" si="499"/>
        <v>0</v>
      </c>
      <c r="AI286" s="205"/>
      <c r="AJ286" s="339" t="s">
        <v>69</v>
      </c>
      <c r="AK286" s="1140">
        <f t="shared" si="501"/>
        <v>14.67</v>
      </c>
      <c r="AL286" s="1007"/>
      <c r="AM286" s="1140">
        <f>SUMIFS($AE$2:$AE879, $D$2:$D879, "Epic", $E$2:$E879, "Classic", $F$2:F879, "Warrior")</f>
        <v>5.67</v>
      </c>
      <c r="AN286" s="1007"/>
      <c r="AO286" s="1140">
        <f>SUMIFS($AE$2:$AE879, $D$2:$D879, "Epic", $E$2:$E879, "GvG", $F$2:F879, "Warrior")</f>
        <v>4</v>
      </c>
      <c r="AP286" s="1007"/>
      <c r="AQ286" s="1140">
        <f>SUMIFS($AE$2:$AE879, $D$2:$D879, "Epic", $E$2:$E879, "TGT", $F$2:F879, "Warrior")</f>
        <v>4</v>
      </c>
      <c r="AR286" s="1007"/>
      <c r="AS286" s="1140">
        <f>SUMIFS($AE$2:$AE879, $D$2:$D879, "Epic", $E$2:$E879, "TOG", $F$2:F879, "Warrior")</f>
        <v>1</v>
      </c>
      <c r="AT286" s="1007"/>
      <c r="AU286" s="229"/>
      <c r="AV286" s="229"/>
      <c r="AW286" s="229"/>
      <c r="AX286" s="229"/>
    </row>
    <row r="287" spans="1:50" ht="14.25">
      <c r="A287" s="187"/>
      <c r="B287" s="344">
        <v>7</v>
      </c>
      <c r="C287" s="345" t="s">
        <v>723</v>
      </c>
      <c r="D287" s="346" t="s">
        <v>69</v>
      </c>
      <c r="E287" s="346" t="s">
        <v>77</v>
      </c>
      <c r="F287" s="346" t="s">
        <v>8</v>
      </c>
      <c r="G287" s="351">
        <v>2</v>
      </c>
      <c r="H287" s="347">
        <v>0</v>
      </c>
      <c r="I287" s="348">
        <v>1</v>
      </c>
      <c r="J287" s="348">
        <v>1</v>
      </c>
      <c r="K287" s="272" t="s">
        <v>182</v>
      </c>
      <c r="L287" s="272"/>
      <c r="M287" s="272">
        <v>5</v>
      </c>
      <c r="N287" s="272">
        <v>5</v>
      </c>
      <c r="O287" s="356" t="s">
        <v>724</v>
      </c>
      <c r="P287" s="350" t="s">
        <v>651</v>
      </c>
      <c r="Q287" s="346" t="s">
        <v>148</v>
      </c>
      <c r="R287" s="173"/>
      <c r="S287" s="195">
        <f>MATCH($D287,Reference!$J$5:$J$9,0)</f>
        <v>4</v>
      </c>
      <c r="T287" s="195">
        <f>MATCH($E287,Reference!$J$26:$J$32,0)</f>
        <v>2</v>
      </c>
      <c r="U287" s="195">
        <f>MATCH($F287,Reference!$J$45:$J$54,0)</f>
        <v>1</v>
      </c>
      <c r="V287" s="196">
        <f>MATCH($K287,Reference!$J$37:$J$39,0)</f>
        <v>3</v>
      </c>
      <c r="W287" s="197">
        <f t="shared" si="278"/>
        <v>2</v>
      </c>
      <c r="X287" s="197">
        <f t="shared" si="1"/>
        <v>1</v>
      </c>
      <c r="Y287" s="197">
        <f t="shared" si="467"/>
        <v>0</v>
      </c>
      <c r="Z287" s="197">
        <f t="shared" si="279"/>
        <v>2</v>
      </c>
      <c r="AA287" s="199" t="b">
        <f t="shared" si="3"/>
        <v>0</v>
      </c>
      <c r="AB287" s="199" t="b">
        <f t="shared" si="4"/>
        <v>0</v>
      </c>
      <c r="AC287" s="200">
        <f t="shared" ref="AC287:AD287" si="503">1-I287</f>
        <v>0</v>
      </c>
      <c r="AD287" s="200">
        <f t="shared" si="503"/>
        <v>0</v>
      </c>
      <c r="AE287" s="199">
        <f t="shared" si="6"/>
        <v>2</v>
      </c>
      <c r="AF287" s="201">
        <f t="shared" si="281"/>
        <v>0</v>
      </c>
      <c r="AG287" s="201">
        <f t="shared" si="8"/>
        <v>1</v>
      </c>
      <c r="AH287" s="202">
        <f t="shared" si="499"/>
        <v>0</v>
      </c>
      <c r="AI287" s="205"/>
      <c r="AJ287" s="340" t="s">
        <v>70</v>
      </c>
      <c r="AK287" s="1141">
        <f t="shared" si="501"/>
        <v>2.67</v>
      </c>
      <c r="AL287" s="1007"/>
      <c r="AM287" s="1141">
        <f>SUMIFS($AE$2:$AE879, $D$2:$D879, "Legendary", $E$2:$E879, "Classic", $F$2:F879, "Warrior")</f>
        <v>1</v>
      </c>
      <c r="AN287" s="1007"/>
      <c r="AO287" s="1141">
        <f>SUMIFS($AE$2:$AE879, $D$2:$D879, "Legendary", $E$2:$E879, "GvG", $F$2:F879, "Warrior")</f>
        <v>0.66999999999999993</v>
      </c>
      <c r="AP287" s="1007"/>
      <c r="AQ287" s="1141">
        <f>SUMIFS($AE$2:$AE879, $D$2:$D879, "Legendary", $E$2:$E879, "TGT", $F$2:F879, "Warrior")</f>
        <v>1</v>
      </c>
      <c r="AR287" s="1007"/>
      <c r="AS287" s="1141">
        <f>SUMIFS($AE$2:$AE879, $D$2:$D879, "Legendary", $E$2:$E879, "TOG", $F$2:F879, "Warrior")</f>
        <v>0</v>
      </c>
      <c r="AT287" s="1007"/>
      <c r="AU287" s="229"/>
      <c r="AV287" s="229"/>
      <c r="AW287" s="229"/>
      <c r="AX287" s="229"/>
    </row>
    <row r="288" spans="1:50" ht="14.25">
      <c r="A288" s="209"/>
      <c r="B288" s="344">
        <v>7</v>
      </c>
      <c r="C288" s="345" t="s">
        <v>725</v>
      </c>
      <c r="D288" s="346" t="s">
        <v>69</v>
      </c>
      <c r="E288" s="346" t="s">
        <v>77</v>
      </c>
      <c r="F288" s="346" t="s">
        <v>8</v>
      </c>
      <c r="G288" s="347">
        <v>2</v>
      </c>
      <c r="H288" s="347">
        <v>0</v>
      </c>
      <c r="I288" s="348">
        <v>1</v>
      </c>
      <c r="J288" s="348">
        <v>1</v>
      </c>
      <c r="K288" s="272" t="s">
        <v>182</v>
      </c>
      <c r="L288" s="272"/>
      <c r="M288" s="272">
        <v>5</v>
      </c>
      <c r="N288" s="272">
        <v>5</v>
      </c>
      <c r="O288" s="349" t="s">
        <v>726</v>
      </c>
      <c r="P288" s="350" t="s">
        <v>651</v>
      </c>
      <c r="Q288" s="346" t="s">
        <v>148</v>
      </c>
      <c r="R288" s="173"/>
      <c r="S288" s="195">
        <f>MATCH($D288,Reference!$J$5:$J$9,0)</f>
        <v>4</v>
      </c>
      <c r="T288" s="195">
        <f>MATCH($E288,Reference!$J$26:$J$32,0)</f>
        <v>2</v>
      </c>
      <c r="U288" s="195">
        <f>MATCH($F288,Reference!$J$45:$J$54,0)</f>
        <v>1</v>
      </c>
      <c r="V288" s="196">
        <f>MATCH($K288,Reference!$J$37:$J$39,0)</f>
        <v>3</v>
      </c>
      <c r="W288" s="197">
        <f t="shared" si="278"/>
        <v>2</v>
      </c>
      <c r="X288" s="197">
        <f t="shared" si="1"/>
        <v>1</v>
      </c>
      <c r="Y288" s="197">
        <f t="shared" si="467"/>
        <v>0</v>
      </c>
      <c r="Z288" s="197">
        <f t="shared" si="279"/>
        <v>2</v>
      </c>
      <c r="AA288" s="199" t="b">
        <f t="shared" si="3"/>
        <v>0</v>
      </c>
      <c r="AB288" s="199" t="b">
        <f t="shared" si="4"/>
        <v>0</v>
      </c>
      <c r="AC288" s="200">
        <f t="shared" ref="AC288:AD288" si="504">1-I288</f>
        <v>0</v>
      </c>
      <c r="AD288" s="200">
        <f t="shared" si="504"/>
        <v>0</v>
      </c>
      <c r="AE288" s="199">
        <f t="shared" si="6"/>
        <v>2</v>
      </c>
      <c r="AF288" s="201">
        <f t="shared" si="281"/>
        <v>0</v>
      </c>
      <c r="AG288" s="201">
        <f t="shared" si="8"/>
        <v>1</v>
      </c>
      <c r="AH288" s="202">
        <f t="shared" si="499"/>
        <v>0</v>
      </c>
      <c r="AI288" s="205"/>
      <c r="AJ288" s="335" t="s">
        <v>115</v>
      </c>
      <c r="AK288" s="1133" t="s">
        <v>22</v>
      </c>
      <c r="AL288" s="1102"/>
      <c r="AM288" s="1135" t="s">
        <v>77</v>
      </c>
      <c r="AN288" s="1102"/>
      <c r="AO288" s="1135" t="s">
        <v>80</v>
      </c>
      <c r="AP288" s="1102"/>
      <c r="AQ288" s="1135" t="s">
        <v>82</v>
      </c>
      <c r="AR288" s="1102"/>
      <c r="AS288" s="1133" t="s">
        <v>73</v>
      </c>
      <c r="AT288" s="1102"/>
      <c r="AU288" s="173"/>
      <c r="AV288" s="173"/>
    </row>
    <row r="289" spans="1:56" ht="14.25">
      <c r="A289" s="213"/>
      <c r="B289" s="344">
        <v>7</v>
      </c>
      <c r="C289" s="345" t="s">
        <v>727</v>
      </c>
      <c r="D289" s="346" t="s">
        <v>69</v>
      </c>
      <c r="E289" s="346" t="s">
        <v>77</v>
      </c>
      <c r="F289" s="346" t="s">
        <v>11</v>
      </c>
      <c r="G289" s="347">
        <v>0</v>
      </c>
      <c r="H289" s="351">
        <v>0</v>
      </c>
      <c r="I289" s="348">
        <v>0.33</v>
      </c>
      <c r="J289" s="348">
        <v>0.33</v>
      </c>
      <c r="K289" s="272" t="s">
        <v>207</v>
      </c>
      <c r="L289" s="272"/>
      <c r="M289" s="272">
        <v>5</v>
      </c>
      <c r="N289" s="272">
        <v>2</v>
      </c>
      <c r="O289" s="349" t="s">
        <v>728</v>
      </c>
      <c r="P289" s="350"/>
      <c r="Q289" s="346" t="s">
        <v>148</v>
      </c>
      <c r="R289" s="173"/>
      <c r="S289" s="195">
        <f>MATCH($D289,Reference!$J$5:$J$9,0)</f>
        <v>4</v>
      </c>
      <c r="T289" s="195">
        <f>MATCH($E289,Reference!$J$26:$J$32,0)</f>
        <v>2</v>
      </c>
      <c r="U289" s="195">
        <f>MATCH($F289,Reference!$J$45:$J$54,0)</f>
        <v>2</v>
      </c>
      <c r="V289" s="196">
        <f>MATCH($K289,Reference!$J$37:$J$39,0)</f>
        <v>1</v>
      </c>
      <c r="W289" s="197">
        <f t="shared" si="278"/>
        <v>0</v>
      </c>
      <c r="X289" s="197">
        <f t="shared" si="1"/>
        <v>0</v>
      </c>
      <c r="Y289" s="197">
        <f t="shared" si="467"/>
        <v>0</v>
      </c>
      <c r="Z289" s="197">
        <f t="shared" si="279"/>
        <v>0</v>
      </c>
      <c r="AA289" s="199" t="b">
        <f t="shared" si="3"/>
        <v>1</v>
      </c>
      <c r="AB289" s="199" t="b">
        <f t="shared" si="4"/>
        <v>1</v>
      </c>
      <c r="AC289" s="200">
        <f t="shared" ref="AC289:AD289" si="505">1-I289</f>
        <v>0.66999999999999993</v>
      </c>
      <c r="AD289" s="200">
        <f t="shared" si="505"/>
        <v>0.66999999999999993</v>
      </c>
      <c r="AE289" s="199">
        <f t="shared" si="6"/>
        <v>1.3399999999999999</v>
      </c>
      <c r="AF289" s="201">
        <f t="shared" si="281"/>
        <v>0</v>
      </c>
      <c r="AG289" s="201">
        <f t="shared" si="8"/>
        <v>0</v>
      </c>
      <c r="AH289" s="202">
        <f t="shared" si="499"/>
        <v>0</v>
      </c>
      <c r="AI289" s="205"/>
      <c r="AJ289" s="336" t="s">
        <v>63</v>
      </c>
      <c r="AK289" s="1142">
        <f>SUM(AO289+AM289+AQ289)</f>
        <v>168</v>
      </c>
      <c r="AL289" s="1007"/>
      <c r="AM289" s="1142">
        <f>SUMIFS($AE$2:$AE879, $D$2:$D879, "Common", $E$2:$E879, "Classic", $F$2:F879, "Neutral")</f>
        <v>80</v>
      </c>
      <c r="AN289" s="1007"/>
      <c r="AO289" s="1142">
        <f>SUMIFS($AE$2:$AE879, $D$2:$D879, "Common", $E$2:$E879, "GvG", $F$2:F879, "Neutral")</f>
        <v>44</v>
      </c>
      <c r="AP289" s="1007"/>
      <c r="AQ289" s="1142">
        <f>SUMIFS($AE$2:$AE879, $D$2:$D879, "Common", $E$2:$E879, "TGT", $F$2:F879, "Neutral")</f>
        <v>44</v>
      </c>
      <c r="AR289" s="1007"/>
      <c r="AS289" s="1142">
        <f>SUMIFS($AE$2:$AE879, $D$2:$D879, "Common", $E$2:$E879, "TOG", $F$2:F879, "Neutral")</f>
        <v>46</v>
      </c>
      <c r="AT289" s="1007"/>
      <c r="AU289" s="173"/>
      <c r="AV289" s="173"/>
    </row>
    <row r="290" spans="1:56" ht="14.25">
      <c r="A290" s="206"/>
      <c r="B290" s="344">
        <v>7</v>
      </c>
      <c r="C290" s="345" t="s">
        <v>729</v>
      </c>
      <c r="D290" s="346" t="s">
        <v>69</v>
      </c>
      <c r="E290" s="346" t="s">
        <v>77</v>
      </c>
      <c r="F290" s="346" t="s">
        <v>26</v>
      </c>
      <c r="G290" s="347">
        <v>1</v>
      </c>
      <c r="H290" s="347">
        <v>0</v>
      </c>
      <c r="I290" s="348">
        <v>1</v>
      </c>
      <c r="J290" s="348">
        <v>0.33</v>
      </c>
      <c r="K290" s="272" t="s">
        <v>207</v>
      </c>
      <c r="L290" s="272"/>
      <c r="M290" s="272">
        <v>7</v>
      </c>
      <c r="N290" s="272">
        <v>1</v>
      </c>
      <c r="O290" s="349" t="s">
        <v>730</v>
      </c>
      <c r="P290" s="350"/>
      <c r="Q290" s="346" t="s">
        <v>148</v>
      </c>
      <c r="R290" s="173"/>
      <c r="S290" s="195">
        <f>MATCH($D290,Reference!$J$5:$J$9,0)</f>
        <v>4</v>
      </c>
      <c r="T290" s="195">
        <f>MATCH($E290,Reference!$J$26:$J$32,0)</f>
        <v>2</v>
      </c>
      <c r="U290" s="195">
        <f>MATCH($F290,Reference!$J$45:$J$54,0)</f>
        <v>9</v>
      </c>
      <c r="V290" s="196">
        <f>MATCH($K290,Reference!$J$37:$J$39,0)</f>
        <v>1</v>
      </c>
      <c r="W290" s="197">
        <f t="shared" si="278"/>
        <v>1</v>
      </c>
      <c r="X290" s="197">
        <f t="shared" si="1"/>
        <v>1</v>
      </c>
      <c r="Y290" s="197">
        <f t="shared" si="467"/>
        <v>0</v>
      </c>
      <c r="Z290" s="197">
        <f t="shared" si="279"/>
        <v>1</v>
      </c>
      <c r="AA290" s="199" t="b">
        <f t="shared" si="3"/>
        <v>0</v>
      </c>
      <c r="AB290" s="199" t="b">
        <f t="shared" si="4"/>
        <v>1</v>
      </c>
      <c r="AC290" s="200">
        <f t="shared" ref="AC290:AD290" si="506">1-I290</f>
        <v>0</v>
      </c>
      <c r="AD290" s="200">
        <f t="shared" si="506"/>
        <v>0.66999999999999993</v>
      </c>
      <c r="AE290" s="199">
        <f t="shared" si="6"/>
        <v>1.67</v>
      </c>
      <c r="AF290" s="201">
        <f t="shared" si="281"/>
        <v>0</v>
      </c>
      <c r="AG290" s="201">
        <f t="shared" si="8"/>
        <v>1</v>
      </c>
      <c r="AH290" s="202">
        <f t="shared" si="499"/>
        <v>0</v>
      </c>
      <c r="AI290" s="205"/>
      <c r="AJ290" s="337" t="s">
        <v>68</v>
      </c>
      <c r="AK290" s="1139">
        <f t="shared" ref="AK290:AK292" si="507">SUM(AO290+AM290+AQ290+AS285+AU285+AW285)</f>
        <v>111.03</v>
      </c>
      <c r="AL290" s="1007"/>
      <c r="AM290" s="1139">
        <f>SUMIFS($AE$2:$AE879, $D$2:$D879, "Rare", $E$2:$E879, "Classic", $F$2:F879, "Neutral")</f>
        <v>71</v>
      </c>
      <c r="AN290" s="1007"/>
      <c r="AO290" s="1139">
        <f>SUMIFS($AE$2:$AE879, $D$2:$D879, "Rare", $E$2:$E879, "GvG", $F$2:F879, "Neutral")</f>
        <v>17.03</v>
      </c>
      <c r="AP290" s="1007"/>
      <c r="AQ290" s="1139">
        <f>SUMIFS($AE$2:$AE879, $D$2:$D879, "Rare", $E$2:$E879, "TGT", $F$2:F879, "Neutral")</f>
        <v>18</v>
      </c>
      <c r="AR290" s="1007"/>
      <c r="AS290" s="1139">
        <f>SUMIFS($AE$2:$AE879, $D$2:$D879, "Rare", $E$2:$E879, "TOG", $F$2:F879, "Neutral")</f>
        <v>15</v>
      </c>
      <c r="AT290" s="1007"/>
      <c r="AU290" s="173"/>
      <c r="AV290" s="173"/>
    </row>
    <row r="291" spans="1:56" ht="14.25">
      <c r="A291" s="209"/>
      <c r="B291" s="344">
        <v>8</v>
      </c>
      <c r="C291" s="345" t="s">
        <v>731</v>
      </c>
      <c r="D291" s="346" t="s">
        <v>69</v>
      </c>
      <c r="E291" s="346" t="s">
        <v>77</v>
      </c>
      <c r="F291" s="346" t="s">
        <v>16</v>
      </c>
      <c r="G291" s="347">
        <v>1</v>
      </c>
      <c r="H291" s="347">
        <v>0</v>
      </c>
      <c r="I291" s="348">
        <v>1</v>
      </c>
      <c r="J291" s="348">
        <v>0.33</v>
      </c>
      <c r="K291" s="272" t="s">
        <v>146</v>
      </c>
      <c r="L291" s="272"/>
      <c r="M291" s="272"/>
      <c r="N291" s="272"/>
      <c r="O291" s="349" t="s">
        <v>732</v>
      </c>
      <c r="P291" s="350"/>
      <c r="Q291" s="346" t="s">
        <v>148</v>
      </c>
      <c r="R291" s="173"/>
      <c r="S291" s="195">
        <f>MATCH($D291,Reference!$J$5:$J$9,0)</f>
        <v>4</v>
      </c>
      <c r="T291" s="195">
        <f>MATCH($E291,Reference!$J$26:$J$32,0)</f>
        <v>2</v>
      </c>
      <c r="U291" s="195">
        <f>MATCH($F291,Reference!$J$45:$J$54,0)</f>
        <v>4</v>
      </c>
      <c r="V291" s="196">
        <f>MATCH($K291,Reference!$J$37:$J$39,0)</f>
        <v>2</v>
      </c>
      <c r="W291" s="197">
        <f t="shared" si="278"/>
        <v>1</v>
      </c>
      <c r="X291" s="197">
        <f t="shared" si="1"/>
        <v>1</v>
      </c>
      <c r="Y291" s="197">
        <f t="shared" si="467"/>
        <v>0</v>
      </c>
      <c r="Z291" s="197">
        <f t="shared" si="279"/>
        <v>1</v>
      </c>
      <c r="AA291" s="199" t="b">
        <f t="shared" si="3"/>
        <v>0</v>
      </c>
      <c r="AB291" s="199" t="b">
        <f t="shared" si="4"/>
        <v>1</v>
      </c>
      <c r="AC291" s="200">
        <f t="shared" ref="AC291:AD291" si="508">1-I291</f>
        <v>0</v>
      </c>
      <c r="AD291" s="200">
        <f t="shared" si="508"/>
        <v>0.66999999999999993</v>
      </c>
      <c r="AE291" s="199">
        <f t="shared" si="6"/>
        <v>1.67</v>
      </c>
      <c r="AF291" s="201">
        <f t="shared" si="281"/>
        <v>0</v>
      </c>
      <c r="AG291" s="201">
        <f t="shared" si="8"/>
        <v>1</v>
      </c>
      <c r="AH291" s="202">
        <f t="shared" si="499"/>
        <v>0</v>
      </c>
      <c r="AI291" s="205"/>
      <c r="AJ291" s="339" t="s">
        <v>69</v>
      </c>
      <c r="AK291" s="1140">
        <f t="shared" si="507"/>
        <v>47.73</v>
      </c>
      <c r="AL291" s="1007"/>
      <c r="AM291" s="1140">
        <f>SUMIFS($AE$2:$AE879, $D$2:$D879, "Epic", $E$2:$E879, "Classic", $F$2:F879, "Neutral")</f>
        <v>18.350000000000001</v>
      </c>
      <c r="AN291" s="1007"/>
      <c r="AO291" s="1140">
        <f>SUMIFS($AE$2:$AE879, $D$2:$D879, "Epic", $E$2:$E879, "GvG", $F$2:F879, "Neutral")</f>
        <v>12.69</v>
      </c>
      <c r="AP291" s="1007"/>
      <c r="AQ291" s="1140">
        <f>SUMIFS($AE$2:$AE879, $D$2:$D879, "Epic", $E$2:$E879, "TGT", $F$2:F879, "Neutral")</f>
        <v>15.69</v>
      </c>
      <c r="AR291" s="1007"/>
      <c r="AS291" s="1140">
        <f>SUMIFS($AE$2:$AE879, $D$2:$D879, "Epic", $E$2:$E879, "TOG", $F$2:F879, "Neutral")</f>
        <v>5</v>
      </c>
      <c r="AT291" s="1007"/>
      <c r="AU291" s="173"/>
      <c r="AV291" s="173"/>
    </row>
    <row r="292" spans="1:56" ht="14.25">
      <c r="A292" s="240"/>
      <c r="B292" s="344">
        <v>8</v>
      </c>
      <c r="C292" s="345" t="s">
        <v>733</v>
      </c>
      <c r="D292" s="346" t="s">
        <v>69</v>
      </c>
      <c r="E292" s="346" t="s">
        <v>77</v>
      </c>
      <c r="F292" s="346" t="s">
        <v>25</v>
      </c>
      <c r="G292" s="347">
        <v>1</v>
      </c>
      <c r="H292" s="347">
        <v>0</v>
      </c>
      <c r="I292" s="348">
        <v>0.33</v>
      </c>
      <c r="J292" s="348">
        <v>0</v>
      </c>
      <c r="K292" s="272" t="s">
        <v>146</v>
      </c>
      <c r="L292" s="272"/>
      <c r="M292" s="272"/>
      <c r="N292" s="272"/>
      <c r="O292" s="349" t="s">
        <v>734</v>
      </c>
      <c r="P292" s="350"/>
      <c r="Q292" s="346" t="s">
        <v>148</v>
      </c>
      <c r="R292" s="173"/>
      <c r="S292" s="195">
        <f>MATCH($D292,Reference!$J$5:$J$9,0)</f>
        <v>4</v>
      </c>
      <c r="T292" s="195">
        <f>MATCH($E292,Reference!$J$26:$J$32,0)</f>
        <v>2</v>
      </c>
      <c r="U292" s="195">
        <f>MATCH($F292,Reference!$J$45:$J$54,0)</f>
        <v>8</v>
      </c>
      <c r="V292" s="196">
        <f>MATCH($K292,Reference!$J$37:$J$39,0)</f>
        <v>2</v>
      </c>
      <c r="W292" s="197">
        <f t="shared" si="278"/>
        <v>1</v>
      </c>
      <c r="X292" s="197">
        <f t="shared" si="1"/>
        <v>1</v>
      </c>
      <c r="Y292" s="197">
        <f t="shared" si="467"/>
        <v>0</v>
      </c>
      <c r="Z292" s="197">
        <f t="shared" si="279"/>
        <v>1</v>
      </c>
      <c r="AA292" s="199" t="b">
        <f t="shared" si="3"/>
        <v>0</v>
      </c>
      <c r="AB292" s="199" t="b">
        <f t="shared" si="4"/>
        <v>1</v>
      </c>
      <c r="AC292" s="200">
        <f t="shared" ref="AC292:AD292" si="509">1-I292</f>
        <v>0.66999999999999993</v>
      </c>
      <c r="AD292" s="200">
        <f t="shared" si="509"/>
        <v>1</v>
      </c>
      <c r="AE292" s="199">
        <f t="shared" si="6"/>
        <v>2</v>
      </c>
      <c r="AF292" s="201">
        <f t="shared" si="281"/>
        <v>0</v>
      </c>
      <c r="AG292" s="201">
        <f t="shared" si="8"/>
        <v>1</v>
      </c>
      <c r="AH292" s="202">
        <f t="shared" si="499"/>
        <v>0</v>
      </c>
      <c r="AI292" s="205"/>
      <c r="AJ292" s="340" t="s">
        <v>70</v>
      </c>
      <c r="AK292" s="1143">
        <f t="shared" si="507"/>
        <v>39.709999999999994</v>
      </c>
      <c r="AL292" s="1034"/>
      <c r="AM292" s="1143">
        <f>SUMIFS($AE$2:$AE879, $D$2:$D879, "Legendary", $E$2:$E879, "Classic", $F$2:F879, "Neutral")</f>
        <v>22.009999999999998</v>
      </c>
      <c r="AN292" s="1034"/>
      <c r="AO292" s="1143">
        <f>SUMIFS($AE$2:$AE879, $D$2:$D879, "Legendary", $E$2:$E879, "GvG", $F$2:F879, "Neutral")</f>
        <v>9.02</v>
      </c>
      <c r="AP292" s="1034"/>
      <c r="AQ292" s="1143">
        <f>SUMIFS($AE$2:$AE879, $D$2:$D879, "Legendary", $E$2:$E879, "TGT", $F$2:F879, "Neutral")</f>
        <v>8.68</v>
      </c>
      <c r="AR292" s="1034"/>
      <c r="AS292" s="1143">
        <f>SUMIFS($AE$2:$AE879, $D$2:$D879, "Legendary", $E$2:$E879, "TOG", $F$2:F879, "Neutral")</f>
        <v>6</v>
      </c>
      <c r="AT292" s="1034"/>
      <c r="AU292" s="173"/>
      <c r="AV292" s="173"/>
    </row>
    <row r="293" spans="1:56" ht="14.25">
      <c r="A293" s="240"/>
      <c r="B293" s="344">
        <v>10</v>
      </c>
      <c r="C293" s="345" t="s">
        <v>735</v>
      </c>
      <c r="D293" s="346" t="s">
        <v>69</v>
      </c>
      <c r="E293" s="346" t="s">
        <v>77</v>
      </c>
      <c r="F293" s="346" t="s">
        <v>13</v>
      </c>
      <c r="G293" s="347">
        <v>2</v>
      </c>
      <c r="H293" s="347">
        <v>0</v>
      </c>
      <c r="I293" s="348">
        <v>1</v>
      </c>
      <c r="J293" s="348">
        <v>0.66</v>
      </c>
      <c r="K293" s="272" t="s">
        <v>146</v>
      </c>
      <c r="L293" s="272"/>
      <c r="M293" s="272"/>
      <c r="N293" s="272"/>
      <c r="O293" s="349" t="s">
        <v>736</v>
      </c>
      <c r="P293" s="350"/>
      <c r="Q293" s="346" t="s">
        <v>148</v>
      </c>
      <c r="R293" s="173"/>
      <c r="S293" s="195">
        <f>MATCH($D293,Reference!$J$5:$J$9,0)</f>
        <v>4</v>
      </c>
      <c r="T293" s="195">
        <f>MATCH($E293,Reference!$J$26:$J$32,0)</f>
        <v>2</v>
      </c>
      <c r="U293" s="195">
        <f>MATCH($F293,Reference!$J$45:$J$54,0)</f>
        <v>3</v>
      </c>
      <c r="V293" s="196">
        <f>MATCH($K293,Reference!$J$37:$J$39,0)</f>
        <v>2</v>
      </c>
      <c r="W293" s="197">
        <f t="shared" si="278"/>
        <v>2</v>
      </c>
      <c r="X293" s="197">
        <f t="shared" si="1"/>
        <v>1</v>
      </c>
      <c r="Y293" s="197">
        <f t="shared" si="467"/>
        <v>0</v>
      </c>
      <c r="Z293" s="197">
        <f t="shared" si="279"/>
        <v>2</v>
      </c>
      <c r="AA293" s="199" t="b">
        <f t="shared" si="3"/>
        <v>0</v>
      </c>
      <c r="AB293" s="199" t="b">
        <f t="shared" si="4"/>
        <v>0</v>
      </c>
      <c r="AC293" s="200">
        <f t="shared" ref="AC293:AD293" si="510">1-I293</f>
        <v>0</v>
      </c>
      <c r="AD293" s="200">
        <f t="shared" si="510"/>
        <v>0.33999999999999997</v>
      </c>
      <c r="AE293" s="199">
        <f t="shared" si="6"/>
        <v>2</v>
      </c>
      <c r="AF293" s="201">
        <f t="shared" si="281"/>
        <v>0</v>
      </c>
      <c r="AG293" s="201">
        <f t="shared" si="8"/>
        <v>1</v>
      </c>
      <c r="AH293" s="202">
        <f t="shared" si="499"/>
        <v>0</v>
      </c>
      <c r="AI293" s="205"/>
      <c r="AJ293" s="173"/>
      <c r="AK293" s="173"/>
      <c r="AL293" s="173"/>
      <c r="AM293" s="173"/>
      <c r="AN293" s="173"/>
      <c r="AO293" s="173"/>
      <c r="AP293" s="173"/>
      <c r="AQ293" s="173"/>
      <c r="AR293" s="173"/>
      <c r="AS293" s="173"/>
      <c r="AT293" s="173"/>
      <c r="AU293" s="173"/>
      <c r="AV293" s="173"/>
    </row>
    <row r="294" spans="1:56">
      <c r="A294" s="187"/>
      <c r="B294" s="344">
        <v>10</v>
      </c>
      <c r="C294" s="345" t="s">
        <v>737</v>
      </c>
      <c r="D294" s="346" t="s">
        <v>69</v>
      </c>
      <c r="E294" s="346" t="s">
        <v>77</v>
      </c>
      <c r="F294" s="346" t="s">
        <v>115</v>
      </c>
      <c r="G294" s="347">
        <v>2</v>
      </c>
      <c r="H294" s="347">
        <v>0</v>
      </c>
      <c r="I294" s="348">
        <v>1</v>
      </c>
      <c r="J294" s="348">
        <v>0.33</v>
      </c>
      <c r="K294" s="272" t="s">
        <v>182</v>
      </c>
      <c r="L294" s="272"/>
      <c r="M294" s="272">
        <v>8</v>
      </c>
      <c r="N294" s="272">
        <v>8</v>
      </c>
      <c r="O294" s="349" t="s">
        <v>738</v>
      </c>
      <c r="P294" s="350"/>
      <c r="Q294" s="346" t="s">
        <v>148</v>
      </c>
      <c r="R294" s="173"/>
      <c r="S294" s="195">
        <f>MATCH($D294,Reference!$J$5:$J$9,0)</f>
        <v>4</v>
      </c>
      <c r="T294" s="195">
        <f>MATCH($E294,Reference!$J$26:$J$32,0)</f>
        <v>2</v>
      </c>
      <c r="U294" s="195">
        <f>MATCH($F294,Reference!$J$45:$J$54,0)</f>
        <v>10</v>
      </c>
      <c r="V294" s="196">
        <f>MATCH($K294,Reference!$J$37:$J$39,0)</f>
        <v>3</v>
      </c>
      <c r="W294" s="197">
        <f t="shared" si="278"/>
        <v>2</v>
      </c>
      <c r="X294" s="197">
        <f t="shared" si="1"/>
        <v>1</v>
      </c>
      <c r="Y294" s="197">
        <f t="shared" si="467"/>
        <v>0</v>
      </c>
      <c r="Z294" s="197">
        <f t="shared" si="279"/>
        <v>2</v>
      </c>
      <c r="AA294" s="199" t="b">
        <f t="shared" si="3"/>
        <v>0</v>
      </c>
      <c r="AB294" s="199" t="b">
        <f t="shared" si="4"/>
        <v>0</v>
      </c>
      <c r="AC294" s="200">
        <f t="shared" ref="AC294:AD294" si="511">1-I294</f>
        <v>0</v>
      </c>
      <c r="AD294" s="200">
        <f t="shared" si="511"/>
        <v>0.66999999999999993</v>
      </c>
      <c r="AE294" s="199">
        <f t="shared" si="6"/>
        <v>2</v>
      </c>
      <c r="AF294" s="201">
        <f t="shared" si="281"/>
        <v>0</v>
      </c>
      <c r="AG294" s="201">
        <f t="shared" si="8"/>
        <v>1</v>
      </c>
      <c r="AH294" s="202">
        <f t="shared" si="499"/>
        <v>0</v>
      </c>
      <c r="AI294" s="205"/>
      <c r="AJ294" s="1134" t="s">
        <v>739</v>
      </c>
      <c r="AK294" s="1102"/>
      <c r="AL294" s="1102"/>
      <c r="AM294" s="1102"/>
      <c r="AN294" s="1102"/>
      <c r="AO294" s="1102"/>
      <c r="AP294" s="1102"/>
      <c r="AQ294" s="1102"/>
      <c r="AR294" s="1102"/>
      <c r="AS294" s="1102"/>
      <c r="AT294" s="1102"/>
      <c r="AU294" s="1102"/>
      <c r="AV294" s="1102"/>
      <c r="AW294" s="1102"/>
      <c r="AX294" s="1102"/>
      <c r="AY294" s="1102"/>
      <c r="AZ294" s="1102"/>
      <c r="BA294" s="1102"/>
      <c r="BB294" s="1102"/>
      <c r="BC294" s="1102"/>
      <c r="BD294" s="1102"/>
    </row>
    <row r="295" spans="1:56" ht="14.25">
      <c r="A295" s="206"/>
      <c r="B295" s="344">
        <v>12</v>
      </c>
      <c r="C295" s="345" t="s">
        <v>740</v>
      </c>
      <c r="D295" s="346" t="s">
        <v>69</v>
      </c>
      <c r="E295" s="346" t="s">
        <v>77</v>
      </c>
      <c r="F295" s="346" t="s">
        <v>115</v>
      </c>
      <c r="G295" s="347">
        <v>2</v>
      </c>
      <c r="H295" s="347">
        <v>0</v>
      </c>
      <c r="I295" s="348">
        <v>1</v>
      </c>
      <c r="J295" s="348">
        <v>1</v>
      </c>
      <c r="K295" s="346" t="s">
        <v>182</v>
      </c>
      <c r="L295" s="346"/>
      <c r="M295" s="352">
        <v>8</v>
      </c>
      <c r="N295" s="353">
        <v>8</v>
      </c>
      <c r="O295" s="349" t="s">
        <v>741</v>
      </c>
      <c r="P295" s="350"/>
      <c r="Q295" s="346" t="s">
        <v>148</v>
      </c>
      <c r="R295" s="278"/>
      <c r="S295" s="195">
        <f>MATCH($D295,Reference!$J$5:$J$9,0)</f>
        <v>4</v>
      </c>
      <c r="T295" s="195">
        <f>MATCH($E295,Reference!$J$26:$J$32,0)</f>
        <v>2</v>
      </c>
      <c r="U295" s="195">
        <f>MATCH($F295,Reference!$J$45:$J$54,0)</f>
        <v>10</v>
      </c>
      <c r="V295" s="196">
        <f>MATCH($K295,Reference!$J$37:$J$39,0)</f>
        <v>3</v>
      </c>
      <c r="W295" s="197">
        <f t="shared" si="278"/>
        <v>2</v>
      </c>
      <c r="X295" s="197">
        <f t="shared" si="1"/>
        <v>1</v>
      </c>
      <c r="Y295" s="197">
        <f t="shared" si="467"/>
        <v>0</v>
      </c>
      <c r="Z295" s="197">
        <f t="shared" si="279"/>
        <v>2</v>
      </c>
      <c r="AA295" s="199" t="b">
        <f t="shared" si="3"/>
        <v>0</v>
      </c>
      <c r="AB295" s="199" t="b">
        <f t="shared" si="4"/>
        <v>0</v>
      </c>
      <c r="AC295" s="200">
        <f t="shared" ref="AC295:AD295" si="512">1-I295</f>
        <v>0</v>
      </c>
      <c r="AD295" s="200">
        <f t="shared" si="512"/>
        <v>0</v>
      </c>
      <c r="AE295" s="199">
        <f t="shared" si="6"/>
        <v>2</v>
      </c>
      <c r="AF295" s="201">
        <f t="shared" si="281"/>
        <v>0</v>
      </c>
      <c r="AG295" s="201">
        <f t="shared" si="8"/>
        <v>1</v>
      </c>
      <c r="AH295" s="202">
        <f t="shared" si="499"/>
        <v>0</v>
      </c>
      <c r="AI295" s="205"/>
      <c r="AJ295" s="224" t="s">
        <v>122</v>
      </c>
      <c r="AK295" s="1133" t="s">
        <v>22</v>
      </c>
      <c r="AL295" s="1102"/>
      <c r="AM295" s="1133" t="s">
        <v>77</v>
      </c>
      <c r="AN295" s="1102"/>
      <c r="AO295" s="1133" t="s">
        <v>78</v>
      </c>
      <c r="AP295" s="1102"/>
      <c r="AQ295" s="1133" t="s">
        <v>79</v>
      </c>
      <c r="AR295" s="1102"/>
      <c r="AS295" s="1133" t="s">
        <v>80</v>
      </c>
      <c r="AT295" s="1102"/>
      <c r="AU295" s="1133" t="s">
        <v>220</v>
      </c>
      <c r="AV295" s="1102"/>
      <c r="AW295" s="1133" t="s">
        <v>82</v>
      </c>
      <c r="AX295" s="1102"/>
      <c r="AY295" s="1133" t="s">
        <v>84</v>
      </c>
      <c r="AZ295" s="1102"/>
      <c r="BA295" s="1133" t="s">
        <v>73</v>
      </c>
      <c r="BB295" s="1102"/>
      <c r="BC295" s="1133" t="s">
        <v>221</v>
      </c>
      <c r="BD295" s="1102"/>
    </row>
    <row r="296" spans="1:56" ht="14.25">
      <c r="A296" s="187"/>
      <c r="B296" s="354">
        <v>25</v>
      </c>
      <c r="C296" s="355" t="s">
        <v>742</v>
      </c>
      <c r="D296" s="346" t="s">
        <v>69</v>
      </c>
      <c r="E296" s="346" t="s">
        <v>77</v>
      </c>
      <c r="F296" s="346" t="s">
        <v>115</v>
      </c>
      <c r="G296" s="351">
        <v>2</v>
      </c>
      <c r="H296" s="347">
        <v>0</v>
      </c>
      <c r="I296" s="348">
        <v>1</v>
      </c>
      <c r="J296" s="348">
        <v>1</v>
      </c>
      <c r="K296" s="346" t="s">
        <v>182</v>
      </c>
      <c r="L296" s="346"/>
      <c r="M296" s="352">
        <v>8</v>
      </c>
      <c r="N296" s="353">
        <v>8</v>
      </c>
      <c r="O296" s="349" t="s">
        <v>743</v>
      </c>
      <c r="P296" s="350"/>
      <c r="Q296" s="346" t="s">
        <v>148</v>
      </c>
      <c r="R296" s="173"/>
      <c r="S296" s="195">
        <f>MATCH($D296,Reference!$J$5:$J$9,0)</f>
        <v>4</v>
      </c>
      <c r="T296" s="195">
        <f>MATCH($E296,Reference!$J$26:$J$32,0)</f>
        <v>2</v>
      </c>
      <c r="U296" s="195">
        <f>MATCH($F296,Reference!$J$45:$J$54,0)</f>
        <v>10</v>
      </c>
      <c r="V296" s="196">
        <f>MATCH($K296,Reference!$J$37:$J$39,0)</f>
        <v>3</v>
      </c>
      <c r="W296" s="197">
        <f t="shared" si="278"/>
        <v>2</v>
      </c>
      <c r="X296" s="197">
        <f t="shared" si="1"/>
        <v>1</v>
      </c>
      <c r="Y296" s="197">
        <f t="shared" si="467"/>
        <v>0</v>
      </c>
      <c r="Z296" s="197">
        <f t="shared" si="279"/>
        <v>2</v>
      </c>
      <c r="AA296" s="199" t="b">
        <f t="shared" si="3"/>
        <v>0</v>
      </c>
      <c r="AB296" s="199" t="b">
        <f t="shared" si="4"/>
        <v>0</v>
      </c>
      <c r="AC296" s="200">
        <f t="shared" ref="AC296:AD296" si="513">1-I296</f>
        <v>0</v>
      </c>
      <c r="AD296" s="200">
        <f t="shared" si="513"/>
        <v>0</v>
      </c>
      <c r="AE296" s="199">
        <f t="shared" si="6"/>
        <v>2</v>
      </c>
      <c r="AF296" s="201">
        <f t="shared" si="281"/>
        <v>0</v>
      </c>
      <c r="AG296" s="201">
        <f t="shared" si="8"/>
        <v>1</v>
      </c>
      <c r="AH296" s="202">
        <f t="shared" si="499"/>
        <v>0</v>
      </c>
      <c r="AI296" s="205"/>
      <c r="AJ296" s="253" t="s">
        <v>240</v>
      </c>
      <c r="AK296" s="229"/>
      <c r="AL296" s="230"/>
      <c r="AM296" s="229"/>
      <c r="AN296" s="230"/>
      <c r="AO296" s="254"/>
      <c r="AP296" s="255"/>
      <c r="AQ296" s="229"/>
      <c r="AR296" s="230"/>
      <c r="AS296" s="254"/>
      <c r="AT296" s="255"/>
      <c r="AU296" s="229"/>
      <c r="AV296" s="230"/>
      <c r="AW296" s="254"/>
      <c r="AX296" s="255"/>
      <c r="AY296" s="254"/>
      <c r="AZ296" s="255"/>
      <c r="BA296" s="254"/>
      <c r="BB296" s="255"/>
      <c r="BC296" s="254"/>
      <c r="BD296" s="255"/>
    </row>
    <row r="297" spans="1:56" ht="14.25">
      <c r="A297" s="279"/>
      <c r="B297" s="357">
        <v>2</v>
      </c>
      <c r="C297" s="358" t="s">
        <v>744</v>
      </c>
      <c r="D297" s="359" t="s">
        <v>70</v>
      </c>
      <c r="E297" s="359" t="s">
        <v>77</v>
      </c>
      <c r="F297" s="359" t="s">
        <v>115</v>
      </c>
      <c r="G297" s="360">
        <v>1</v>
      </c>
      <c r="H297" s="360">
        <v>0</v>
      </c>
      <c r="I297" s="361">
        <v>0.66</v>
      </c>
      <c r="J297" s="299"/>
      <c r="K297" s="362" t="s">
        <v>182</v>
      </c>
      <c r="L297" s="362"/>
      <c r="M297" s="362">
        <v>1</v>
      </c>
      <c r="N297" s="362">
        <v>1</v>
      </c>
      <c r="O297" s="363" t="s">
        <v>745</v>
      </c>
      <c r="P297" s="364" t="s">
        <v>746</v>
      </c>
      <c r="Q297" s="359" t="s">
        <v>148</v>
      </c>
      <c r="R297" s="173"/>
      <c r="S297" s="195">
        <f>MATCH($D297,Reference!$J$5:$J$9,0)</f>
        <v>5</v>
      </c>
      <c r="T297" s="195">
        <f>MATCH($E297,Reference!$J$26:$J$32,0)</f>
        <v>2</v>
      </c>
      <c r="U297" s="195">
        <f>MATCH($F297,Reference!$J$45:$J$54,0)</f>
        <v>10</v>
      </c>
      <c r="V297" s="196">
        <f>MATCH($K297,Reference!$J$37:$J$39,0)</f>
        <v>3</v>
      </c>
      <c r="W297" s="197">
        <f t="shared" ref="W297:W329" si="514">MIN((G297+H297),1)</f>
        <v>1</v>
      </c>
      <c r="X297" s="197">
        <f t="shared" si="1"/>
        <v>1</v>
      </c>
      <c r="Y297" s="197">
        <f t="shared" ref="Y297:Y329" si="515">(MIN(G297,1)+H297-W297)*1600</f>
        <v>0</v>
      </c>
      <c r="Z297" s="197">
        <f t="shared" ref="Z297:Z329" si="516">MIN((G297+H297+1),2)</f>
        <v>2</v>
      </c>
      <c r="AA297" s="199" t="b">
        <f t="shared" si="3"/>
        <v>0</v>
      </c>
      <c r="AB297" s="199" t="b">
        <f t="shared" si="4"/>
        <v>0</v>
      </c>
      <c r="AC297" s="200">
        <f t="shared" ref="AC297:AD297" si="517">1-I297</f>
        <v>0.33999999999999997</v>
      </c>
      <c r="AD297" s="200">
        <f t="shared" si="517"/>
        <v>1</v>
      </c>
      <c r="AE297" s="199">
        <f t="shared" si="6"/>
        <v>1</v>
      </c>
      <c r="AF297" s="201">
        <f t="shared" ref="AF297:AF329" si="518">MIN((H297),1)</f>
        <v>0</v>
      </c>
      <c r="AG297" s="201">
        <f t="shared" si="8"/>
        <v>1</v>
      </c>
      <c r="AH297" s="202">
        <f t="shared" ref="AH297:AH329" si="519">(MIN(H297,2)+G297-W297)*400</f>
        <v>0</v>
      </c>
      <c r="AI297" s="205"/>
      <c r="AJ297" s="231" t="s">
        <v>58</v>
      </c>
      <c r="AK297" s="232">
        <f t="shared" ref="AK297:AK301" si="520">SUM(AO297+AM297+AQ297+AS297+AU297+AW297)</f>
        <v>47</v>
      </c>
      <c r="AL297" s="233">
        <f t="shared" ref="AL297:AL301" si="521">SUM(AP37+AN37+AR37+AT37+AV37+AX37)</f>
        <v>266</v>
      </c>
      <c r="AM297" s="191">
        <f>SUMIFS($AF$2:$AF879, $D$2:$D879, "Basic", $E$2:$E879, "Basic")</f>
        <v>47</v>
      </c>
      <c r="AN297" s="232">
        <f t="shared" ref="AN297:AN301" si="522">(AN56+AN75+AN94+AN113+AN132+AN151+AN170+AN189+AN208+AN227)</f>
        <v>266</v>
      </c>
      <c r="AO297" s="234"/>
      <c r="AP297" s="235"/>
      <c r="AQ297" s="191"/>
      <c r="AR297" s="191"/>
      <c r="AS297" s="234"/>
      <c r="AT297" s="235"/>
      <c r="AU297" s="191"/>
      <c r="AV297" s="191"/>
      <c r="AW297" s="234"/>
      <c r="AX297" s="235"/>
      <c r="AY297" s="234"/>
      <c r="AZ297" s="235"/>
      <c r="BA297" s="234"/>
      <c r="BB297" s="235"/>
      <c r="BC297" s="234"/>
      <c r="BD297" s="235"/>
    </row>
    <row r="298" spans="1:56" ht="14.25">
      <c r="A298" s="187"/>
      <c r="B298" s="357">
        <v>2</v>
      </c>
      <c r="C298" s="358" t="s">
        <v>747</v>
      </c>
      <c r="D298" s="359" t="s">
        <v>70</v>
      </c>
      <c r="E298" s="359" t="s">
        <v>77</v>
      </c>
      <c r="F298" s="359" t="s">
        <v>115</v>
      </c>
      <c r="G298" s="360">
        <v>0</v>
      </c>
      <c r="H298" s="360">
        <v>0</v>
      </c>
      <c r="I298" s="361">
        <v>0</v>
      </c>
      <c r="J298" s="299"/>
      <c r="K298" s="362" t="s">
        <v>182</v>
      </c>
      <c r="L298" s="362"/>
      <c r="M298" s="362">
        <v>0</v>
      </c>
      <c r="N298" s="362">
        <v>4</v>
      </c>
      <c r="O298" s="363" t="s">
        <v>748</v>
      </c>
      <c r="P298" s="301"/>
      <c r="Q298" s="359" t="s">
        <v>148</v>
      </c>
      <c r="R298" s="173"/>
      <c r="S298" s="195">
        <f>MATCH($D298,Reference!$J$5:$J$9,0)</f>
        <v>5</v>
      </c>
      <c r="T298" s="195">
        <f>MATCH($E298,Reference!$J$26:$J$32,0)</f>
        <v>2</v>
      </c>
      <c r="U298" s="195">
        <f>MATCH($F298,Reference!$J$45:$J$54,0)</f>
        <v>10</v>
      </c>
      <c r="V298" s="196">
        <f>MATCH($K298,Reference!$J$37:$J$39,0)</f>
        <v>3</v>
      </c>
      <c r="W298" s="197">
        <f t="shared" si="514"/>
        <v>0</v>
      </c>
      <c r="X298" s="197">
        <f t="shared" si="1"/>
        <v>0</v>
      </c>
      <c r="Y298" s="197">
        <f t="shared" si="515"/>
        <v>0</v>
      </c>
      <c r="Z298" s="197">
        <f t="shared" si="516"/>
        <v>1</v>
      </c>
      <c r="AA298" s="199" t="b">
        <f t="shared" si="3"/>
        <v>1</v>
      </c>
      <c r="AB298" s="199" t="b">
        <f t="shared" si="4"/>
        <v>0</v>
      </c>
      <c r="AC298" s="200">
        <f t="shared" ref="AC298:AD298" si="523">1-I298</f>
        <v>1</v>
      </c>
      <c r="AD298" s="200">
        <f t="shared" si="523"/>
        <v>1</v>
      </c>
      <c r="AE298" s="199">
        <f t="shared" si="6"/>
        <v>1</v>
      </c>
      <c r="AF298" s="201">
        <f t="shared" si="518"/>
        <v>0</v>
      </c>
      <c r="AG298" s="201">
        <f t="shared" si="8"/>
        <v>0</v>
      </c>
      <c r="AH298" s="202">
        <f t="shared" si="519"/>
        <v>0</v>
      </c>
      <c r="AI298" s="205"/>
      <c r="AJ298" s="256" t="s">
        <v>63</v>
      </c>
      <c r="AK298" s="237">
        <f t="shared" si="520"/>
        <v>13</v>
      </c>
      <c r="AL298" s="238">
        <f t="shared" si="521"/>
        <v>432</v>
      </c>
      <c r="AM298" s="229">
        <f>SUMIFS($AF$2:$AF879, $D$2:$D879, "Common", $E$2:$E879, "Classic")</f>
        <v>6</v>
      </c>
      <c r="AN298" s="237">
        <f t="shared" si="522"/>
        <v>188</v>
      </c>
      <c r="AO298" s="268">
        <f>SUMIFS($AF$2:$AF879, $D$2:$D879, "Common", $E$2:$E879, "Promo")</f>
        <v>0</v>
      </c>
      <c r="AP298" s="238">
        <f t="shared" ref="AP298:AP301" si="524">(AP57+AP76+AP95+AP114+AP133+AP152+AP171+AP190+AP209+AP228)</f>
        <v>0</v>
      </c>
      <c r="AQ298" s="229">
        <f>SUMIFS($AF$2:$AF879, $D$2:$D879, "Common", $E$2:$E879, "Naxx")</f>
        <v>0</v>
      </c>
      <c r="AR298" s="237">
        <f t="shared" ref="AR298:AR301" si="525">(AR57+AR76+AR95+AR114+AR133+AR152+AR171+AR190+AR209+AR228)</f>
        <v>36</v>
      </c>
      <c r="AS298" s="268">
        <f>SUMIFS($AF$2:$AF879, $D$2:$D879, "Common", $E$2:$E879, "GvG")</f>
        <v>1</v>
      </c>
      <c r="AT298" s="238">
        <f t="shared" ref="AT298:AT301" si="526">(AT57+AT76+AT95+AT114+AT133+AT152+AT171+AT190+AT209+AT228)</f>
        <v>80</v>
      </c>
      <c r="AU298" s="229">
        <f>SUMIFS($AF$2:$AF879, $D$2:$D879, "Common", $E$2:$E879, "Blackrock")</f>
        <v>0</v>
      </c>
      <c r="AV298" s="237">
        <f t="shared" ref="AV298:AV301" si="527">(AV57+AV76+AV95+AV114+AV133+AV152+AV171+AV190+AV209+AV228)</f>
        <v>30</v>
      </c>
      <c r="AW298" s="268">
        <f>SUMIFS($AF$2:$AF879, $D$2:$D879, "Common", $E$2:$E879, "TGT")</f>
        <v>6</v>
      </c>
      <c r="AX298" s="238">
        <f t="shared" ref="AX298:AX301" si="528">(AX57+AX76+AX95+AX114+AX133+AX152+AX171+AX190+AX209+AX228)</f>
        <v>98</v>
      </c>
      <c r="AY298" s="268">
        <f>SUMIFS($AF$2:$AF879, $D$2:$D879, "Common", $E$2:$E879, "LoE")</f>
        <v>0</v>
      </c>
      <c r="AZ298" s="238">
        <f t="shared" ref="AZ298:AZ301" si="529">(AZ57+AZ76+AZ95+AZ114+AZ133+AZ152+AZ171+AZ190+AZ209+AZ228)</f>
        <v>50</v>
      </c>
      <c r="BA298" s="268">
        <f>SUMIFS($AF$2:$AF879, $D$2:$D879, "Common", $E$2:$E879, "TOG")</f>
        <v>7</v>
      </c>
      <c r="BB298" s="237">
        <f t="shared" ref="BB298:BB301" si="530">(BB57+BB76+BB95+BB114+BB133+BB152+BB171+BB190+BB209+BB228)</f>
        <v>100</v>
      </c>
      <c r="BC298" s="268">
        <f>SUMIFS($AF$2:$AF879, $D$2:$D879, "Common", $E$2:$E879, "Adv4")</f>
        <v>0</v>
      </c>
      <c r="BD298" s="238">
        <f t="shared" ref="BD298:BD301" si="531">(BD57+BD76+BD95+BD114+BD133+BD152+BD171+BD190+BD209+BD228)</f>
        <v>0</v>
      </c>
    </row>
    <row r="299" spans="1:56" ht="14.25">
      <c r="A299" s="187"/>
      <c r="B299" s="357">
        <v>2</v>
      </c>
      <c r="C299" s="358" t="s">
        <v>749</v>
      </c>
      <c r="D299" s="359" t="s">
        <v>70</v>
      </c>
      <c r="E299" s="359" t="s">
        <v>77</v>
      </c>
      <c r="F299" s="359" t="s">
        <v>115</v>
      </c>
      <c r="G299" s="360">
        <v>0</v>
      </c>
      <c r="H299" s="360">
        <v>0</v>
      </c>
      <c r="I299" s="361">
        <v>0</v>
      </c>
      <c r="J299" s="299"/>
      <c r="K299" s="359" t="s">
        <v>182</v>
      </c>
      <c r="L299" s="359"/>
      <c r="M299" s="365">
        <v>4</v>
      </c>
      <c r="N299" s="366">
        <v>4</v>
      </c>
      <c r="O299" s="363" t="s">
        <v>750</v>
      </c>
      <c r="P299" s="301" t="s">
        <v>184</v>
      </c>
      <c r="Q299" s="359" t="s">
        <v>148</v>
      </c>
      <c r="R299" s="173"/>
      <c r="S299" s="195">
        <f>MATCH($D299,Reference!$J$5:$J$9,0)</f>
        <v>5</v>
      </c>
      <c r="T299" s="195">
        <f>MATCH($E299,Reference!$J$26:$J$32,0)</f>
        <v>2</v>
      </c>
      <c r="U299" s="195">
        <f>MATCH($F299,Reference!$J$45:$J$54,0)</f>
        <v>10</v>
      </c>
      <c r="V299" s="196">
        <f>MATCH($K299,Reference!$J$37:$J$39,0)</f>
        <v>3</v>
      </c>
      <c r="W299" s="197">
        <f t="shared" si="514"/>
        <v>0</v>
      </c>
      <c r="X299" s="197">
        <f t="shared" si="1"/>
        <v>0</v>
      </c>
      <c r="Y299" s="197">
        <f t="shared" si="515"/>
        <v>0</v>
      </c>
      <c r="Z299" s="197">
        <f t="shared" si="516"/>
        <v>1</v>
      </c>
      <c r="AA299" s="199" t="b">
        <f t="shared" si="3"/>
        <v>1</v>
      </c>
      <c r="AB299" s="199" t="b">
        <f t="shared" si="4"/>
        <v>0</v>
      </c>
      <c r="AC299" s="200">
        <f t="shared" ref="AC299:AD299" si="532">1-I299</f>
        <v>1</v>
      </c>
      <c r="AD299" s="200">
        <f t="shared" si="532"/>
        <v>1</v>
      </c>
      <c r="AE299" s="199">
        <f t="shared" si="6"/>
        <v>1</v>
      </c>
      <c r="AF299" s="201">
        <f t="shared" si="518"/>
        <v>0</v>
      </c>
      <c r="AG299" s="201">
        <f t="shared" si="8"/>
        <v>0</v>
      </c>
      <c r="AH299" s="202">
        <f t="shared" si="519"/>
        <v>0</v>
      </c>
      <c r="AI299" s="205"/>
      <c r="AJ299" s="257" t="s">
        <v>68</v>
      </c>
      <c r="AK299" s="242">
        <f t="shared" si="520"/>
        <v>9</v>
      </c>
      <c r="AL299" s="243">
        <f t="shared" si="521"/>
        <v>338</v>
      </c>
      <c r="AM299" s="269">
        <f>SUMIFS($AF$2:$AF879, $D$2:$D879, "Rare", $E$2:$E879, "Classic")</f>
        <v>4</v>
      </c>
      <c r="AN299" s="242">
        <f t="shared" si="522"/>
        <v>162</v>
      </c>
      <c r="AO299" s="270">
        <f>SUMIFS($AF$2:$AF879, $D$2:$D879, "Rare", $E$2:$E879, "Promo")</f>
        <v>0</v>
      </c>
      <c r="AP299" s="243">
        <f t="shared" si="524"/>
        <v>0</v>
      </c>
      <c r="AQ299" s="269">
        <f>SUMIFS($AF$2:$AF879, $D$2:$D879, "Rare", $E$2:$E879, "Naxx")</f>
        <v>0</v>
      </c>
      <c r="AR299" s="242">
        <f t="shared" si="525"/>
        <v>8</v>
      </c>
      <c r="AS299" s="270">
        <f>SUMIFS($AF$2:$AF879, $D$2:$D879, "Rare", $E$2:$E879, "GvG")</f>
        <v>1</v>
      </c>
      <c r="AT299" s="243">
        <f t="shared" si="526"/>
        <v>74</v>
      </c>
      <c r="AU299" s="269">
        <f>SUMIFS($AF$2:$AF879, $D$2:$D879, "Rare", $E$2:$E879, "Blackrock")</f>
        <v>0</v>
      </c>
      <c r="AV299" s="242">
        <f t="shared" si="527"/>
        <v>22</v>
      </c>
      <c r="AW299" s="270">
        <f>SUMIFS($AF$2:$AF879, $D$2:$D879, "Rare", $E$2:$E879, "TGT")</f>
        <v>4</v>
      </c>
      <c r="AX299" s="243">
        <f t="shared" si="528"/>
        <v>72</v>
      </c>
      <c r="AY299" s="270">
        <f>SUMIFS($AF$2:$AF879, $D$2:$D879, "Rare", $E$2:$E879, "LoE")</f>
        <v>0</v>
      </c>
      <c r="AZ299" s="243">
        <f t="shared" si="529"/>
        <v>26</v>
      </c>
      <c r="BA299" s="270">
        <f>SUMIFS($AF$2:$AF879, $D$2:$D879, "Rare", $E$2:$E879, "TOG")</f>
        <v>5</v>
      </c>
      <c r="BB299" s="242">
        <f t="shared" si="530"/>
        <v>72</v>
      </c>
      <c r="BC299" s="270">
        <f>SUMIFS($AF$2:$AF879, $D$2:$D879, "Rare", $E$2:$E879, "Adv4")</f>
        <v>0</v>
      </c>
      <c r="BD299" s="243">
        <f t="shared" si="531"/>
        <v>0</v>
      </c>
    </row>
    <row r="300" spans="1:56" ht="14.25">
      <c r="A300" s="187"/>
      <c r="B300" s="357">
        <v>2</v>
      </c>
      <c r="C300" s="358" t="s">
        <v>751</v>
      </c>
      <c r="D300" s="359" t="s">
        <v>70</v>
      </c>
      <c r="E300" s="359" t="s">
        <v>77</v>
      </c>
      <c r="F300" s="359" t="s">
        <v>115</v>
      </c>
      <c r="G300" s="360">
        <v>0</v>
      </c>
      <c r="H300" s="360">
        <v>0</v>
      </c>
      <c r="I300" s="361">
        <v>0</v>
      </c>
      <c r="J300" s="299"/>
      <c r="K300" s="359" t="s">
        <v>182</v>
      </c>
      <c r="L300" s="359"/>
      <c r="M300" s="365">
        <v>0</v>
      </c>
      <c r="N300" s="366">
        <v>4</v>
      </c>
      <c r="O300" s="363" t="s">
        <v>752</v>
      </c>
      <c r="P300" s="301"/>
      <c r="Q300" s="359" t="s">
        <v>148</v>
      </c>
      <c r="R300" s="173"/>
      <c r="S300" s="195">
        <f>MATCH($D300,Reference!$J$5:$J$9,0)</f>
        <v>5</v>
      </c>
      <c r="T300" s="195">
        <f>MATCH($E300,Reference!$J$26:$J$32,0)</f>
        <v>2</v>
      </c>
      <c r="U300" s="195">
        <f>MATCH($F300,Reference!$J$45:$J$54,0)</f>
        <v>10</v>
      </c>
      <c r="V300" s="196">
        <f>MATCH($K300,Reference!$J$37:$J$39,0)</f>
        <v>3</v>
      </c>
      <c r="W300" s="197">
        <f t="shared" si="514"/>
        <v>0</v>
      </c>
      <c r="X300" s="197">
        <f t="shared" si="1"/>
        <v>0</v>
      </c>
      <c r="Y300" s="197">
        <f t="shared" si="515"/>
        <v>0</v>
      </c>
      <c r="Z300" s="197">
        <f t="shared" si="516"/>
        <v>1</v>
      </c>
      <c r="AA300" s="199" t="b">
        <f t="shared" si="3"/>
        <v>1</v>
      </c>
      <c r="AB300" s="199" t="b">
        <f t="shared" si="4"/>
        <v>0</v>
      </c>
      <c r="AC300" s="200">
        <f t="shared" ref="AC300:AD300" si="533">1-I300</f>
        <v>1</v>
      </c>
      <c r="AD300" s="200">
        <f t="shared" si="533"/>
        <v>1</v>
      </c>
      <c r="AE300" s="199">
        <f t="shared" si="6"/>
        <v>1</v>
      </c>
      <c r="AF300" s="201">
        <f t="shared" si="518"/>
        <v>0</v>
      </c>
      <c r="AG300" s="201">
        <f t="shared" si="8"/>
        <v>0</v>
      </c>
      <c r="AH300" s="202">
        <f t="shared" si="519"/>
        <v>0</v>
      </c>
      <c r="AI300" s="205"/>
      <c r="AJ300" s="258" t="s">
        <v>69</v>
      </c>
      <c r="AK300" s="246">
        <f t="shared" si="520"/>
        <v>0</v>
      </c>
      <c r="AL300" s="247">
        <f t="shared" si="521"/>
        <v>186</v>
      </c>
      <c r="AM300" s="272">
        <f>SUMIFS($AF$2:$AF879, $D$2:$D879, "Epic", $E$2:$E879, "Classic")</f>
        <v>0</v>
      </c>
      <c r="AN300" s="246">
        <f t="shared" si="522"/>
        <v>74</v>
      </c>
      <c r="AO300" s="273">
        <f>SUMIFS($AF$2:$AF879, $D$2:$D879, "Epic", $E$2:$E879, "Promo")</f>
        <v>0</v>
      </c>
      <c r="AP300" s="247">
        <f t="shared" si="524"/>
        <v>2</v>
      </c>
      <c r="AQ300" s="272">
        <f>SUMIFS($AF$2:$AF879, $D$2:$D879, "Epic", $E$2:$E879, "Naxx")</f>
        <v>0</v>
      </c>
      <c r="AR300" s="246">
        <f t="shared" si="525"/>
        <v>4</v>
      </c>
      <c r="AS300" s="273">
        <f>SUMIFS($AF$2:$AF879, $D$2:$D879, "Epic", $E$2:$E879, "GvG")</f>
        <v>0</v>
      </c>
      <c r="AT300" s="247">
        <f t="shared" si="526"/>
        <v>52</v>
      </c>
      <c r="AU300" s="272">
        <f>SUMIFS($AF$2:$AF879, $D$2:$D879, "Epic", $E$2:$E879, "Blackrock")</f>
        <v>0</v>
      </c>
      <c r="AV300" s="246">
        <f t="shared" si="527"/>
        <v>0</v>
      </c>
      <c r="AW300" s="273">
        <f>SUMIFS($AF$2:$AF879, $D$2:$D879, "Epic", $E$2:$E879, "TGT")</f>
        <v>0</v>
      </c>
      <c r="AX300" s="247">
        <f t="shared" si="528"/>
        <v>54</v>
      </c>
      <c r="AY300" s="273">
        <f>SUMIFS($AF$2:$AF879, $D$2:$D879, "Epic", $E$2:$E879, "LoE")</f>
        <v>0</v>
      </c>
      <c r="AZ300" s="247">
        <f t="shared" si="529"/>
        <v>4</v>
      </c>
      <c r="BA300" s="273">
        <f>SUMIFS($AF$2:$AF879, $D$2:$D879, "Epic", $E$2:$E879, "TOG")</f>
        <v>2</v>
      </c>
      <c r="BB300" s="246">
        <f t="shared" si="530"/>
        <v>54</v>
      </c>
      <c r="BC300" s="273">
        <f>SUMIFS($AF$2:$AF879, $D$2:$D879, "Epic", $E$2:$E879, "Adv4")</f>
        <v>0</v>
      </c>
      <c r="BD300" s="247">
        <f t="shared" si="531"/>
        <v>0</v>
      </c>
    </row>
    <row r="301" spans="1:56" ht="14.25">
      <c r="A301" s="187"/>
      <c r="B301" s="357">
        <v>3</v>
      </c>
      <c r="C301" s="358" t="s">
        <v>753</v>
      </c>
      <c r="D301" s="359" t="s">
        <v>70</v>
      </c>
      <c r="E301" s="359" t="s">
        <v>77</v>
      </c>
      <c r="F301" s="359" t="s">
        <v>20</v>
      </c>
      <c r="G301" s="367">
        <v>1</v>
      </c>
      <c r="H301" s="360">
        <v>0</v>
      </c>
      <c r="I301" s="361">
        <v>1</v>
      </c>
      <c r="J301" s="299"/>
      <c r="K301" s="362" t="s">
        <v>182</v>
      </c>
      <c r="L301" s="362"/>
      <c r="M301" s="362">
        <v>2</v>
      </c>
      <c r="N301" s="362">
        <v>2</v>
      </c>
      <c r="O301" s="363" t="s">
        <v>754</v>
      </c>
      <c r="P301" s="301" t="s">
        <v>558</v>
      </c>
      <c r="Q301" s="359" t="s">
        <v>148</v>
      </c>
      <c r="R301" s="173"/>
      <c r="S301" s="195">
        <f>MATCH($D301,Reference!$J$5:$J$9,0)</f>
        <v>5</v>
      </c>
      <c r="T301" s="195">
        <f>MATCH($E301,Reference!$J$26:$J$32,0)</f>
        <v>2</v>
      </c>
      <c r="U301" s="195">
        <f>MATCH($F301,Reference!$J$45:$J$54,0)</f>
        <v>6</v>
      </c>
      <c r="V301" s="196">
        <f>MATCH($K301,Reference!$J$37:$J$39,0)</f>
        <v>3</v>
      </c>
      <c r="W301" s="197">
        <f t="shared" si="514"/>
        <v>1</v>
      </c>
      <c r="X301" s="197">
        <f t="shared" si="1"/>
        <v>1</v>
      </c>
      <c r="Y301" s="197">
        <f t="shared" si="515"/>
        <v>0</v>
      </c>
      <c r="Z301" s="197">
        <f t="shared" si="516"/>
        <v>2</v>
      </c>
      <c r="AA301" s="199" t="b">
        <f t="shared" si="3"/>
        <v>0</v>
      </c>
      <c r="AB301" s="199" t="b">
        <f t="shared" si="4"/>
        <v>0</v>
      </c>
      <c r="AC301" s="200">
        <f t="shared" ref="AC301:AD301" si="534">1-I301</f>
        <v>0</v>
      </c>
      <c r="AD301" s="200">
        <f t="shared" si="534"/>
        <v>1</v>
      </c>
      <c r="AE301" s="199">
        <f t="shared" si="6"/>
        <v>1</v>
      </c>
      <c r="AF301" s="201">
        <f t="shared" si="518"/>
        <v>0</v>
      </c>
      <c r="AG301" s="201">
        <f t="shared" si="8"/>
        <v>1</v>
      </c>
      <c r="AH301" s="202">
        <f t="shared" si="519"/>
        <v>0</v>
      </c>
      <c r="AI301" s="205"/>
      <c r="AJ301" s="249" t="s">
        <v>70</v>
      </c>
      <c r="AK301" s="250">
        <f t="shared" si="520"/>
        <v>1</v>
      </c>
      <c r="AL301" s="251">
        <f t="shared" si="521"/>
        <v>87</v>
      </c>
      <c r="AM301" s="275">
        <f>SUMIFS($AF$2:$AF879, $D$2:$D879, "Legendary", $E$2:$E879, "Classic")</f>
        <v>0</v>
      </c>
      <c r="AN301" s="250">
        <f t="shared" si="522"/>
        <v>33</v>
      </c>
      <c r="AO301" s="276">
        <f>SUMIFS($AF$2:$AF879, $D$2:$D879, "Legendary", $E$2:$E879, "Promo")</f>
        <v>1</v>
      </c>
      <c r="AP301" s="251">
        <f t="shared" si="524"/>
        <v>3</v>
      </c>
      <c r="AQ301" s="275">
        <f>SUMIFS($AF$2:$AF879, $D$2:$D879, "Legendary", $E$2:$E879, "Naxx")</f>
        <v>0</v>
      </c>
      <c r="AR301" s="250">
        <f t="shared" si="525"/>
        <v>6</v>
      </c>
      <c r="AS301" s="276">
        <f>SUMIFS($AF$2:$AF879, $D$2:$D879, "Legendary", $E$2:$E879, "GvG")</f>
        <v>0</v>
      </c>
      <c r="AT301" s="251">
        <f t="shared" si="526"/>
        <v>20</v>
      </c>
      <c r="AU301" s="275">
        <f>SUMIFS($AF$2:$AF879, $D$2:$D879, "Legendary", $E$2:$E879, "Blackrock")</f>
        <v>0</v>
      </c>
      <c r="AV301" s="250">
        <f t="shared" si="527"/>
        <v>5</v>
      </c>
      <c r="AW301" s="276">
        <f>SUMIFS($AF$2:$AF879, $D$2:$D879, "Legendary", $E$2:$E879, "TGT")</f>
        <v>0</v>
      </c>
      <c r="AX301" s="251">
        <f t="shared" si="528"/>
        <v>20</v>
      </c>
      <c r="AY301" s="276">
        <f>SUMIFS($AF$2:$AF879, $D$2:$D879, "Legendary", $E$2:$E879, "LoE")</f>
        <v>0</v>
      </c>
      <c r="AZ301" s="251">
        <f t="shared" si="529"/>
        <v>5</v>
      </c>
      <c r="BA301" s="276">
        <f>SUMIFS($AF$2:$AF879, $D$2:$D879, "Legendary", $E$2:$E879, "TOG")</f>
        <v>0</v>
      </c>
      <c r="BB301" s="250">
        <f t="shared" si="530"/>
        <v>21</v>
      </c>
      <c r="BC301" s="276">
        <f>SUMIFS($AF$2:$AF879, $D$2:$D879, "Legendary", $E$2:$E879, "Adv4")</f>
        <v>0</v>
      </c>
      <c r="BD301" s="251">
        <f t="shared" si="531"/>
        <v>0</v>
      </c>
    </row>
    <row r="302" spans="1:56" ht="14.25">
      <c r="A302" s="206"/>
      <c r="B302" s="357">
        <v>3</v>
      </c>
      <c r="C302" s="358" t="s">
        <v>755</v>
      </c>
      <c r="D302" s="359" t="s">
        <v>70</v>
      </c>
      <c r="E302" s="359" t="s">
        <v>77</v>
      </c>
      <c r="F302" s="359" t="s">
        <v>115</v>
      </c>
      <c r="G302" s="360">
        <v>1</v>
      </c>
      <c r="H302" s="360">
        <v>0</v>
      </c>
      <c r="I302" s="361">
        <v>0.33</v>
      </c>
      <c r="J302" s="299"/>
      <c r="K302" s="362" t="s">
        <v>182</v>
      </c>
      <c r="L302" s="362" t="s">
        <v>230</v>
      </c>
      <c r="M302" s="362">
        <v>5</v>
      </c>
      <c r="N302" s="362">
        <v>5</v>
      </c>
      <c r="O302" s="363" t="s">
        <v>756</v>
      </c>
      <c r="P302" s="301" t="s">
        <v>184</v>
      </c>
      <c r="Q302" s="359" t="s">
        <v>148</v>
      </c>
      <c r="R302" s="173"/>
      <c r="S302" s="195">
        <f>MATCH($D302,Reference!$J$5:$J$9,0)</f>
        <v>5</v>
      </c>
      <c r="T302" s="195">
        <f>MATCH($E302,Reference!$J$26:$J$32,0)</f>
        <v>2</v>
      </c>
      <c r="U302" s="195">
        <f>MATCH($F302,Reference!$J$45:$J$54,0)</f>
        <v>10</v>
      </c>
      <c r="V302" s="196">
        <f>MATCH($K302,Reference!$J$37:$J$39,0)</f>
        <v>3</v>
      </c>
      <c r="W302" s="197">
        <f t="shared" si="514"/>
        <v>1</v>
      </c>
      <c r="X302" s="197">
        <f t="shared" si="1"/>
        <v>1</v>
      </c>
      <c r="Y302" s="197">
        <f t="shared" si="515"/>
        <v>0</v>
      </c>
      <c r="Z302" s="197">
        <f t="shared" si="516"/>
        <v>2</v>
      </c>
      <c r="AA302" s="199" t="b">
        <f t="shared" si="3"/>
        <v>0</v>
      </c>
      <c r="AB302" s="199" t="b">
        <f t="shared" si="4"/>
        <v>0</v>
      </c>
      <c r="AC302" s="200">
        <f t="shared" ref="AC302:AD302" si="535">1-I302</f>
        <v>0.66999999999999993</v>
      </c>
      <c r="AD302" s="200">
        <f t="shared" si="535"/>
        <v>1</v>
      </c>
      <c r="AE302" s="199">
        <f t="shared" si="6"/>
        <v>1</v>
      </c>
      <c r="AF302" s="201">
        <f t="shared" si="518"/>
        <v>0</v>
      </c>
      <c r="AG302" s="201">
        <f t="shared" si="8"/>
        <v>1</v>
      </c>
      <c r="AH302" s="202">
        <f t="shared" si="519"/>
        <v>0</v>
      </c>
      <c r="AI302" s="205"/>
      <c r="AJ302" s="259" t="s">
        <v>22</v>
      </c>
      <c r="AK302" s="260"/>
      <c r="AL302" s="261"/>
      <c r="AM302" s="260"/>
      <c r="AN302" s="261"/>
      <c r="AO302" s="260"/>
      <c r="AP302" s="261"/>
      <c r="AQ302" s="260"/>
      <c r="AR302" s="261"/>
      <c r="AS302" s="260"/>
      <c r="AT302" s="261"/>
      <c r="AU302" s="260"/>
      <c r="AV302" s="261"/>
      <c r="AW302" s="260"/>
      <c r="AX302" s="261"/>
      <c r="AY302" s="260"/>
      <c r="AZ302" s="261"/>
      <c r="BA302" s="260"/>
      <c r="BB302" s="261"/>
      <c r="BC302" s="260"/>
      <c r="BD302" s="261"/>
    </row>
    <row r="303" spans="1:56" ht="14.25">
      <c r="A303" s="187"/>
      <c r="B303" s="357">
        <v>3</v>
      </c>
      <c r="C303" s="358" t="s">
        <v>757</v>
      </c>
      <c r="D303" s="359" t="s">
        <v>70</v>
      </c>
      <c r="E303" s="359" t="s">
        <v>77</v>
      </c>
      <c r="F303" s="359" t="s">
        <v>115</v>
      </c>
      <c r="G303" s="360">
        <v>0</v>
      </c>
      <c r="H303" s="360">
        <v>0</v>
      </c>
      <c r="I303" s="361">
        <v>0</v>
      </c>
      <c r="J303" s="299"/>
      <c r="K303" s="362" t="s">
        <v>182</v>
      </c>
      <c r="L303" s="362"/>
      <c r="M303" s="362">
        <v>3</v>
      </c>
      <c r="N303" s="362">
        <v>3</v>
      </c>
      <c r="O303" s="363" t="s">
        <v>758</v>
      </c>
      <c r="P303" s="301" t="s">
        <v>275</v>
      </c>
      <c r="Q303" s="359" t="s">
        <v>148</v>
      </c>
      <c r="R303" s="173"/>
      <c r="S303" s="195">
        <f>MATCH($D303,Reference!$J$5:$J$9,0)</f>
        <v>5</v>
      </c>
      <c r="T303" s="195">
        <f>MATCH($E303,Reference!$J$26:$J$32,0)</f>
        <v>2</v>
      </c>
      <c r="U303" s="195">
        <f>MATCH($F303,Reference!$J$45:$J$54,0)</f>
        <v>10</v>
      </c>
      <c r="V303" s="196">
        <f>MATCH($K303,Reference!$J$37:$J$39,0)</f>
        <v>3</v>
      </c>
      <c r="W303" s="197">
        <f t="shared" si="514"/>
        <v>0</v>
      </c>
      <c r="X303" s="197">
        <f t="shared" si="1"/>
        <v>0</v>
      </c>
      <c r="Y303" s="197">
        <f t="shared" si="515"/>
        <v>0</v>
      </c>
      <c r="Z303" s="197">
        <f t="shared" si="516"/>
        <v>1</v>
      </c>
      <c r="AA303" s="199" t="b">
        <f t="shared" si="3"/>
        <v>1</v>
      </c>
      <c r="AB303" s="199" t="b">
        <f t="shared" si="4"/>
        <v>0</v>
      </c>
      <c r="AC303" s="200">
        <f t="shared" ref="AC303:AD303" si="536">1-I303</f>
        <v>1</v>
      </c>
      <c r="AD303" s="200">
        <f t="shared" si="536"/>
        <v>1</v>
      </c>
      <c r="AE303" s="199">
        <f t="shared" si="6"/>
        <v>1</v>
      </c>
      <c r="AF303" s="201">
        <f t="shared" si="518"/>
        <v>0</v>
      </c>
      <c r="AG303" s="201">
        <f t="shared" si="8"/>
        <v>0</v>
      </c>
      <c r="AH303" s="202">
        <f t="shared" si="519"/>
        <v>0</v>
      </c>
      <c r="AI303" s="205"/>
      <c r="AJ303" s="262" t="s">
        <v>224</v>
      </c>
      <c r="AK303" s="263">
        <f t="shared" ref="AK303:AP303" si="537">SUM(AK297:AK301)</f>
        <v>70</v>
      </c>
      <c r="AL303" s="264">
        <f t="shared" si="537"/>
        <v>1309</v>
      </c>
      <c r="AM303" s="263">
        <f t="shared" si="537"/>
        <v>57</v>
      </c>
      <c r="AN303" s="264">
        <f t="shared" si="537"/>
        <v>723</v>
      </c>
      <c r="AO303" s="263">
        <f t="shared" si="537"/>
        <v>1</v>
      </c>
      <c r="AP303" s="264">
        <f t="shared" si="537"/>
        <v>5</v>
      </c>
      <c r="AQ303" s="263">
        <f>SUM(AQ297:AQ301)</f>
        <v>0</v>
      </c>
      <c r="AR303" s="264">
        <f>SUM(AR297:AR301)</f>
        <v>54</v>
      </c>
      <c r="AS303" s="263">
        <f>SUM(AS297:AS301)</f>
        <v>2</v>
      </c>
      <c r="AT303" s="264">
        <f>SUM(AT297:AT301)</f>
        <v>226</v>
      </c>
      <c r="AU303" s="263">
        <f t="shared" ref="AU303:BD303" si="538">SUM(AU297:AU301)</f>
        <v>0</v>
      </c>
      <c r="AV303" s="264">
        <f t="shared" si="538"/>
        <v>57</v>
      </c>
      <c r="AW303" s="263">
        <f t="shared" si="538"/>
        <v>10</v>
      </c>
      <c r="AX303" s="264">
        <f t="shared" si="538"/>
        <v>244</v>
      </c>
      <c r="AY303" s="263">
        <f t="shared" si="538"/>
        <v>0</v>
      </c>
      <c r="AZ303" s="264">
        <f t="shared" si="538"/>
        <v>85</v>
      </c>
      <c r="BA303" s="263">
        <f t="shared" si="538"/>
        <v>14</v>
      </c>
      <c r="BB303" s="264">
        <f t="shared" si="538"/>
        <v>247</v>
      </c>
      <c r="BC303" s="263">
        <f t="shared" si="538"/>
        <v>0</v>
      </c>
      <c r="BD303" s="264">
        <f t="shared" si="538"/>
        <v>0</v>
      </c>
    </row>
    <row r="304" spans="1:56" ht="14.25">
      <c r="A304" s="187"/>
      <c r="B304" s="357">
        <v>5</v>
      </c>
      <c r="C304" s="358" t="s">
        <v>759</v>
      </c>
      <c r="D304" s="359" t="s">
        <v>70</v>
      </c>
      <c r="E304" s="359" t="s">
        <v>77</v>
      </c>
      <c r="F304" s="359" t="s">
        <v>115</v>
      </c>
      <c r="G304" s="360">
        <v>0</v>
      </c>
      <c r="H304" s="360">
        <v>0</v>
      </c>
      <c r="I304" s="361">
        <v>0.33</v>
      </c>
      <c r="J304" s="299"/>
      <c r="K304" s="362" t="s">
        <v>182</v>
      </c>
      <c r="L304" s="362" t="s">
        <v>536</v>
      </c>
      <c r="M304" s="362">
        <v>5</v>
      </c>
      <c r="N304" s="362">
        <v>4</v>
      </c>
      <c r="O304" s="363" t="s">
        <v>760</v>
      </c>
      <c r="P304" s="301" t="s">
        <v>184</v>
      </c>
      <c r="Q304" s="359" t="s">
        <v>148</v>
      </c>
      <c r="R304" s="278"/>
      <c r="S304" s="195">
        <f>MATCH($D304,Reference!$J$5:$J$9,0)</f>
        <v>5</v>
      </c>
      <c r="T304" s="195">
        <f>MATCH($E304,Reference!$J$26:$J$32,0)</f>
        <v>2</v>
      </c>
      <c r="U304" s="195">
        <f>MATCH($F304,Reference!$J$45:$J$54,0)</f>
        <v>10</v>
      </c>
      <c r="V304" s="196">
        <f>MATCH($K304,Reference!$J$37:$J$39,0)</f>
        <v>3</v>
      </c>
      <c r="W304" s="197">
        <f t="shared" si="514"/>
        <v>0</v>
      </c>
      <c r="X304" s="197">
        <f t="shared" si="1"/>
        <v>0</v>
      </c>
      <c r="Y304" s="197">
        <f t="shared" si="515"/>
        <v>0</v>
      </c>
      <c r="Z304" s="197">
        <f t="shared" si="516"/>
        <v>1</v>
      </c>
      <c r="AA304" s="199" t="b">
        <f t="shared" si="3"/>
        <v>1</v>
      </c>
      <c r="AB304" s="199" t="b">
        <f t="shared" si="4"/>
        <v>0</v>
      </c>
      <c r="AC304" s="200">
        <f t="shared" ref="AC304:AD304" si="539">1-I304</f>
        <v>0.66999999999999993</v>
      </c>
      <c r="AD304" s="200">
        <f t="shared" si="539"/>
        <v>1</v>
      </c>
      <c r="AE304" s="199">
        <f t="shared" si="6"/>
        <v>0.66999999999999993</v>
      </c>
      <c r="AF304" s="201">
        <f t="shared" si="518"/>
        <v>0</v>
      </c>
      <c r="AG304" s="201">
        <f t="shared" si="8"/>
        <v>0</v>
      </c>
      <c r="AH304" s="202">
        <f t="shared" si="519"/>
        <v>0</v>
      </c>
      <c r="AI304" s="205"/>
      <c r="AJ304" s="265" t="s">
        <v>240</v>
      </c>
      <c r="AK304" s="266">
        <f t="shared" ref="AK304:AL304" si="540">SUM(AK297:AK301)</f>
        <v>70</v>
      </c>
      <c r="AL304" s="267">
        <f t="shared" si="540"/>
        <v>1309</v>
      </c>
      <c r="AM304" s="266">
        <f t="shared" ref="AM304:AR304" si="541">SUM(AM297:AM301)</f>
        <v>57</v>
      </c>
      <c r="AN304" s="267">
        <f t="shared" si="541"/>
        <v>723</v>
      </c>
      <c r="AO304" s="266">
        <f t="shared" si="541"/>
        <v>1</v>
      </c>
      <c r="AP304" s="267">
        <f t="shared" si="541"/>
        <v>5</v>
      </c>
      <c r="AQ304" s="266">
        <f t="shared" si="541"/>
        <v>0</v>
      </c>
      <c r="AR304" s="267">
        <f t="shared" si="541"/>
        <v>54</v>
      </c>
      <c r="AS304" s="266">
        <f>SUM(AS298:AS301)</f>
        <v>2</v>
      </c>
      <c r="AT304" s="267">
        <f>SUM(AT297:AT301)</f>
        <v>226</v>
      </c>
      <c r="AU304" s="266">
        <f t="shared" ref="AU304:BD304" si="542">SUM(AU297:AU301)</f>
        <v>0</v>
      </c>
      <c r="AV304" s="267">
        <f t="shared" si="542"/>
        <v>57</v>
      </c>
      <c r="AW304" s="266">
        <f t="shared" si="542"/>
        <v>10</v>
      </c>
      <c r="AX304" s="267">
        <f t="shared" si="542"/>
        <v>244</v>
      </c>
      <c r="AY304" s="266">
        <f t="shared" si="542"/>
        <v>0</v>
      </c>
      <c r="AZ304" s="267">
        <f t="shared" si="542"/>
        <v>85</v>
      </c>
      <c r="BA304" s="266">
        <f t="shared" si="542"/>
        <v>14</v>
      </c>
      <c r="BB304" s="267">
        <f t="shared" si="542"/>
        <v>247</v>
      </c>
      <c r="BC304" s="266">
        <f t="shared" si="542"/>
        <v>0</v>
      </c>
      <c r="BD304" s="267">
        <f t="shared" si="542"/>
        <v>0</v>
      </c>
    </row>
    <row r="305" spans="1:48" ht="14.25">
      <c r="A305" s="187"/>
      <c r="B305" s="357">
        <v>5</v>
      </c>
      <c r="C305" s="358" t="s">
        <v>761</v>
      </c>
      <c r="D305" s="359" t="s">
        <v>70</v>
      </c>
      <c r="E305" s="359" t="s">
        <v>77</v>
      </c>
      <c r="F305" s="359" t="s">
        <v>115</v>
      </c>
      <c r="G305" s="360">
        <v>1</v>
      </c>
      <c r="H305" s="360">
        <v>0</v>
      </c>
      <c r="I305" s="361">
        <v>1</v>
      </c>
      <c r="J305" s="299"/>
      <c r="K305" s="362" t="s">
        <v>182</v>
      </c>
      <c r="L305" s="362"/>
      <c r="M305" s="362">
        <v>5</v>
      </c>
      <c r="N305" s="362">
        <v>4</v>
      </c>
      <c r="O305" s="363" t="s">
        <v>762</v>
      </c>
      <c r="P305" s="301" t="s">
        <v>275</v>
      </c>
      <c r="Q305" s="359" t="s">
        <v>148</v>
      </c>
      <c r="R305" s="173"/>
      <c r="S305" s="195">
        <f>MATCH($D305,Reference!$J$5:$J$9,0)</f>
        <v>5</v>
      </c>
      <c r="T305" s="195">
        <f>MATCH($E305,Reference!$J$26:$J$32,0)</f>
        <v>2</v>
      </c>
      <c r="U305" s="195">
        <f>MATCH($F305,Reference!$J$45:$J$54,0)</f>
        <v>10</v>
      </c>
      <c r="V305" s="196">
        <f>MATCH($K305,Reference!$J$37:$J$39,0)</f>
        <v>3</v>
      </c>
      <c r="W305" s="197">
        <f t="shared" si="514"/>
        <v>1</v>
      </c>
      <c r="X305" s="197">
        <f t="shared" si="1"/>
        <v>1</v>
      </c>
      <c r="Y305" s="197">
        <f t="shared" si="515"/>
        <v>0</v>
      </c>
      <c r="Z305" s="197">
        <f t="shared" si="516"/>
        <v>2</v>
      </c>
      <c r="AA305" s="199" t="b">
        <f t="shared" si="3"/>
        <v>0</v>
      </c>
      <c r="AB305" s="199" t="b">
        <f t="shared" si="4"/>
        <v>0</v>
      </c>
      <c r="AC305" s="200">
        <f t="shared" ref="AC305:AD305" si="543">1-I305</f>
        <v>0</v>
      </c>
      <c r="AD305" s="200">
        <f t="shared" si="543"/>
        <v>1</v>
      </c>
      <c r="AE305" s="199">
        <f t="shared" si="6"/>
        <v>1</v>
      </c>
      <c r="AF305" s="201">
        <f t="shared" si="518"/>
        <v>0</v>
      </c>
      <c r="AG305" s="201">
        <f t="shared" si="8"/>
        <v>1</v>
      </c>
      <c r="AH305" s="202">
        <f t="shared" si="519"/>
        <v>0</v>
      </c>
      <c r="AI305" s="205"/>
      <c r="AQ305" s="173"/>
      <c r="AR305" s="173"/>
      <c r="AS305" s="173"/>
      <c r="AT305" s="173"/>
      <c r="AU305" s="173"/>
      <c r="AV305" s="173"/>
    </row>
    <row r="306" spans="1:48" ht="14.25">
      <c r="A306" s="368"/>
      <c r="B306" s="357">
        <v>5</v>
      </c>
      <c r="C306" s="358" t="s">
        <v>763</v>
      </c>
      <c r="D306" s="359" t="s">
        <v>70</v>
      </c>
      <c r="E306" s="359" t="s">
        <v>77</v>
      </c>
      <c r="F306" s="359" t="s">
        <v>115</v>
      </c>
      <c r="G306" s="360">
        <v>1</v>
      </c>
      <c r="H306" s="360">
        <v>0</v>
      </c>
      <c r="I306" s="361">
        <v>0.33</v>
      </c>
      <c r="J306" s="299"/>
      <c r="K306" s="362" t="s">
        <v>182</v>
      </c>
      <c r="L306" s="362"/>
      <c r="M306" s="362">
        <v>6</v>
      </c>
      <c r="N306" s="362">
        <v>2</v>
      </c>
      <c r="O306" s="363" t="s">
        <v>764</v>
      </c>
      <c r="P306" s="301" t="s">
        <v>396</v>
      </c>
      <c r="Q306" s="359" t="s">
        <v>148</v>
      </c>
      <c r="R306" s="173"/>
      <c r="S306" s="195">
        <f>MATCH($D306,Reference!$J$5:$J$9,0)</f>
        <v>5</v>
      </c>
      <c r="T306" s="195">
        <f>MATCH($E306,Reference!$J$26:$J$32,0)</f>
        <v>2</v>
      </c>
      <c r="U306" s="195">
        <f>MATCH($F306,Reference!$J$45:$J$54,0)</f>
        <v>10</v>
      </c>
      <c r="V306" s="196">
        <f>MATCH($K306,Reference!$J$37:$J$39,0)</f>
        <v>3</v>
      </c>
      <c r="W306" s="197">
        <f t="shared" si="514"/>
        <v>1</v>
      </c>
      <c r="X306" s="197">
        <f t="shared" si="1"/>
        <v>1</v>
      </c>
      <c r="Y306" s="197">
        <f t="shared" si="515"/>
        <v>0</v>
      </c>
      <c r="Z306" s="197">
        <f t="shared" si="516"/>
        <v>2</v>
      </c>
      <c r="AA306" s="199" t="b">
        <f t="shared" si="3"/>
        <v>0</v>
      </c>
      <c r="AB306" s="199" t="b">
        <f t="shared" si="4"/>
        <v>0</v>
      </c>
      <c r="AC306" s="200">
        <f t="shared" ref="AC306:AD306" si="544">1-I306</f>
        <v>0.66999999999999993</v>
      </c>
      <c r="AD306" s="200">
        <f t="shared" si="544"/>
        <v>1</v>
      </c>
      <c r="AE306" s="199">
        <f t="shared" si="6"/>
        <v>1</v>
      </c>
      <c r="AF306" s="201">
        <f t="shared" si="518"/>
        <v>0</v>
      </c>
      <c r="AG306" s="201">
        <f t="shared" si="8"/>
        <v>1</v>
      </c>
      <c r="AH306" s="202">
        <f t="shared" si="519"/>
        <v>0</v>
      </c>
      <c r="AI306" s="205"/>
      <c r="AQ306" s="173"/>
      <c r="AR306" s="173"/>
      <c r="AS306" s="173"/>
      <c r="AT306" s="173"/>
      <c r="AU306" s="173"/>
      <c r="AV306" s="173"/>
    </row>
    <row r="307" spans="1:48" ht="14.25">
      <c r="A307" s="209"/>
      <c r="B307" s="357">
        <v>6</v>
      </c>
      <c r="C307" s="358" t="s">
        <v>765</v>
      </c>
      <c r="D307" s="359" t="s">
        <v>70</v>
      </c>
      <c r="E307" s="359" t="s">
        <v>77</v>
      </c>
      <c r="F307" s="359" t="s">
        <v>115</v>
      </c>
      <c r="G307" s="360">
        <v>1</v>
      </c>
      <c r="H307" s="360">
        <v>0</v>
      </c>
      <c r="I307" s="361">
        <v>0.66</v>
      </c>
      <c r="J307" s="299"/>
      <c r="K307" s="362" t="s">
        <v>182</v>
      </c>
      <c r="L307" s="362"/>
      <c r="M307" s="362">
        <v>4</v>
      </c>
      <c r="N307" s="362">
        <v>5</v>
      </c>
      <c r="O307" s="363" t="s">
        <v>766</v>
      </c>
      <c r="P307" s="301" t="s">
        <v>454</v>
      </c>
      <c r="Q307" s="359" t="s">
        <v>148</v>
      </c>
      <c r="R307" s="173"/>
      <c r="S307" s="195">
        <f>MATCH($D307,Reference!$J$5:$J$9,0)</f>
        <v>5</v>
      </c>
      <c r="T307" s="195">
        <f>MATCH($E307,Reference!$J$26:$J$32,0)</f>
        <v>2</v>
      </c>
      <c r="U307" s="195">
        <f>MATCH($F307,Reference!$J$45:$J$54,0)</f>
        <v>10</v>
      </c>
      <c r="V307" s="196">
        <f>MATCH($K307,Reference!$J$37:$J$39,0)</f>
        <v>3</v>
      </c>
      <c r="W307" s="197">
        <f t="shared" si="514"/>
        <v>1</v>
      </c>
      <c r="X307" s="197">
        <f t="shared" si="1"/>
        <v>1</v>
      </c>
      <c r="Y307" s="197">
        <f t="shared" si="515"/>
        <v>0</v>
      </c>
      <c r="Z307" s="197">
        <f t="shared" si="516"/>
        <v>2</v>
      </c>
      <c r="AA307" s="199" t="b">
        <f t="shared" si="3"/>
        <v>0</v>
      </c>
      <c r="AB307" s="199" t="b">
        <f t="shared" si="4"/>
        <v>0</v>
      </c>
      <c r="AC307" s="200">
        <f t="shared" ref="AC307:AD307" si="545">1-I307</f>
        <v>0.33999999999999997</v>
      </c>
      <c r="AD307" s="200">
        <f t="shared" si="545"/>
        <v>1</v>
      </c>
      <c r="AE307" s="199">
        <f t="shared" si="6"/>
        <v>1</v>
      </c>
      <c r="AF307" s="201">
        <f t="shared" si="518"/>
        <v>0</v>
      </c>
      <c r="AG307" s="201">
        <f t="shared" si="8"/>
        <v>1</v>
      </c>
      <c r="AH307" s="202">
        <f t="shared" si="519"/>
        <v>0</v>
      </c>
      <c r="AI307" s="205"/>
      <c r="AQ307" s="173"/>
      <c r="AR307" s="173"/>
      <c r="AS307" s="173"/>
      <c r="AT307" s="173"/>
      <c r="AU307" s="173"/>
      <c r="AV307" s="173"/>
    </row>
    <row r="308" spans="1:48" ht="14.25">
      <c r="A308" s="187"/>
      <c r="B308" s="357">
        <v>6</v>
      </c>
      <c r="C308" s="358" t="s">
        <v>767</v>
      </c>
      <c r="D308" s="359" t="s">
        <v>70</v>
      </c>
      <c r="E308" s="359" t="s">
        <v>77</v>
      </c>
      <c r="F308" s="359" t="s">
        <v>115</v>
      </c>
      <c r="G308" s="367">
        <v>1</v>
      </c>
      <c r="H308" s="360">
        <v>0</v>
      </c>
      <c r="I308" s="361">
        <v>0.33</v>
      </c>
      <c r="J308" s="299"/>
      <c r="K308" s="342" t="s">
        <v>182</v>
      </c>
      <c r="L308" s="362"/>
      <c r="M308" s="342">
        <v>4</v>
      </c>
      <c r="N308" s="342">
        <v>4</v>
      </c>
      <c r="O308" s="363" t="s">
        <v>768</v>
      </c>
      <c r="P308" s="301" t="s">
        <v>193</v>
      </c>
      <c r="Q308" s="359" t="s">
        <v>148</v>
      </c>
      <c r="R308" s="173"/>
      <c r="S308" s="195">
        <f>MATCH($D308,Reference!$J$5:$J$9,0)</f>
        <v>5</v>
      </c>
      <c r="T308" s="195">
        <f>MATCH($E308,Reference!$J$26:$J$32,0)</f>
        <v>2</v>
      </c>
      <c r="U308" s="195">
        <f>MATCH($F308,Reference!$J$45:$J$54,0)</f>
        <v>10</v>
      </c>
      <c r="V308" s="196">
        <f>MATCH($K308,Reference!$J$37:$J$39,0)</f>
        <v>3</v>
      </c>
      <c r="W308" s="197">
        <f t="shared" si="514"/>
        <v>1</v>
      </c>
      <c r="X308" s="197">
        <f t="shared" si="1"/>
        <v>1</v>
      </c>
      <c r="Y308" s="197">
        <f t="shared" si="515"/>
        <v>0</v>
      </c>
      <c r="Z308" s="197">
        <f t="shared" si="516"/>
        <v>2</v>
      </c>
      <c r="AA308" s="199" t="b">
        <f t="shared" si="3"/>
        <v>0</v>
      </c>
      <c r="AB308" s="199" t="b">
        <f t="shared" si="4"/>
        <v>0</v>
      </c>
      <c r="AC308" s="200">
        <f t="shared" ref="AC308:AD308" si="546">1-I308</f>
        <v>0.66999999999999993</v>
      </c>
      <c r="AD308" s="200">
        <f t="shared" si="546"/>
        <v>1</v>
      </c>
      <c r="AE308" s="199">
        <f t="shared" si="6"/>
        <v>1</v>
      </c>
      <c r="AF308" s="201">
        <f t="shared" si="518"/>
        <v>0</v>
      </c>
      <c r="AG308" s="201">
        <f t="shared" si="8"/>
        <v>1</v>
      </c>
      <c r="AH308" s="202">
        <f t="shared" si="519"/>
        <v>0</v>
      </c>
      <c r="AI308" s="205"/>
      <c r="AQ308" s="173"/>
      <c r="AR308" s="173"/>
      <c r="AS308" s="173"/>
      <c r="AT308" s="173"/>
      <c r="AU308" s="173"/>
      <c r="AV308" s="173"/>
    </row>
    <row r="309" spans="1:48" ht="14.25">
      <c r="A309" s="209"/>
      <c r="B309" s="357">
        <v>6</v>
      </c>
      <c r="C309" s="358" t="s">
        <v>769</v>
      </c>
      <c r="D309" s="359" t="s">
        <v>70</v>
      </c>
      <c r="E309" s="359" t="s">
        <v>77</v>
      </c>
      <c r="F309" s="359" t="s">
        <v>115</v>
      </c>
      <c r="G309" s="360">
        <v>0</v>
      </c>
      <c r="H309" s="360">
        <v>0</v>
      </c>
      <c r="I309" s="361">
        <v>0.33</v>
      </c>
      <c r="J309" s="299"/>
      <c r="K309" s="362" t="s">
        <v>182</v>
      </c>
      <c r="L309" s="362" t="s">
        <v>239</v>
      </c>
      <c r="M309" s="362">
        <v>7</v>
      </c>
      <c r="N309" s="362">
        <v>5</v>
      </c>
      <c r="O309" s="363" t="s">
        <v>770</v>
      </c>
      <c r="P309" s="301"/>
      <c r="Q309" s="359" t="s">
        <v>148</v>
      </c>
      <c r="R309" s="173"/>
      <c r="S309" s="195">
        <f>MATCH($D309,Reference!$J$5:$J$9,0)</f>
        <v>5</v>
      </c>
      <c r="T309" s="195">
        <f>MATCH($E309,Reference!$J$26:$J$32,0)</f>
        <v>2</v>
      </c>
      <c r="U309" s="195">
        <f>MATCH($F309,Reference!$J$45:$J$54,0)</f>
        <v>10</v>
      </c>
      <c r="V309" s="196">
        <f>MATCH($K309,Reference!$J$37:$J$39,0)</f>
        <v>3</v>
      </c>
      <c r="W309" s="197">
        <f t="shared" si="514"/>
        <v>0</v>
      </c>
      <c r="X309" s="197">
        <f t="shared" si="1"/>
        <v>0</v>
      </c>
      <c r="Y309" s="197">
        <f t="shared" si="515"/>
        <v>0</v>
      </c>
      <c r="Z309" s="197">
        <f t="shared" si="516"/>
        <v>1</v>
      </c>
      <c r="AA309" s="199" t="b">
        <f t="shared" si="3"/>
        <v>1</v>
      </c>
      <c r="AB309" s="199" t="b">
        <f t="shared" si="4"/>
        <v>0</v>
      </c>
      <c r="AC309" s="200">
        <f t="shared" ref="AC309:AD309" si="547">1-I309</f>
        <v>0.66999999999999993</v>
      </c>
      <c r="AD309" s="200">
        <f t="shared" si="547"/>
        <v>1</v>
      </c>
      <c r="AE309" s="199">
        <f t="shared" si="6"/>
        <v>0.66999999999999993</v>
      </c>
      <c r="AF309" s="201">
        <f t="shared" si="518"/>
        <v>0</v>
      </c>
      <c r="AG309" s="201">
        <f t="shared" si="8"/>
        <v>0</v>
      </c>
      <c r="AH309" s="202">
        <f t="shared" si="519"/>
        <v>0</v>
      </c>
      <c r="AI309" s="205"/>
      <c r="AQ309" s="173"/>
      <c r="AR309" s="173"/>
      <c r="AS309" s="173"/>
      <c r="AT309" s="173"/>
      <c r="AU309" s="173"/>
      <c r="AV309" s="173"/>
    </row>
    <row r="310" spans="1:48" ht="14.25">
      <c r="A310" s="187"/>
      <c r="B310" s="357">
        <v>6</v>
      </c>
      <c r="C310" s="358" t="s">
        <v>771</v>
      </c>
      <c r="D310" s="359" t="s">
        <v>70</v>
      </c>
      <c r="E310" s="359" t="s">
        <v>77</v>
      </c>
      <c r="F310" s="359" t="s">
        <v>115</v>
      </c>
      <c r="G310" s="360">
        <v>1</v>
      </c>
      <c r="H310" s="360">
        <v>0</v>
      </c>
      <c r="I310" s="361">
        <v>1</v>
      </c>
      <c r="J310" s="299"/>
      <c r="K310" s="362" t="s">
        <v>182</v>
      </c>
      <c r="L310" s="362"/>
      <c r="M310" s="362">
        <v>5</v>
      </c>
      <c r="N310" s="362">
        <v>5</v>
      </c>
      <c r="O310" s="363" t="s">
        <v>772</v>
      </c>
      <c r="P310" s="301" t="s">
        <v>454</v>
      </c>
      <c r="Q310" s="359" t="s">
        <v>148</v>
      </c>
      <c r="R310" s="173"/>
      <c r="S310" s="195">
        <f>MATCH($D310,Reference!$J$5:$J$9,0)</f>
        <v>5</v>
      </c>
      <c r="T310" s="195">
        <f>MATCH($E310,Reference!$J$26:$J$32,0)</f>
        <v>2</v>
      </c>
      <c r="U310" s="195">
        <f>MATCH($F310,Reference!$J$45:$J$54,0)</f>
        <v>10</v>
      </c>
      <c r="V310" s="196">
        <f>MATCH($K310,Reference!$J$37:$J$39,0)</f>
        <v>3</v>
      </c>
      <c r="W310" s="197">
        <f t="shared" si="514"/>
        <v>1</v>
      </c>
      <c r="X310" s="197">
        <f t="shared" si="1"/>
        <v>1</v>
      </c>
      <c r="Y310" s="197">
        <f t="shared" si="515"/>
        <v>0</v>
      </c>
      <c r="Z310" s="197">
        <f t="shared" si="516"/>
        <v>2</v>
      </c>
      <c r="AA310" s="199" t="b">
        <f t="shared" si="3"/>
        <v>0</v>
      </c>
      <c r="AB310" s="199" t="b">
        <f t="shared" si="4"/>
        <v>0</v>
      </c>
      <c r="AC310" s="200">
        <f t="shared" ref="AC310:AD310" si="548">1-I310</f>
        <v>0</v>
      </c>
      <c r="AD310" s="200">
        <f t="shared" si="548"/>
        <v>1</v>
      </c>
      <c r="AE310" s="199">
        <f t="shared" si="6"/>
        <v>1</v>
      </c>
      <c r="AF310" s="201">
        <f t="shared" si="518"/>
        <v>0</v>
      </c>
      <c r="AG310" s="201">
        <f t="shared" si="8"/>
        <v>1</v>
      </c>
      <c r="AH310" s="202">
        <f t="shared" si="519"/>
        <v>0</v>
      </c>
      <c r="AI310" s="205"/>
      <c r="AQ310" s="173"/>
      <c r="AR310" s="173"/>
      <c r="AS310" s="173"/>
      <c r="AT310" s="173"/>
      <c r="AU310" s="173"/>
      <c r="AV310" s="173"/>
    </row>
    <row r="311" spans="1:48" ht="14.25">
      <c r="A311" s="240"/>
      <c r="B311" s="357">
        <v>6</v>
      </c>
      <c r="C311" s="358" t="s">
        <v>773</v>
      </c>
      <c r="D311" s="359" t="s">
        <v>70</v>
      </c>
      <c r="E311" s="359" t="s">
        <v>77</v>
      </c>
      <c r="F311" s="359" t="s">
        <v>115</v>
      </c>
      <c r="G311" s="360">
        <v>0</v>
      </c>
      <c r="H311" s="360">
        <v>0</v>
      </c>
      <c r="I311" s="361">
        <v>0</v>
      </c>
      <c r="J311" s="299"/>
      <c r="K311" s="362" t="s">
        <v>182</v>
      </c>
      <c r="L311" s="362" t="s">
        <v>230</v>
      </c>
      <c r="M311" s="362">
        <v>9</v>
      </c>
      <c r="N311" s="362">
        <v>7</v>
      </c>
      <c r="O311" s="363" t="s">
        <v>774</v>
      </c>
      <c r="P311" s="301" t="s">
        <v>454</v>
      </c>
      <c r="Q311" s="359" t="s">
        <v>148</v>
      </c>
      <c r="R311" s="173"/>
      <c r="S311" s="195">
        <f>MATCH($D311,Reference!$J$5:$J$9,0)</f>
        <v>5</v>
      </c>
      <c r="T311" s="195">
        <f>MATCH($E311,Reference!$J$26:$J$32,0)</f>
        <v>2</v>
      </c>
      <c r="U311" s="195">
        <f>MATCH($F311,Reference!$J$45:$J$54,0)</f>
        <v>10</v>
      </c>
      <c r="V311" s="196">
        <f>MATCH($K311,Reference!$J$37:$J$39,0)</f>
        <v>3</v>
      </c>
      <c r="W311" s="197">
        <f t="shared" si="514"/>
        <v>0</v>
      </c>
      <c r="X311" s="197">
        <f t="shared" si="1"/>
        <v>0</v>
      </c>
      <c r="Y311" s="197">
        <f t="shared" si="515"/>
        <v>0</v>
      </c>
      <c r="Z311" s="197">
        <f t="shared" si="516"/>
        <v>1</v>
      </c>
      <c r="AA311" s="199" t="b">
        <f t="shared" si="3"/>
        <v>1</v>
      </c>
      <c r="AB311" s="199" t="b">
        <f t="shared" si="4"/>
        <v>0</v>
      </c>
      <c r="AC311" s="200">
        <f t="shared" ref="AC311:AD311" si="549">1-I311</f>
        <v>1</v>
      </c>
      <c r="AD311" s="200">
        <f t="shared" si="549"/>
        <v>1</v>
      </c>
      <c r="AE311" s="199">
        <f t="shared" si="6"/>
        <v>1</v>
      </c>
      <c r="AF311" s="201">
        <f t="shared" si="518"/>
        <v>0</v>
      </c>
      <c r="AG311" s="201">
        <f t="shared" si="8"/>
        <v>0</v>
      </c>
      <c r="AH311" s="202">
        <f t="shared" si="519"/>
        <v>0</v>
      </c>
      <c r="AI311" s="205"/>
      <c r="AQ311" s="173"/>
      <c r="AR311" s="173"/>
      <c r="AS311" s="173"/>
      <c r="AT311" s="173"/>
      <c r="AU311" s="173"/>
      <c r="AV311" s="173"/>
    </row>
    <row r="312" spans="1:48" ht="14.25">
      <c r="A312" s="206"/>
      <c r="B312" s="357">
        <v>6</v>
      </c>
      <c r="C312" s="358" t="s">
        <v>775</v>
      </c>
      <c r="D312" s="359" t="s">
        <v>70</v>
      </c>
      <c r="E312" s="359" t="s">
        <v>77</v>
      </c>
      <c r="F312" s="359" t="s">
        <v>115</v>
      </c>
      <c r="G312" s="360">
        <v>0</v>
      </c>
      <c r="H312" s="360">
        <v>0</v>
      </c>
      <c r="I312" s="361">
        <v>1</v>
      </c>
      <c r="J312" s="299"/>
      <c r="K312" s="362" t="s">
        <v>182</v>
      </c>
      <c r="L312" s="362"/>
      <c r="M312" s="362">
        <v>4</v>
      </c>
      <c r="N312" s="362">
        <v>5</v>
      </c>
      <c r="O312" s="363" t="s">
        <v>776</v>
      </c>
      <c r="P312" s="301" t="s">
        <v>184</v>
      </c>
      <c r="Q312" s="359" t="s">
        <v>148</v>
      </c>
      <c r="R312" s="173"/>
      <c r="S312" s="195">
        <f>MATCH($D312,Reference!$J$5:$J$9,0)</f>
        <v>5</v>
      </c>
      <c r="T312" s="195">
        <f>MATCH($E312,Reference!$J$26:$J$32,0)</f>
        <v>2</v>
      </c>
      <c r="U312" s="195">
        <f>MATCH($F312,Reference!$J$45:$J$54,0)</f>
        <v>10</v>
      </c>
      <c r="V312" s="196">
        <f>MATCH($K312,Reference!$J$37:$J$39,0)</f>
        <v>3</v>
      </c>
      <c r="W312" s="197">
        <f t="shared" si="514"/>
        <v>0</v>
      </c>
      <c r="X312" s="197">
        <f t="shared" si="1"/>
        <v>0</v>
      </c>
      <c r="Y312" s="197">
        <f t="shared" si="515"/>
        <v>0</v>
      </c>
      <c r="Z312" s="197">
        <f t="shared" si="516"/>
        <v>1</v>
      </c>
      <c r="AA312" s="199" t="b">
        <f t="shared" si="3"/>
        <v>1</v>
      </c>
      <c r="AB312" s="199" t="b">
        <f t="shared" si="4"/>
        <v>0</v>
      </c>
      <c r="AC312" s="200">
        <f t="shared" ref="AC312:AD312" si="550">1-I312</f>
        <v>0</v>
      </c>
      <c r="AD312" s="200">
        <f t="shared" si="550"/>
        <v>1</v>
      </c>
      <c r="AE312" s="199">
        <f t="shared" si="6"/>
        <v>0</v>
      </c>
      <c r="AF312" s="201">
        <f t="shared" si="518"/>
        <v>0</v>
      </c>
      <c r="AG312" s="201">
        <f t="shared" si="8"/>
        <v>0</v>
      </c>
      <c r="AH312" s="202">
        <f t="shared" si="519"/>
        <v>0</v>
      </c>
      <c r="AI312" s="205"/>
      <c r="AQ312" s="173"/>
      <c r="AR312" s="173"/>
      <c r="AS312" s="173"/>
      <c r="AT312" s="173"/>
      <c r="AU312" s="173"/>
      <c r="AV312" s="173"/>
    </row>
    <row r="313" spans="1:48" ht="14.25">
      <c r="A313" s="211"/>
      <c r="B313" s="357">
        <v>7</v>
      </c>
      <c r="C313" s="358" t="s">
        <v>777</v>
      </c>
      <c r="D313" s="359" t="s">
        <v>70</v>
      </c>
      <c r="E313" s="359" t="s">
        <v>77</v>
      </c>
      <c r="F313" s="359" t="s">
        <v>13</v>
      </c>
      <c r="G313" s="360">
        <v>1</v>
      </c>
      <c r="H313" s="360">
        <v>0</v>
      </c>
      <c r="I313" s="361">
        <v>1</v>
      </c>
      <c r="J313" s="299"/>
      <c r="K313" s="362" t="s">
        <v>182</v>
      </c>
      <c r="L313" s="362"/>
      <c r="M313" s="362">
        <v>5</v>
      </c>
      <c r="N313" s="362">
        <v>7</v>
      </c>
      <c r="O313" s="363" t="s">
        <v>778</v>
      </c>
      <c r="P313" s="301"/>
      <c r="Q313" s="359" t="s">
        <v>148</v>
      </c>
      <c r="R313" s="173"/>
      <c r="S313" s="195">
        <f>MATCH($D313,Reference!$J$5:$J$9,0)</f>
        <v>5</v>
      </c>
      <c r="T313" s="195">
        <f>MATCH($E313,Reference!$J$26:$J$32,0)</f>
        <v>2</v>
      </c>
      <c r="U313" s="195">
        <f>MATCH($F313,Reference!$J$45:$J$54,0)</f>
        <v>3</v>
      </c>
      <c r="V313" s="196">
        <f>MATCH($K313,Reference!$J$37:$J$39,0)</f>
        <v>3</v>
      </c>
      <c r="W313" s="197">
        <f t="shared" si="514"/>
        <v>1</v>
      </c>
      <c r="X313" s="197">
        <f t="shared" si="1"/>
        <v>1</v>
      </c>
      <c r="Y313" s="197">
        <f t="shared" si="515"/>
        <v>0</v>
      </c>
      <c r="Z313" s="197">
        <f t="shared" si="516"/>
        <v>2</v>
      </c>
      <c r="AA313" s="199" t="b">
        <f t="shared" si="3"/>
        <v>0</v>
      </c>
      <c r="AB313" s="199" t="b">
        <f t="shared" si="4"/>
        <v>0</v>
      </c>
      <c r="AC313" s="200">
        <f t="shared" ref="AC313:AD313" si="551">1-I313</f>
        <v>0</v>
      </c>
      <c r="AD313" s="200">
        <f t="shared" si="551"/>
        <v>1</v>
      </c>
      <c r="AE313" s="199">
        <f t="shared" si="6"/>
        <v>1</v>
      </c>
      <c r="AF313" s="201">
        <f t="shared" si="518"/>
        <v>0</v>
      </c>
      <c r="AG313" s="201">
        <f t="shared" si="8"/>
        <v>1</v>
      </c>
      <c r="AH313" s="202">
        <f t="shared" si="519"/>
        <v>0</v>
      </c>
      <c r="AI313" s="205"/>
      <c r="AQ313" s="173"/>
      <c r="AR313" s="173"/>
      <c r="AS313" s="173"/>
      <c r="AT313" s="173"/>
      <c r="AU313" s="173"/>
      <c r="AV313" s="173"/>
    </row>
    <row r="314" spans="1:48" ht="14.25">
      <c r="A314" s="279"/>
      <c r="B314" s="357">
        <v>7</v>
      </c>
      <c r="C314" s="358" t="s">
        <v>779</v>
      </c>
      <c r="D314" s="359" t="s">
        <v>70</v>
      </c>
      <c r="E314" s="359" t="s">
        <v>77</v>
      </c>
      <c r="F314" s="359" t="s">
        <v>115</v>
      </c>
      <c r="G314" s="360">
        <v>1</v>
      </c>
      <c r="H314" s="360">
        <v>0</v>
      </c>
      <c r="I314" s="361">
        <v>1</v>
      </c>
      <c r="J314" s="299"/>
      <c r="K314" s="362" t="s">
        <v>182</v>
      </c>
      <c r="L314" s="362"/>
      <c r="M314" s="362">
        <v>7</v>
      </c>
      <c r="N314" s="362">
        <v>5</v>
      </c>
      <c r="O314" s="363" t="s">
        <v>780</v>
      </c>
      <c r="P314" s="301"/>
      <c r="Q314" s="359" t="s">
        <v>148</v>
      </c>
      <c r="R314" s="173"/>
      <c r="S314" s="195">
        <f>MATCH($D314,Reference!$J$5:$J$9,0)</f>
        <v>5</v>
      </c>
      <c r="T314" s="195">
        <f>MATCH($E314,Reference!$J$26:$J$32,0)</f>
        <v>2</v>
      </c>
      <c r="U314" s="195">
        <f>MATCH($F314,Reference!$J$45:$J$54,0)</f>
        <v>10</v>
      </c>
      <c r="V314" s="196">
        <f>MATCH($K314,Reference!$J$37:$J$39,0)</f>
        <v>3</v>
      </c>
      <c r="W314" s="197">
        <f t="shared" si="514"/>
        <v>1</v>
      </c>
      <c r="X314" s="197">
        <f t="shared" si="1"/>
        <v>1</v>
      </c>
      <c r="Y314" s="197">
        <f t="shared" si="515"/>
        <v>0</v>
      </c>
      <c r="Z314" s="197">
        <f t="shared" si="516"/>
        <v>2</v>
      </c>
      <c r="AA314" s="199" t="b">
        <f t="shared" si="3"/>
        <v>0</v>
      </c>
      <c r="AB314" s="199" t="b">
        <f t="shared" si="4"/>
        <v>0</v>
      </c>
      <c r="AC314" s="200">
        <f t="shared" ref="AC314:AD314" si="552">1-I314</f>
        <v>0</v>
      </c>
      <c r="AD314" s="200">
        <f t="shared" si="552"/>
        <v>1</v>
      </c>
      <c r="AE314" s="199">
        <f t="shared" si="6"/>
        <v>1</v>
      </c>
      <c r="AF314" s="201">
        <f t="shared" si="518"/>
        <v>0</v>
      </c>
      <c r="AG314" s="201">
        <f t="shared" si="8"/>
        <v>1</v>
      </c>
      <c r="AH314" s="202">
        <f t="shared" si="519"/>
        <v>0</v>
      </c>
      <c r="AI314" s="205"/>
      <c r="AQ314" s="173"/>
      <c r="AR314" s="173"/>
      <c r="AS314" s="173"/>
      <c r="AT314" s="173"/>
      <c r="AU314" s="173"/>
      <c r="AV314" s="173"/>
    </row>
    <row r="315" spans="1:48" ht="14.25">
      <c r="A315" s="187"/>
      <c r="B315" s="357">
        <v>7</v>
      </c>
      <c r="C315" s="358" t="s">
        <v>781</v>
      </c>
      <c r="D315" s="359" t="s">
        <v>70</v>
      </c>
      <c r="E315" s="359" t="s">
        <v>77</v>
      </c>
      <c r="F315" s="359" t="s">
        <v>18</v>
      </c>
      <c r="G315" s="360">
        <v>0</v>
      </c>
      <c r="H315" s="360">
        <v>0</v>
      </c>
      <c r="I315" s="361">
        <v>0.33</v>
      </c>
      <c r="J315" s="299"/>
      <c r="K315" s="362" t="s">
        <v>182</v>
      </c>
      <c r="L315" s="362"/>
      <c r="M315" s="362">
        <v>7</v>
      </c>
      <c r="N315" s="362">
        <v>7</v>
      </c>
      <c r="O315" s="363" t="s">
        <v>782</v>
      </c>
      <c r="P315" s="301" t="s">
        <v>268</v>
      </c>
      <c r="Q315" s="359" t="s">
        <v>148</v>
      </c>
      <c r="R315" s="173"/>
      <c r="S315" s="195">
        <f>MATCH($D315,Reference!$J$5:$J$9,0)</f>
        <v>5</v>
      </c>
      <c r="T315" s="195">
        <f>MATCH($E315,Reference!$J$26:$J$32,0)</f>
        <v>2</v>
      </c>
      <c r="U315" s="195">
        <f>MATCH($F315,Reference!$J$45:$J$54,0)</f>
        <v>5</v>
      </c>
      <c r="V315" s="196">
        <f>MATCH($K315,Reference!$J$37:$J$39,0)</f>
        <v>3</v>
      </c>
      <c r="W315" s="197">
        <f t="shared" si="514"/>
        <v>0</v>
      </c>
      <c r="X315" s="197">
        <f t="shared" si="1"/>
        <v>0</v>
      </c>
      <c r="Y315" s="197">
        <f t="shared" si="515"/>
        <v>0</v>
      </c>
      <c r="Z315" s="197">
        <f t="shared" si="516"/>
        <v>1</v>
      </c>
      <c r="AA315" s="199" t="b">
        <f t="shared" si="3"/>
        <v>1</v>
      </c>
      <c r="AB315" s="199" t="b">
        <f t="shared" si="4"/>
        <v>0</v>
      </c>
      <c r="AC315" s="200">
        <f t="shared" ref="AC315:AD315" si="553">1-I315</f>
        <v>0.66999999999999993</v>
      </c>
      <c r="AD315" s="200">
        <f t="shared" si="553"/>
        <v>1</v>
      </c>
      <c r="AE315" s="199">
        <f t="shared" si="6"/>
        <v>0.66999999999999993</v>
      </c>
      <c r="AF315" s="201">
        <f t="shared" si="518"/>
        <v>0</v>
      </c>
      <c r="AG315" s="201">
        <f t="shared" si="8"/>
        <v>0</v>
      </c>
      <c r="AH315" s="202">
        <f t="shared" si="519"/>
        <v>0</v>
      </c>
      <c r="AI315" s="205"/>
      <c r="AQ315" s="173"/>
      <c r="AR315" s="173"/>
      <c r="AS315" s="173"/>
      <c r="AT315" s="173"/>
      <c r="AU315" s="173"/>
      <c r="AV315" s="173"/>
    </row>
    <row r="316" spans="1:48" ht="14.25">
      <c r="A316" s="187"/>
      <c r="B316" s="357">
        <v>8</v>
      </c>
      <c r="C316" s="358" t="s">
        <v>783</v>
      </c>
      <c r="D316" s="359" t="s">
        <v>70</v>
      </c>
      <c r="E316" s="359" t="s">
        <v>77</v>
      </c>
      <c r="F316" s="359" t="s">
        <v>21</v>
      </c>
      <c r="G316" s="360">
        <v>1</v>
      </c>
      <c r="H316" s="360">
        <v>0</v>
      </c>
      <c r="I316" s="361">
        <v>1</v>
      </c>
      <c r="J316" s="299"/>
      <c r="K316" s="362" t="s">
        <v>182</v>
      </c>
      <c r="L316" s="362"/>
      <c r="M316" s="362">
        <v>3</v>
      </c>
      <c r="N316" s="362">
        <v>5</v>
      </c>
      <c r="O316" s="363" t="s">
        <v>784</v>
      </c>
      <c r="P316" s="301" t="s">
        <v>785</v>
      </c>
      <c r="Q316" s="359" t="s">
        <v>148</v>
      </c>
      <c r="R316" s="173"/>
      <c r="S316" s="195">
        <f>MATCH($D316,Reference!$J$5:$J$9,0)</f>
        <v>5</v>
      </c>
      <c r="T316" s="195">
        <f>MATCH($E316,Reference!$J$26:$J$32,0)</f>
        <v>2</v>
      </c>
      <c r="U316" s="195">
        <f>MATCH($F316,Reference!$J$45:$J$54,0)</f>
        <v>7</v>
      </c>
      <c r="V316" s="196">
        <f>MATCH($K316,Reference!$J$37:$J$39,0)</f>
        <v>3</v>
      </c>
      <c r="W316" s="197">
        <f t="shared" si="514"/>
        <v>1</v>
      </c>
      <c r="X316" s="197">
        <f t="shared" si="1"/>
        <v>1</v>
      </c>
      <c r="Y316" s="197">
        <f t="shared" si="515"/>
        <v>0</v>
      </c>
      <c r="Z316" s="197">
        <f t="shared" si="516"/>
        <v>2</v>
      </c>
      <c r="AA316" s="199" t="b">
        <f t="shared" si="3"/>
        <v>0</v>
      </c>
      <c r="AB316" s="199" t="b">
        <f t="shared" si="4"/>
        <v>0</v>
      </c>
      <c r="AC316" s="200">
        <f t="shared" ref="AC316:AD316" si="554">1-I316</f>
        <v>0</v>
      </c>
      <c r="AD316" s="200">
        <f t="shared" si="554"/>
        <v>1</v>
      </c>
      <c r="AE316" s="199">
        <f t="shared" si="6"/>
        <v>1</v>
      </c>
      <c r="AF316" s="201">
        <f t="shared" si="518"/>
        <v>0</v>
      </c>
      <c r="AG316" s="201">
        <f t="shared" si="8"/>
        <v>1</v>
      </c>
      <c r="AH316" s="202">
        <f t="shared" si="519"/>
        <v>0</v>
      </c>
      <c r="AI316" s="205"/>
      <c r="AQ316" s="173"/>
      <c r="AR316" s="173"/>
      <c r="AS316" s="173"/>
      <c r="AT316" s="173"/>
      <c r="AU316" s="173"/>
      <c r="AV316" s="173"/>
    </row>
    <row r="317" spans="1:48" ht="14.25">
      <c r="A317" s="187"/>
      <c r="B317" s="357">
        <v>8</v>
      </c>
      <c r="C317" s="358" t="s">
        <v>786</v>
      </c>
      <c r="D317" s="359" t="s">
        <v>70</v>
      </c>
      <c r="E317" s="359" t="s">
        <v>77</v>
      </c>
      <c r="F317" s="359" t="s">
        <v>26</v>
      </c>
      <c r="G317" s="360">
        <v>1</v>
      </c>
      <c r="H317" s="360">
        <v>0</v>
      </c>
      <c r="I317" s="361">
        <v>1</v>
      </c>
      <c r="J317" s="299"/>
      <c r="K317" s="362" t="s">
        <v>182</v>
      </c>
      <c r="L317" s="362"/>
      <c r="M317" s="362">
        <v>4</v>
      </c>
      <c r="N317" s="362">
        <v>9</v>
      </c>
      <c r="O317" s="363" t="s">
        <v>787</v>
      </c>
      <c r="P317" s="301" t="s">
        <v>396</v>
      </c>
      <c r="Q317" s="359" t="s">
        <v>148</v>
      </c>
      <c r="R317" s="173"/>
      <c r="S317" s="195">
        <f>MATCH($D317,Reference!$J$5:$J$9,0)</f>
        <v>5</v>
      </c>
      <c r="T317" s="195">
        <f>MATCH($E317,Reference!$J$26:$J$32,0)</f>
        <v>2</v>
      </c>
      <c r="U317" s="195">
        <f>MATCH($F317,Reference!$J$45:$J$54,0)</f>
        <v>9</v>
      </c>
      <c r="V317" s="196">
        <f>MATCH($K317,Reference!$J$37:$J$39,0)</f>
        <v>3</v>
      </c>
      <c r="W317" s="197">
        <f t="shared" si="514"/>
        <v>1</v>
      </c>
      <c r="X317" s="197">
        <f t="shared" si="1"/>
        <v>1</v>
      </c>
      <c r="Y317" s="197">
        <f t="shared" si="515"/>
        <v>0</v>
      </c>
      <c r="Z317" s="197">
        <f t="shared" si="516"/>
        <v>2</v>
      </c>
      <c r="AA317" s="199" t="b">
        <f t="shared" si="3"/>
        <v>0</v>
      </c>
      <c r="AB317" s="199" t="b">
        <f t="shared" si="4"/>
        <v>0</v>
      </c>
      <c r="AC317" s="200">
        <f t="shared" ref="AC317:AD317" si="555">1-I317</f>
        <v>0</v>
      </c>
      <c r="AD317" s="200">
        <f t="shared" si="555"/>
        <v>1</v>
      </c>
      <c r="AE317" s="199">
        <f t="shared" si="6"/>
        <v>1</v>
      </c>
      <c r="AF317" s="201">
        <f t="shared" si="518"/>
        <v>0</v>
      </c>
      <c r="AG317" s="201">
        <f t="shared" si="8"/>
        <v>1</v>
      </c>
      <c r="AH317" s="202">
        <f t="shared" si="519"/>
        <v>0</v>
      </c>
      <c r="AI317" s="205"/>
      <c r="AQ317" s="173"/>
      <c r="AR317" s="173"/>
      <c r="AS317" s="173"/>
      <c r="AT317" s="173"/>
      <c r="AU317" s="173"/>
      <c r="AV317" s="173"/>
    </row>
    <row r="318" spans="1:48" ht="14.25">
      <c r="A318" s="206"/>
      <c r="B318" s="357">
        <v>8</v>
      </c>
      <c r="C318" s="358" t="s">
        <v>788</v>
      </c>
      <c r="D318" s="359" t="s">
        <v>70</v>
      </c>
      <c r="E318" s="359" t="s">
        <v>77</v>
      </c>
      <c r="F318" s="359" t="s">
        <v>115</v>
      </c>
      <c r="G318" s="360">
        <v>0</v>
      </c>
      <c r="H318" s="360">
        <v>0</v>
      </c>
      <c r="I318" s="361">
        <v>0</v>
      </c>
      <c r="J318" s="299"/>
      <c r="K318" s="362" t="s">
        <v>182</v>
      </c>
      <c r="L318" s="362"/>
      <c r="M318" s="362">
        <v>7</v>
      </c>
      <c r="N318" s="362">
        <v>7</v>
      </c>
      <c r="O318" s="363" t="s">
        <v>789</v>
      </c>
      <c r="P318" s="301"/>
      <c r="Q318" s="359" t="s">
        <v>148</v>
      </c>
      <c r="R318" s="173"/>
      <c r="S318" s="195">
        <f>MATCH($D318,Reference!$J$5:$J$9,0)</f>
        <v>5</v>
      </c>
      <c r="T318" s="195">
        <f>MATCH($E318,Reference!$J$26:$J$32,0)</f>
        <v>2</v>
      </c>
      <c r="U318" s="195">
        <f>MATCH($F318,Reference!$J$45:$J$54,0)</f>
        <v>10</v>
      </c>
      <c r="V318" s="196">
        <f>MATCH($K318,Reference!$J$37:$J$39,0)</f>
        <v>3</v>
      </c>
      <c r="W318" s="197">
        <f t="shared" si="514"/>
        <v>0</v>
      </c>
      <c r="X318" s="197">
        <f t="shared" si="1"/>
        <v>0</v>
      </c>
      <c r="Y318" s="197">
        <f t="shared" si="515"/>
        <v>0</v>
      </c>
      <c r="Z318" s="197">
        <f t="shared" si="516"/>
        <v>1</v>
      </c>
      <c r="AA318" s="199" t="b">
        <f t="shared" si="3"/>
        <v>1</v>
      </c>
      <c r="AB318" s="199" t="b">
        <f t="shared" si="4"/>
        <v>0</v>
      </c>
      <c r="AC318" s="200">
        <f t="shared" ref="AC318:AD318" si="556">1-I318</f>
        <v>1</v>
      </c>
      <c r="AD318" s="200">
        <f t="shared" si="556"/>
        <v>1</v>
      </c>
      <c r="AE318" s="199">
        <f t="shared" si="6"/>
        <v>1</v>
      </c>
      <c r="AF318" s="201">
        <f t="shared" si="518"/>
        <v>0</v>
      </c>
      <c r="AG318" s="201">
        <f t="shared" si="8"/>
        <v>0</v>
      </c>
      <c r="AH318" s="202">
        <f t="shared" si="519"/>
        <v>0</v>
      </c>
      <c r="AI318" s="205"/>
      <c r="AQ318" s="173"/>
      <c r="AR318" s="173"/>
      <c r="AS318" s="173"/>
      <c r="AT318" s="173"/>
      <c r="AU318" s="173"/>
      <c r="AV318" s="173"/>
    </row>
    <row r="319" spans="1:48" ht="14.25">
      <c r="A319" s="206"/>
      <c r="B319" s="357">
        <v>8</v>
      </c>
      <c r="C319" s="358" t="s">
        <v>790</v>
      </c>
      <c r="D319" s="359" t="s">
        <v>70</v>
      </c>
      <c r="E319" s="359" t="s">
        <v>77</v>
      </c>
      <c r="F319" s="359" t="s">
        <v>115</v>
      </c>
      <c r="G319" s="360">
        <v>1</v>
      </c>
      <c r="H319" s="360">
        <v>0</v>
      </c>
      <c r="I319" s="361">
        <v>1</v>
      </c>
      <c r="J319" s="299"/>
      <c r="K319" s="362" t="s">
        <v>182</v>
      </c>
      <c r="L319" s="362"/>
      <c r="M319" s="362">
        <v>8</v>
      </c>
      <c r="N319" s="362">
        <v>8</v>
      </c>
      <c r="O319" s="363" t="s">
        <v>791</v>
      </c>
      <c r="P319" s="301" t="s">
        <v>792</v>
      </c>
      <c r="Q319" s="359" t="s">
        <v>148</v>
      </c>
      <c r="R319" s="173"/>
      <c r="S319" s="195">
        <f>MATCH($D319,Reference!$J$5:$J$9,0)</f>
        <v>5</v>
      </c>
      <c r="T319" s="195">
        <f>MATCH($E319,Reference!$J$26:$J$32,0)</f>
        <v>2</v>
      </c>
      <c r="U319" s="195">
        <f>MATCH($F319,Reference!$J$45:$J$54,0)</f>
        <v>10</v>
      </c>
      <c r="V319" s="196">
        <f>MATCH($K319,Reference!$J$37:$J$39,0)</f>
        <v>3</v>
      </c>
      <c r="W319" s="197">
        <f t="shared" si="514"/>
        <v>1</v>
      </c>
      <c r="X319" s="197">
        <f t="shared" si="1"/>
        <v>1</v>
      </c>
      <c r="Y319" s="197">
        <f t="shared" si="515"/>
        <v>0</v>
      </c>
      <c r="Z319" s="197">
        <f t="shared" si="516"/>
        <v>2</v>
      </c>
      <c r="AA319" s="199" t="b">
        <f t="shared" si="3"/>
        <v>0</v>
      </c>
      <c r="AB319" s="199" t="b">
        <f t="shared" si="4"/>
        <v>0</v>
      </c>
      <c r="AC319" s="200">
        <f t="shared" ref="AC319:AD319" si="557">1-I319</f>
        <v>0</v>
      </c>
      <c r="AD319" s="200">
        <f t="shared" si="557"/>
        <v>1</v>
      </c>
      <c r="AE319" s="199">
        <f t="shared" si="6"/>
        <v>1</v>
      </c>
      <c r="AF319" s="201">
        <f t="shared" si="518"/>
        <v>0</v>
      </c>
      <c r="AG319" s="201">
        <f t="shared" si="8"/>
        <v>1</v>
      </c>
      <c r="AH319" s="202">
        <f t="shared" si="519"/>
        <v>0</v>
      </c>
      <c r="AI319" s="205"/>
      <c r="AQ319" s="173"/>
      <c r="AR319" s="173"/>
      <c r="AS319" s="173"/>
      <c r="AT319" s="173"/>
      <c r="AU319" s="173"/>
      <c r="AV319" s="173"/>
    </row>
    <row r="320" spans="1:48" ht="14.25">
      <c r="A320" s="209"/>
      <c r="B320" s="357">
        <v>8</v>
      </c>
      <c r="C320" s="358" t="s">
        <v>793</v>
      </c>
      <c r="D320" s="359" t="s">
        <v>70</v>
      </c>
      <c r="E320" s="359" t="s">
        <v>77</v>
      </c>
      <c r="F320" s="359" t="s">
        <v>16</v>
      </c>
      <c r="G320" s="360">
        <v>1</v>
      </c>
      <c r="H320" s="360">
        <v>0</v>
      </c>
      <c r="I320" s="361">
        <v>1</v>
      </c>
      <c r="J320" s="299"/>
      <c r="K320" s="362" t="s">
        <v>182</v>
      </c>
      <c r="L320" s="362"/>
      <c r="M320" s="362">
        <v>6</v>
      </c>
      <c r="N320" s="362">
        <v>6</v>
      </c>
      <c r="O320" s="363" t="s">
        <v>794</v>
      </c>
      <c r="P320" s="301" t="s">
        <v>795</v>
      </c>
      <c r="Q320" s="359" t="s">
        <v>148</v>
      </c>
      <c r="R320" s="173"/>
      <c r="S320" s="195">
        <f>MATCH($D320,Reference!$J$5:$J$9,0)</f>
        <v>5</v>
      </c>
      <c r="T320" s="195">
        <f>MATCH($E320,Reference!$J$26:$J$32,0)</f>
        <v>2</v>
      </c>
      <c r="U320" s="195">
        <f>MATCH($F320,Reference!$J$45:$J$54,0)</f>
        <v>4</v>
      </c>
      <c r="V320" s="196">
        <f>MATCH($K320,Reference!$J$37:$J$39,0)</f>
        <v>3</v>
      </c>
      <c r="W320" s="197">
        <f t="shared" si="514"/>
        <v>1</v>
      </c>
      <c r="X320" s="197">
        <f t="shared" si="1"/>
        <v>1</v>
      </c>
      <c r="Y320" s="197">
        <f t="shared" si="515"/>
        <v>0</v>
      </c>
      <c r="Z320" s="197">
        <f t="shared" si="516"/>
        <v>2</v>
      </c>
      <c r="AA320" s="199" t="b">
        <f t="shared" si="3"/>
        <v>0</v>
      </c>
      <c r="AB320" s="199" t="b">
        <f t="shared" si="4"/>
        <v>0</v>
      </c>
      <c r="AC320" s="200">
        <f t="shared" ref="AC320:AD320" si="558">1-I320</f>
        <v>0</v>
      </c>
      <c r="AD320" s="200">
        <f t="shared" si="558"/>
        <v>1</v>
      </c>
      <c r="AE320" s="199">
        <f t="shared" si="6"/>
        <v>1</v>
      </c>
      <c r="AF320" s="201">
        <f t="shared" si="518"/>
        <v>0</v>
      </c>
      <c r="AG320" s="201">
        <f t="shared" si="8"/>
        <v>1</v>
      </c>
      <c r="AH320" s="202">
        <f t="shared" si="519"/>
        <v>0</v>
      </c>
      <c r="AI320" s="205"/>
      <c r="AQ320" s="173"/>
      <c r="AR320" s="173"/>
      <c r="AS320" s="173"/>
      <c r="AT320" s="173"/>
      <c r="AU320" s="173"/>
      <c r="AV320" s="173"/>
    </row>
    <row r="321" spans="1:48" ht="14.25">
      <c r="A321" s="187"/>
      <c r="B321" s="357">
        <v>9</v>
      </c>
      <c r="C321" s="358" t="s">
        <v>796</v>
      </c>
      <c r="D321" s="359" t="s">
        <v>70</v>
      </c>
      <c r="E321" s="359" t="s">
        <v>77</v>
      </c>
      <c r="F321" s="359" t="s">
        <v>115</v>
      </c>
      <c r="G321" s="367">
        <v>1</v>
      </c>
      <c r="H321" s="360">
        <v>0</v>
      </c>
      <c r="I321" s="361">
        <v>1</v>
      </c>
      <c r="J321" s="299"/>
      <c r="K321" s="341" t="s">
        <v>182</v>
      </c>
      <c r="L321" s="362" t="s">
        <v>415</v>
      </c>
      <c r="M321" s="341">
        <v>8</v>
      </c>
      <c r="N321" s="341">
        <v>8</v>
      </c>
      <c r="O321" s="363" t="s">
        <v>797</v>
      </c>
      <c r="P321" s="301" t="s">
        <v>184</v>
      </c>
      <c r="Q321" s="359" t="s">
        <v>148</v>
      </c>
      <c r="R321" s="173"/>
      <c r="S321" s="195">
        <f>MATCH($D321,Reference!$J$5:$J$9,0)</f>
        <v>5</v>
      </c>
      <c r="T321" s="195">
        <f>MATCH($E321,Reference!$J$26:$J$32,0)</f>
        <v>2</v>
      </c>
      <c r="U321" s="195">
        <f>MATCH($F321,Reference!$J$45:$J$54,0)</f>
        <v>10</v>
      </c>
      <c r="V321" s="196">
        <f>MATCH($K321,Reference!$J$37:$J$39,0)</f>
        <v>3</v>
      </c>
      <c r="W321" s="197">
        <f t="shared" si="514"/>
        <v>1</v>
      </c>
      <c r="X321" s="197">
        <f t="shared" si="1"/>
        <v>1</v>
      </c>
      <c r="Y321" s="197">
        <f t="shared" si="515"/>
        <v>0</v>
      </c>
      <c r="Z321" s="197">
        <f t="shared" si="516"/>
        <v>2</v>
      </c>
      <c r="AA321" s="199" t="b">
        <f t="shared" si="3"/>
        <v>0</v>
      </c>
      <c r="AB321" s="199" t="b">
        <f t="shared" si="4"/>
        <v>0</v>
      </c>
      <c r="AC321" s="200">
        <f t="shared" ref="AC321:AD321" si="559">1-I321</f>
        <v>0</v>
      </c>
      <c r="AD321" s="200">
        <f t="shared" si="559"/>
        <v>1</v>
      </c>
      <c r="AE321" s="199">
        <f t="shared" si="6"/>
        <v>1</v>
      </c>
      <c r="AF321" s="201">
        <f t="shared" si="518"/>
        <v>0</v>
      </c>
      <c r="AG321" s="201">
        <f t="shared" si="8"/>
        <v>1</v>
      </c>
      <c r="AH321" s="202">
        <f t="shared" si="519"/>
        <v>0</v>
      </c>
      <c r="AI321" s="205"/>
      <c r="AQ321" s="173"/>
      <c r="AR321" s="173"/>
      <c r="AS321" s="173"/>
      <c r="AT321" s="173"/>
      <c r="AU321" s="173"/>
      <c r="AV321" s="173"/>
    </row>
    <row r="322" spans="1:48" ht="14.25">
      <c r="A322" s="206"/>
      <c r="B322" s="357">
        <v>9</v>
      </c>
      <c r="C322" s="358" t="s">
        <v>798</v>
      </c>
      <c r="D322" s="359" t="s">
        <v>70</v>
      </c>
      <c r="E322" s="359" t="s">
        <v>77</v>
      </c>
      <c r="F322" s="359" t="s">
        <v>8</v>
      </c>
      <c r="G322" s="360">
        <v>1</v>
      </c>
      <c r="H322" s="360">
        <v>0</v>
      </c>
      <c r="I322" s="361">
        <v>0.66</v>
      </c>
      <c r="J322" s="299"/>
      <c r="K322" s="362" t="s">
        <v>182</v>
      </c>
      <c r="L322" s="362"/>
      <c r="M322" s="362">
        <v>5</v>
      </c>
      <c r="N322" s="362">
        <v>8</v>
      </c>
      <c r="O322" s="363" t="s">
        <v>799</v>
      </c>
      <c r="P322" s="301" t="s">
        <v>651</v>
      </c>
      <c r="Q322" s="359" t="s">
        <v>148</v>
      </c>
      <c r="R322" s="173"/>
      <c r="S322" s="195">
        <f>MATCH($D322,Reference!$J$5:$J$9,0)</f>
        <v>5</v>
      </c>
      <c r="T322" s="195">
        <f>MATCH($E322,Reference!$J$26:$J$32,0)</f>
        <v>2</v>
      </c>
      <c r="U322" s="195">
        <f>MATCH($F322,Reference!$J$45:$J$54,0)</f>
        <v>1</v>
      </c>
      <c r="V322" s="196">
        <f>MATCH($K322,Reference!$J$37:$J$39,0)</f>
        <v>3</v>
      </c>
      <c r="W322" s="197">
        <f t="shared" si="514"/>
        <v>1</v>
      </c>
      <c r="X322" s="197">
        <f t="shared" si="1"/>
        <v>1</v>
      </c>
      <c r="Y322" s="197">
        <f t="shared" si="515"/>
        <v>0</v>
      </c>
      <c r="Z322" s="197">
        <f t="shared" si="516"/>
        <v>2</v>
      </c>
      <c r="AA322" s="199" t="b">
        <f t="shared" si="3"/>
        <v>0</v>
      </c>
      <c r="AB322" s="199" t="b">
        <f t="shared" si="4"/>
        <v>0</v>
      </c>
      <c r="AC322" s="200">
        <f t="shared" ref="AC322:AD322" si="560">1-I322</f>
        <v>0.33999999999999997</v>
      </c>
      <c r="AD322" s="200">
        <f t="shared" si="560"/>
        <v>1</v>
      </c>
      <c r="AE322" s="199">
        <f t="shared" si="6"/>
        <v>1</v>
      </c>
      <c r="AF322" s="201">
        <f t="shared" si="518"/>
        <v>0</v>
      </c>
      <c r="AG322" s="201">
        <f t="shared" si="8"/>
        <v>1</v>
      </c>
      <c r="AH322" s="202">
        <f t="shared" si="519"/>
        <v>0</v>
      </c>
      <c r="AI322" s="205"/>
      <c r="AQ322" s="173"/>
      <c r="AR322" s="173"/>
      <c r="AS322" s="173"/>
      <c r="AT322" s="173"/>
      <c r="AU322" s="173"/>
      <c r="AV322" s="173"/>
    </row>
    <row r="323" spans="1:48" ht="14.25">
      <c r="A323" s="187"/>
      <c r="B323" s="369">
        <v>9</v>
      </c>
      <c r="C323" s="358" t="s">
        <v>800</v>
      </c>
      <c r="D323" s="359" t="s">
        <v>70</v>
      </c>
      <c r="E323" s="359" t="s">
        <v>77</v>
      </c>
      <c r="F323" s="359" t="s">
        <v>11</v>
      </c>
      <c r="G323" s="360">
        <v>0</v>
      </c>
      <c r="H323" s="360">
        <v>0</v>
      </c>
      <c r="I323" s="361">
        <v>0.33</v>
      </c>
      <c r="J323" s="299"/>
      <c r="K323" s="362" t="s">
        <v>182</v>
      </c>
      <c r="L323" s="362" t="s">
        <v>230</v>
      </c>
      <c r="M323" s="362">
        <v>8</v>
      </c>
      <c r="N323" s="362">
        <v>8</v>
      </c>
      <c r="O323" s="363" t="s">
        <v>231</v>
      </c>
      <c r="P323" s="301" t="s">
        <v>396</v>
      </c>
      <c r="Q323" s="359" t="s">
        <v>148</v>
      </c>
      <c r="R323" s="173"/>
      <c r="S323" s="195">
        <f>MATCH($D323,Reference!$J$5:$J$9,0)</f>
        <v>5</v>
      </c>
      <c r="T323" s="195">
        <f>MATCH($E323,Reference!$J$26:$J$32,0)</f>
        <v>2</v>
      </c>
      <c r="U323" s="195">
        <f>MATCH($F323,Reference!$J$45:$J$54,0)</f>
        <v>2</v>
      </c>
      <c r="V323" s="196">
        <f>MATCH($K323,Reference!$J$37:$J$39,0)</f>
        <v>3</v>
      </c>
      <c r="W323" s="197">
        <f t="shared" si="514"/>
        <v>0</v>
      </c>
      <c r="X323" s="197">
        <f t="shared" si="1"/>
        <v>0</v>
      </c>
      <c r="Y323" s="197">
        <f t="shared" si="515"/>
        <v>0</v>
      </c>
      <c r="Z323" s="197">
        <f t="shared" si="516"/>
        <v>1</v>
      </c>
      <c r="AA323" s="199" t="b">
        <f t="shared" si="3"/>
        <v>1</v>
      </c>
      <c r="AB323" s="199" t="b">
        <f t="shared" si="4"/>
        <v>0</v>
      </c>
      <c r="AC323" s="200">
        <f t="shared" ref="AC323:AD323" si="561">1-I323</f>
        <v>0.66999999999999993</v>
      </c>
      <c r="AD323" s="200">
        <f t="shared" si="561"/>
        <v>1</v>
      </c>
      <c r="AE323" s="199">
        <f t="shared" si="6"/>
        <v>0.66999999999999993</v>
      </c>
      <c r="AF323" s="201">
        <f t="shared" si="518"/>
        <v>0</v>
      </c>
      <c r="AG323" s="201">
        <f t="shared" si="8"/>
        <v>0</v>
      </c>
      <c r="AH323" s="202">
        <f t="shared" si="519"/>
        <v>0</v>
      </c>
      <c r="AI323" s="205"/>
      <c r="AQ323" s="173"/>
      <c r="AR323" s="173"/>
      <c r="AS323" s="173"/>
      <c r="AT323" s="173"/>
      <c r="AU323" s="173"/>
      <c r="AV323" s="173"/>
    </row>
    <row r="324" spans="1:48" ht="14.25">
      <c r="A324" s="206"/>
      <c r="B324" s="357">
        <v>9</v>
      </c>
      <c r="C324" s="358" t="s">
        <v>801</v>
      </c>
      <c r="D324" s="359" t="s">
        <v>70</v>
      </c>
      <c r="E324" s="359" t="s">
        <v>77</v>
      </c>
      <c r="F324" s="359" t="s">
        <v>25</v>
      </c>
      <c r="G324" s="360">
        <v>1</v>
      </c>
      <c r="H324" s="360">
        <v>0</v>
      </c>
      <c r="I324" s="361">
        <v>1</v>
      </c>
      <c r="J324" s="299"/>
      <c r="K324" s="362" t="s">
        <v>182</v>
      </c>
      <c r="L324" s="362" t="s">
        <v>239</v>
      </c>
      <c r="M324" s="362">
        <v>3</v>
      </c>
      <c r="N324" s="362">
        <v>15</v>
      </c>
      <c r="O324" s="363" t="s">
        <v>802</v>
      </c>
      <c r="P324" s="301" t="s">
        <v>184</v>
      </c>
      <c r="Q324" s="359" t="s">
        <v>148</v>
      </c>
      <c r="R324" s="173"/>
      <c r="S324" s="195">
        <f>MATCH($D324,Reference!$J$5:$J$9,0)</f>
        <v>5</v>
      </c>
      <c r="T324" s="195">
        <f>MATCH($E324,Reference!$J$26:$J$32,0)</f>
        <v>2</v>
      </c>
      <c r="U324" s="195">
        <f>MATCH($F324,Reference!$J$45:$J$54,0)</f>
        <v>8</v>
      </c>
      <c r="V324" s="196">
        <f>MATCH($K324,Reference!$J$37:$J$39,0)</f>
        <v>3</v>
      </c>
      <c r="W324" s="197">
        <f t="shared" si="514"/>
        <v>1</v>
      </c>
      <c r="X324" s="197">
        <f t="shared" si="1"/>
        <v>1</v>
      </c>
      <c r="Y324" s="197">
        <f t="shared" si="515"/>
        <v>0</v>
      </c>
      <c r="Z324" s="197">
        <f t="shared" si="516"/>
        <v>2</v>
      </c>
      <c r="AA324" s="199" t="b">
        <f t="shared" si="3"/>
        <v>0</v>
      </c>
      <c r="AB324" s="199" t="b">
        <f t="shared" si="4"/>
        <v>0</v>
      </c>
      <c r="AC324" s="200">
        <f t="shared" ref="AC324:AD324" si="562">1-I324</f>
        <v>0</v>
      </c>
      <c r="AD324" s="200">
        <f t="shared" si="562"/>
        <v>1</v>
      </c>
      <c r="AE324" s="199">
        <f t="shared" si="6"/>
        <v>1</v>
      </c>
      <c r="AF324" s="201">
        <f t="shared" si="518"/>
        <v>0</v>
      </c>
      <c r="AG324" s="201">
        <f t="shared" si="8"/>
        <v>1</v>
      </c>
      <c r="AH324" s="202">
        <f t="shared" si="519"/>
        <v>0</v>
      </c>
      <c r="AI324" s="205"/>
      <c r="AQ324" s="173"/>
      <c r="AR324" s="173"/>
      <c r="AS324" s="173"/>
      <c r="AT324" s="173"/>
      <c r="AU324" s="173"/>
      <c r="AV324" s="173"/>
    </row>
    <row r="325" spans="1:48" ht="14.25">
      <c r="A325" s="206"/>
      <c r="B325" s="357">
        <v>9</v>
      </c>
      <c r="C325" s="358" t="s">
        <v>803</v>
      </c>
      <c r="D325" s="359" t="s">
        <v>70</v>
      </c>
      <c r="E325" s="359" t="s">
        <v>77</v>
      </c>
      <c r="F325" s="359" t="s">
        <v>115</v>
      </c>
      <c r="G325" s="360">
        <v>1</v>
      </c>
      <c r="H325" s="360">
        <v>0</v>
      </c>
      <c r="I325" s="361">
        <v>0.33</v>
      </c>
      <c r="J325" s="299"/>
      <c r="K325" s="359" t="s">
        <v>182</v>
      </c>
      <c r="L325" s="359" t="s">
        <v>415</v>
      </c>
      <c r="M325" s="365">
        <v>4</v>
      </c>
      <c r="N325" s="366">
        <v>12</v>
      </c>
      <c r="O325" s="363" t="s">
        <v>804</v>
      </c>
      <c r="P325" s="301" t="s">
        <v>268</v>
      </c>
      <c r="Q325" s="359" t="s">
        <v>148</v>
      </c>
      <c r="R325" s="173"/>
      <c r="S325" s="195">
        <f>MATCH($D325,Reference!$J$5:$J$9,0)</f>
        <v>5</v>
      </c>
      <c r="T325" s="195">
        <f>MATCH($E325,Reference!$J$26:$J$32,0)</f>
        <v>2</v>
      </c>
      <c r="U325" s="195">
        <f>MATCH($F325,Reference!$J$45:$J$54,0)</f>
        <v>10</v>
      </c>
      <c r="V325" s="196">
        <f>MATCH($K325,Reference!$J$37:$J$39,0)</f>
        <v>3</v>
      </c>
      <c r="W325" s="197">
        <f t="shared" si="514"/>
        <v>1</v>
      </c>
      <c r="X325" s="197">
        <f t="shared" si="1"/>
        <v>1</v>
      </c>
      <c r="Y325" s="197">
        <f t="shared" si="515"/>
        <v>0</v>
      </c>
      <c r="Z325" s="197">
        <f t="shared" si="516"/>
        <v>2</v>
      </c>
      <c r="AA325" s="199" t="b">
        <f t="shared" si="3"/>
        <v>0</v>
      </c>
      <c r="AB325" s="199" t="b">
        <f t="shared" si="4"/>
        <v>0</v>
      </c>
      <c r="AC325" s="200">
        <f t="shared" ref="AC325:AD325" si="563">1-I325</f>
        <v>0.66999999999999993</v>
      </c>
      <c r="AD325" s="200">
        <f t="shared" si="563"/>
        <v>1</v>
      </c>
      <c r="AE325" s="199">
        <f t="shared" si="6"/>
        <v>1</v>
      </c>
      <c r="AF325" s="201">
        <f t="shared" si="518"/>
        <v>0</v>
      </c>
      <c r="AG325" s="201">
        <f t="shared" si="8"/>
        <v>1</v>
      </c>
      <c r="AH325" s="202">
        <f t="shared" si="519"/>
        <v>0</v>
      </c>
      <c r="AI325" s="205"/>
      <c r="AQ325" s="173"/>
      <c r="AR325" s="173"/>
      <c r="AS325" s="173"/>
      <c r="AT325" s="173"/>
      <c r="AU325" s="173"/>
      <c r="AV325" s="173"/>
    </row>
    <row r="326" spans="1:48" ht="14.25">
      <c r="A326" s="187"/>
      <c r="B326" s="357">
        <v>9</v>
      </c>
      <c r="C326" s="358" t="s">
        <v>805</v>
      </c>
      <c r="D326" s="359" t="s">
        <v>70</v>
      </c>
      <c r="E326" s="359" t="s">
        <v>77</v>
      </c>
      <c r="F326" s="359" t="s">
        <v>115</v>
      </c>
      <c r="G326" s="360">
        <v>0</v>
      </c>
      <c r="H326" s="360">
        <v>0</v>
      </c>
      <c r="I326" s="361">
        <v>0</v>
      </c>
      <c r="J326" s="299"/>
      <c r="K326" s="362" t="s">
        <v>182</v>
      </c>
      <c r="L326" s="362" t="s">
        <v>415</v>
      </c>
      <c r="M326" s="362">
        <v>8</v>
      </c>
      <c r="N326" s="362">
        <v>8</v>
      </c>
      <c r="O326" s="363" t="s">
        <v>806</v>
      </c>
      <c r="P326" s="301" t="s">
        <v>197</v>
      </c>
      <c r="Q326" s="359" t="s">
        <v>148</v>
      </c>
      <c r="R326" s="173"/>
      <c r="S326" s="195">
        <f>MATCH($D326,Reference!$J$5:$J$9,0)</f>
        <v>5</v>
      </c>
      <c r="T326" s="195">
        <f>MATCH($E326,Reference!$J$26:$J$32,0)</f>
        <v>2</v>
      </c>
      <c r="U326" s="195">
        <f>MATCH($F326,Reference!$J$45:$J$54,0)</f>
        <v>10</v>
      </c>
      <c r="V326" s="196">
        <f>MATCH($K326,Reference!$J$37:$J$39,0)</f>
        <v>3</v>
      </c>
      <c r="W326" s="197">
        <f t="shared" si="514"/>
        <v>0</v>
      </c>
      <c r="X326" s="197">
        <f t="shared" si="1"/>
        <v>0</v>
      </c>
      <c r="Y326" s="197">
        <f t="shared" si="515"/>
        <v>0</v>
      </c>
      <c r="Z326" s="197">
        <f t="shared" si="516"/>
        <v>1</v>
      </c>
      <c r="AA326" s="199" t="b">
        <f t="shared" si="3"/>
        <v>1</v>
      </c>
      <c r="AB326" s="199" t="b">
        <f t="shared" si="4"/>
        <v>0</v>
      </c>
      <c r="AC326" s="200">
        <f t="shared" ref="AC326:AD326" si="564">1-I326</f>
        <v>1</v>
      </c>
      <c r="AD326" s="200">
        <f t="shared" si="564"/>
        <v>1</v>
      </c>
      <c r="AE326" s="199">
        <f t="shared" si="6"/>
        <v>1</v>
      </c>
      <c r="AF326" s="201">
        <f t="shared" si="518"/>
        <v>0</v>
      </c>
      <c r="AG326" s="201">
        <f t="shared" si="8"/>
        <v>0</v>
      </c>
      <c r="AH326" s="202">
        <f t="shared" si="519"/>
        <v>0</v>
      </c>
      <c r="AI326" s="205"/>
      <c r="AJ326" s="173"/>
      <c r="AK326" s="173"/>
      <c r="AL326" s="173"/>
      <c r="AM326" s="173"/>
      <c r="AN326" s="173"/>
      <c r="AO326" s="173"/>
      <c r="AP326" s="173"/>
      <c r="AQ326" s="173"/>
      <c r="AR326" s="173"/>
      <c r="AS326" s="173"/>
      <c r="AT326" s="173"/>
      <c r="AU326" s="173"/>
      <c r="AV326" s="173"/>
    </row>
    <row r="327" spans="1:48" ht="14.25">
      <c r="A327" s="209"/>
      <c r="B327" s="357">
        <v>9</v>
      </c>
      <c r="C327" s="358" t="s">
        <v>807</v>
      </c>
      <c r="D327" s="359" t="s">
        <v>70</v>
      </c>
      <c r="E327" s="359" t="s">
        <v>77</v>
      </c>
      <c r="F327" s="359" t="s">
        <v>115</v>
      </c>
      <c r="G327" s="360">
        <v>1</v>
      </c>
      <c r="H327" s="360">
        <v>0</v>
      </c>
      <c r="I327" s="361">
        <v>0.33</v>
      </c>
      <c r="J327" s="299"/>
      <c r="K327" s="362" t="s">
        <v>182</v>
      </c>
      <c r="L327" s="362" t="s">
        <v>415</v>
      </c>
      <c r="M327" s="362">
        <v>8</v>
      </c>
      <c r="N327" s="362">
        <v>8</v>
      </c>
      <c r="O327" s="363" t="s">
        <v>808</v>
      </c>
      <c r="P327" s="301" t="s">
        <v>184</v>
      </c>
      <c r="Q327" s="359" t="s">
        <v>148</v>
      </c>
      <c r="R327" s="173"/>
      <c r="S327" s="195">
        <f>MATCH($D327,Reference!$J$5:$J$9,0)</f>
        <v>5</v>
      </c>
      <c r="T327" s="195">
        <f>MATCH($E327,Reference!$J$26:$J$32,0)</f>
        <v>2</v>
      </c>
      <c r="U327" s="195">
        <f>MATCH($F327,Reference!$J$45:$J$54,0)</f>
        <v>10</v>
      </c>
      <c r="V327" s="196">
        <f>MATCH($K327,Reference!$J$37:$J$39,0)</f>
        <v>3</v>
      </c>
      <c r="W327" s="197">
        <f t="shared" si="514"/>
        <v>1</v>
      </c>
      <c r="X327" s="197">
        <f t="shared" si="1"/>
        <v>1</v>
      </c>
      <c r="Y327" s="197">
        <f t="shared" si="515"/>
        <v>0</v>
      </c>
      <c r="Z327" s="197">
        <f t="shared" si="516"/>
        <v>2</v>
      </c>
      <c r="AA327" s="199" t="b">
        <f t="shared" si="3"/>
        <v>0</v>
      </c>
      <c r="AB327" s="199" t="b">
        <f t="shared" si="4"/>
        <v>0</v>
      </c>
      <c r="AC327" s="200">
        <f t="shared" ref="AC327:AD327" si="565">1-I327</f>
        <v>0.66999999999999993</v>
      </c>
      <c r="AD327" s="200">
        <f t="shared" si="565"/>
        <v>1</v>
      </c>
      <c r="AE327" s="199">
        <f t="shared" si="6"/>
        <v>1</v>
      </c>
      <c r="AF327" s="201">
        <f t="shared" si="518"/>
        <v>0</v>
      </c>
      <c r="AG327" s="201">
        <f t="shared" si="8"/>
        <v>1</v>
      </c>
      <c r="AH327" s="202">
        <f t="shared" si="519"/>
        <v>0</v>
      </c>
      <c r="AI327" s="205"/>
      <c r="AJ327" s="173"/>
      <c r="AK327" s="173"/>
      <c r="AL327" s="173"/>
      <c r="AM327" s="173"/>
      <c r="AN327" s="173"/>
      <c r="AO327" s="173"/>
      <c r="AP327" s="173"/>
      <c r="AQ327" s="173"/>
      <c r="AR327" s="173"/>
      <c r="AS327" s="173"/>
      <c r="AT327" s="173"/>
      <c r="AU327" s="173"/>
      <c r="AV327" s="173"/>
    </row>
    <row r="328" spans="1:48" ht="14.25">
      <c r="A328" s="206"/>
      <c r="B328" s="357">
        <v>9</v>
      </c>
      <c r="C328" s="358" t="s">
        <v>809</v>
      </c>
      <c r="D328" s="359" t="s">
        <v>70</v>
      </c>
      <c r="E328" s="359" t="s">
        <v>77</v>
      </c>
      <c r="F328" s="359" t="s">
        <v>115</v>
      </c>
      <c r="G328" s="360">
        <v>1</v>
      </c>
      <c r="H328" s="360">
        <v>0</v>
      </c>
      <c r="I328" s="361">
        <v>1</v>
      </c>
      <c r="J328" s="299"/>
      <c r="K328" s="362" t="s">
        <v>182</v>
      </c>
      <c r="L328" s="362" t="s">
        <v>415</v>
      </c>
      <c r="M328" s="362">
        <v>4</v>
      </c>
      <c r="N328" s="362">
        <v>12</v>
      </c>
      <c r="O328" s="363" t="s">
        <v>810</v>
      </c>
      <c r="P328" s="301"/>
      <c r="Q328" s="359" t="s">
        <v>148</v>
      </c>
      <c r="R328" s="173"/>
      <c r="S328" s="195">
        <f>MATCH($D328,Reference!$J$5:$J$9,0)</f>
        <v>5</v>
      </c>
      <c r="T328" s="195">
        <f>MATCH($E328,Reference!$J$26:$J$32,0)</f>
        <v>2</v>
      </c>
      <c r="U328" s="195">
        <f>MATCH($F328,Reference!$J$45:$J$54,0)</f>
        <v>10</v>
      </c>
      <c r="V328" s="196">
        <f>MATCH($K328,Reference!$J$37:$J$39,0)</f>
        <v>3</v>
      </c>
      <c r="W328" s="197">
        <f t="shared" si="514"/>
        <v>1</v>
      </c>
      <c r="X328" s="197">
        <f t="shared" si="1"/>
        <v>1</v>
      </c>
      <c r="Y328" s="197">
        <f t="shared" si="515"/>
        <v>0</v>
      </c>
      <c r="Z328" s="197">
        <f t="shared" si="516"/>
        <v>2</v>
      </c>
      <c r="AA328" s="199" t="b">
        <f t="shared" si="3"/>
        <v>0</v>
      </c>
      <c r="AB328" s="199" t="b">
        <f t="shared" si="4"/>
        <v>0</v>
      </c>
      <c r="AC328" s="200">
        <f t="shared" ref="AC328:AD328" si="566">1-I328</f>
        <v>0</v>
      </c>
      <c r="AD328" s="200">
        <f t="shared" si="566"/>
        <v>1</v>
      </c>
      <c r="AE328" s="199">
        <f t="shared" si="6"/>
        <v>1</v>
      </c>
      <c r="AF328" s="201">
        <f t="shared" si="518"/>
        <v>0</v>
      </c>
      <c r="AG328" s="201">
        <f t="shared" si="8"/>
        <v>1</v>
      </c>
      <c r="AH328" s="202">
        <f t="shared" si="519"/>
        <v>0</v>
      </c>
      <c r="AI328" s="205"/>
      <c r="AJ328" s="173"/>
      <c r="AK328" s="173"/>
      <c r="AL328" s="173"/>
      <c r="AM328" s="173"/>
      <c r="AN328" s="173"/>
      <c r="AO328" s="173"/>
      <c r="AP328" s="173"/>
      <c r="AQ328" s="173"/>
      <c r="AR328" s="173"/>
      <c r="AS328" s="173"/>
      <c r="AT328" s="173"/>
      <c r="AU328" s="173"/>
      <c r="AV328" s="173"/>
    </row>
    <row r="329" spans="1:48" ht="14.25">
      <c r="A329" s="370"/>
      <c r="B329" s="357">
        <v>10</v>
      </c>
      <c r="C329" s="358" t="s">
        <v>811</v>
      </c>
      <c r="D329" s="359" t="s">
        <v>70</v>
      </c>
      <c r="E329" s="359" t="s">
        <v>77</v>
      </c>
      <c r="F329" s="359" t="s">
        <v>115</v>
      </c>
      <c r="G329" s="367">
        <v>0</v>
      </c>
      <c r="H329" s="360">
        <v>0</v>
      </c>
      <c r="I329" s="361">
        <v>0.33</v>
      </c>
      <c r="J329" s="299"/>
      <c r="K329" s="362" t="s">
        <v>182</v>
      </c>
      <c r="L329" s="362" t="s">
        <v>415</v>
      </c>
      <c r="M329" s="362">
        <v>12</v>
      </c>
      <c r="N329" s="362">
        <v>12</v>
      </c>
      <c r="O329" s="363" t="s">
        <v>812</v>
      </c>
      <c r="P329" s="301" t="s">
        <v>184</v>
      </c>
      <c r="Q329" s="359" t="s">
        <v>148</v>
      </c>
      <c r="R329" s="173"/>
      <c r="S329" s="195">
        <f>MATCH($D329,Reference!$J$5:$J$9,0)</f>
        <v>5</v>
      </c>
      <c r="T329" s="195">
        <f>MATCH($E329,Reference!$J$26:$J$32,0)</f>
        <v>2</v>
      </c>
      <c r="U329" s="195">
        <f>MATCH($F329,Reference!$J$45:$J$54,0)</f>
        <v>10</v>
      </c>
      <c r="V329" s="196">
        <f>MATCH($K329,Reference!$J$37:$J$39,0)</f>
        <v>3</v>
      </c>
      <c r="W329" s="197">
        <f t="shared" si="514"/>
        <v>0</v>
      </c>
      <c r="X329" s="197">
        <f t="shared" si="1"/>
        <v>0</v>
      </c>
      <c r="Y329" s="197">
        <f t="shared" si="515"/>
        <v>0</v>
      </c>
      <c r="Z329" s="197">
        <f t="shared" si="516"/>
        <v>1</v>
      </c>
      <c r="AA329" s="199" t="b">
        <f t="shared" si="3"/>
        <v>1</v>
      </c>
      <c r="AB329" s="199" t="b">
        <f t="shared" si="4"/>
        <v>0</v>
      </c>
      <c r="AC329" s="200">
        <f t="shared" ref="AC329:AD329" si="567">1-I329</f>
        <v>0.66999999999999993</v>
      </c>
      <c r="AD329" s="200">
        <f t="shared" si="567"/>
        <v>1</v>
      </c>
      <c r="AE329" s="199">
        <f t="shared" si="6"/>
        <v>0.66999999999999993</v>
      </c>
      <c r="AF329" s="201">
        <f t="shared" si="518"/>
        <v>0</v>
      </c>
      <c r="AG329" s="201">
        <f t="shared" si="8"/>
        <v>0</v>
      </c>
      <c r="AH329" s="202">
        <f t="shared" si="519"/>
        <v>0</v>
      </c>
      <c r="AI329" s="205"/>
      <c r="AJ329" s="173"/>
      <c r="AK329" s="173"/>
      <c r="AL329" s="173"/>
      <c r="AM329" s="173"/>
      <c r="AN329" s="173"/>
      <c r="AO329" s="173"/>
      <c r="AP329" s="173"/>
      <c r="AQ329" s="173"/>
      <c r="AR329" s="173"/>
      <c r="AS329" s="173"/>
      <c r="AT329" s="173"/>
      <c r="AU329" s="173"/>
      <c r="AV329" s="173"/>
    </row>
    <row r="330" spans="1:48" ht="14.25">
      <c r="A330" s="187"/>
      <c r="B330" s="371">
        <v>1</v>
      </c>
      <c r="C330" s="372" t="s">
        <v>813</v>
      </c>
      <c r="D330" s="373" t="s">
        <v>68</v>
      </c>
      <c r="E330" s="373" t="s">
        <v>77</v>
      </c>
      <c r="F330" s="373" t="s">
        <v>115</v>
      </c>
      <c r="G330" s="374">
        <v>0</v>
      </c>
      <c r="H330" s="374">
        <v>0</v>
      </c>
      <c r="I330" s="375">
        <v>0</v>
      </c>
      <c r="J330" s="375">
        <v>0</v>
      </c>
      <c r="K330" s="269" t="s">
        <v>182</v>
      </c>
      <c r="L330" s="269" t="s">
        <v>230</v>
      </c>
      <c r="M330" s="269">
        <v>1</v>
      </c>
      <c r="N330" s="269">
        <v>1</v>
      </c>
      <c r="O330" s="376" t="s">
        <v>814</v>
      </c>
      <c r="P330" s="313" t="s">
        <v>545</v>
      </c>
      <c r="Q330" s="373" t="s">
        <v>148</v>
      </c>
      <c r="R330" s="173"/>
      <c r="S330" s="195">
        <f>MATCH($D330,Reference!$J$5:$J$9,0)</f>
        <v>3</v>
      </c>
      <c r="T330" s="195">
        <f>MATCH($E330,Reference!$J$26:$J$32,0)</f>
        <v>2</v>
      </c>
      <c r="U330" s="195">
        <f>MATCH($F330,Reference!$J$45:$J$54,0)</f>
        <v>10</v>
      </c>
      <c r="V330" s="196">
        <f>MATCH($K330,Reference!$J$37:$J$39,0)</f>
        <v>3</v>
      </c>
      <c r="W330" s="197">
        <f t="shared" ref="W330:W476" si="568">MIN((G330+H330),2)</f>
        <v>0</v>
      </c>
      <c r="X330" s="197">
        <f t="shared" si="1"/>
        <v>0</v>
      </c>
      <c r="Y330" s="197">
        <f t="shared" ref="Y330:Y410" si="569">(MIN(G330,2)+H330-W330)*100</f>
        <v>0</v>
      </c>
      <c r="Z330" s="197">
        <f t="shared" ref="Z330:Z476" si="570">MIN((G330+H330),2)</f>
        <v>0</v>
      </c>
      <c r="AA330" s="199" t="b">
        <f t="shared" si="3"/>
        <v>1</v>
      </c>
      <c r="AB330" s="199" t="b">
        <f t="shared" si="4"/>
        <v>1</v>
      </c>
      <c r="AC330" s="200">
        <f t="shared" ref="AC330:AD330" si="571">1-I330</f>
        <v>1</v>
      </c>
      <c r="AD330" s="200">
        <f t="shared" si="571"/>
        <v>1</v>
      </c>
      <c r="AE330" s="199">
        <f t="shared" si="6"/>
        <v>2</v>
      </c>
      <c r="AF330" s="201">
        <f t="shared" ref="AF330:AF476" si="572">MIN((H330),2)</f>
        <v>0</v>
      </c>
      <c r="AG330" s="201">
        <f t="shared" si="8"/>
        <v>0</v>
      </c>
      <c r="AH330" s="202">
        <f t="shared" ref="AH330:AH410" si="573">(MIN(H330,2)+G330-W330)*20</f>
        <v>0</v>
      </c>
      <c r="AI330" s="205"/>
      <c r="AJ330" s="173"/>
      <c r="AK330" s="173"/>
      <c r="AL330" s="173"/>
      <c r="AM330" s="173"/>
      <c r="AN330" s="173"/>
      <c r="AO330" s="173"/>
      <c r="AP330" s="173"/>
      <c r="AQ330" s="173"/>
      <c r="AR330" s="173"/>
      <c r="AS330" s="173"/>
      <c r="AT330" s="173"/>
      <c r="AU330" s="173"/>
      <c r="AV330" s="173"/>
    </row>
    <row r="331" spans="1:48" ht="14.25">
      <c r="A331" s="187"/>
      <c r="B331" s="371">
        <v>1</v>
      </c>
      <c r="C331" s="372" t="s">
        <v>815</v>
      </c>
      <c r="D331" s="373" t="s">
        <v>68</v>
      </c>
      <c r="E331" s="373" t="s">
        <v>77</v>
      </c>
      <c r="F331" s="373" t="s">
        <v>115</v>
      </c>
      <c r="G331" s="374">
        <v>2</v>
      </c>
      <c r="H331" s="374">
        <v>0</v>
      </c>
      <c r="I331" s="375">
        <v>0.33</v>
      </c>
      <c r="J331" s="375">
        <v>0</v>
      </c>
      <c r="K331" s="269" t="s">
        <v>182</v>
      </c>
      <c r="L331" s="269" t="s">
        <v>536</v>
      </c>
      <c r="M331" s="269">
        <v>1</v>
      </c>
      <c r="N331" s="269">
        <v>2</v>
      </c>
      <c r="O331" s="376" t="s">
        <v>816</v>
      </c>
      <c r="P331" s="313" t="s">
        <v>184</v>
      </c>
      <c r="Q331" s="373" t="s">
        <v>148</v>
      </c>
      <c r="R331" s="173"/>
      <c r="S331" s="195">
        <f>MATCH($D331,Reference!$J$5:$J$9,0)</f>
        <v>3</v>
      </c>
      <c r="T331" s="195">
        <f>MATCH($E331,Reference!$J$26:$J$32,0)</f>
        <v>2</v>
      </c>
      <c r="U331" s="195">
        <f>MATCH($F331,Reference!$J$45:$J$54,0)</f>
        <v>10</v>
      </c>
      <c r="V331" s="196">
        <f>MATCH($K331,Reference!$J$37:$J$39,0)</f>
        <v>3</v>
      </c>
      <c r="W331" s="197">
        <f t="shared" si="568"/>
        <v>2</v>
      </c>
      <c r="X331" s="197">
        <f t="shared" si="1"/>
        <v>1</v>
      </c>
      <c r="Y331" s="197">
        <f t="shared" si="569"/>
        <v>0</v>
      </c>
      <c r="Z331" s="197">
        <f t="shared" si="570"/>
        <v>2</v>
      </c>
      <c r="AA331" s="199" t="b">
        <f t="shared" si="3"/>
        <v>0</v>
      </c>
      <c r="AB331" s="199" t="b">
        <f t="shared" si="4"/>
        <v>0</v>
      </c>
      <c r="AC331" s="200">
        <f t="shared" ref="AC331:AD331" si="574">1-I331</f>
        <v>0.66999999999999993</v>
      </c>
      <c r="AD331" s="200">
        <f t="shared" si="574"/>
        <v>1</v>
      </c>
      <c r="AE331" s="199">
        <f t="shared" si="6"/>
        <v>2</v>
      </c>
      <c r="AF331" s="201">
        <f t="shared" si="572"/>
        <v>0</v>
      </c>
      <c r="AG331" s="201">
        <f t="shared" si="8"/>
        <v>1</v>
      </c>
      <c r="AH331" s="202">
        <f t="shared" si="573"/>
        <v>0</v>
      </c>
      <c r="AI331" s="205"/>
      <c r="AJ331" s="173"/>
      <c r="AK331" s="173"/>
      <c r="AL331" s="173"/>
      <c r="AM331" s="173"/>
      <c r="AN331" s="173"/>
      <c r="AO331" s="173"/>
      <c r="AP331" s="173"/>
      <c r="AQ331" s="173"/>
      <c r="AR331" s="173"/>
      <c r="AS331" s="173"/>
      <c r="AT331" s="173"/>
      <c r="AU331" s="173"/>
      <c r="AV331" s="173"/>
    </row>
    <row r="332" spans="1:48" ht="14.25">
      <c r="A332" s="206"/>
      <c r="B332" s="371">
        <v>1</v>
      </c>
      <c r="C332" s="372" t="s">
        <v>817</v>
      </c>
      <c r="D332" s="373" t="s">
        <v>68</v>
      </c>
      <c r="E332" s="373" t="s">
        <v>77</v>
      </c>
      <c r="F332" s="373" t="s">
        <v>115</v>
      </c>
      <c r="G332" s="374">
        <v>1</v>
      </c>
      <c r="H332" s="374">
        <v>0</v>
      </c>
      <c r="I332" s="375">
        <v>1</v>
      </c>
      <c r="J332" s="375">
        <v>1</v>
      </c>
      <c r="K332" s="269" t="s">
        <v>182</v>
      </c>
      <c r="L332" s="269"/>
      <c r="M332" s="269">
        <v>1</v>
      </c>
      <c r="N332" s="269">
        <v>2</v>
      </c>
      <c r="O332" s="376" t="s">
        <v>818</v>
      </c>
      <c r="P332" s="313"/>
      <c r="Q332" s="373" t="s">
        <v>148</v>
      </c>
      <c r="R332" s="173"/>
      <c r="S332" s="195">
        <f>MATCH($D332,Reference!$J$5:$J$9,0)</f>
        <v>3</v>
      </c>
      <c r="T332" s="195">
        <f>MATCH($E332,Reference!$J$26:$J$32,0)</f>
        <v>2</v>
      </c>
      <c r="U332" s="195">
        <f>MATCH($F332,Reference!$J$45:$J$54,0)</f>
        <v>10</v>
      </c>
      <c r="V332" s="196">
        <f>MATCH($K332,Reference!$J$37:$J$39,0)</f>
        <v>3</v>
      </c>
      <c r="W332" s="197">
        <f t="shared" si="568"/>
        <v>1</v>
      </c>
      <c r="X332" s="197">
        <f t="shared" si="1"/>
        <v>1</v>
      </c>
      <c r="Y332" s="197">
        <f t="shared" si="569"/>
        <v>0</v>
      </c>
      <c r="Z332" s="197">
        <f t="shared" si="570"/>
        <v>1</v>
      </c>
      <c r="AA332" s="199" t="b">
        <f t="shared" si="3"/>
        <v>0</v>
      </c>
      <c r="AB332" s="199" t="b">
        <f t="shared" si="4"/>
        <v>1</v>
      </c>
      <c r="AC332" s="200">
        <f t="shared" ref="AC332:AD332" si="575">1-I332</f>
        <v>0</v>
      </c>
      <c r="AD332" s="200">
        <f t="shared" si="575"/>
        <v>0</v>
      </c>
      <c r="AE332" s="199">
        <f t="shared" si="6"/>
        <v>1</v>
      </c>
      <c r="AF332" s="201">
        <f t="shared" si="572"/>
        <v>0</v>
      </c>
      <c r="AG332" s="201">
        <f t="shared" si="8"/>
        <v>1</v>
      </c>
      <c r="AH332" s="202">
        <f t="shared" si="573"/>
        <v>0</v>
      </c>
      <c r="AI332" s="205"/>
      <c r="AJ332" s="173"/>
      <c r="AK332" s="173"/>
      <c r="AL332" s="173"/>
      <c r="AM332" s="173"/>
      <c r="AN332" s="173"/>
      <c r="AO332" s="173"/>
      <c r="AP332" s="173"/>
      <c r="AQ332" s="173"/>
      <c r="AR332" s="173"/>
      <c r="AS332" s="173"/>
      <c r="AT332" s="173"/>
      <c r="AU332" s="173"/>
      <c r="AV332" s="173"/>
    </row>
    <row r="333" spans="1:48" ht="14.25">
      <c r="A333" s="209"/>
      <c r="B333" s="371">
        <v>1</v>
      </c>
      <c r="C333" s="372" t="s">
        <v>819</v>
      </c>
      <c r="D333" s="373" t="s">
        <v>68</v>
      </c>
      <c r="E333" s="373" t="s">
        <v>77</v>
      </c>
      <c r="F333" s="373" t="s">
        <v>115</v>
      </c>
      <c r="G333" s="374">
        <v>2</v>
      </c>
      <c r="H333" s="377">
        <v>0</v>
      </c>
      <c r="I333" s="375">
        <v>0.33</v>
      </c>
      <c r="J333" s="375">
        <v>0.33</v>
      </c>
      <c r="K333" s="373" t="s">
        <v>182</v>
      </c>
      <c r="L333" s="373" t="s">
        <v>195</v>
      </c>
      <c r="M333" s="378">
        <v>1</v>
      </c>
      <c r="N333" s="379">
        <v>2</v>
      </c>
      <c r="O333" s="376" t="s">
        <v>820</v>
      </c>
      <c r="P333" s="313"/>
      <c r="Q333" s="373" t="s">
        <v>148</v>
      </c>
      <c r="R333" s="173"/>
      <c r="S333" s="195">
        <f>MATCH($D333,Reference!$J$5:$J$9,0)</f>
        <v>3</v>
      </c>
      <c r="T333" s="195">
        <f>MATCH($E333,Reference!$J$26:$J$32,0)</f>
        <v>2</v>
      </c>
      <c r="U333" s="195">
        <f>MATCH($F333,Reference!$J$45:$J$54,0)</f>
        <v>10</v>
      </c>
      <c r="V333" s="196">
        <f>MATCH($K333,Reference!$J$37:$J$39,0)</f>
        <v>3</v>
      </c>
      <c r="W333" s="197">
        <f t="shared" si="568"/>
        <v>2</v>
      </c>
      <c r="X333" s="197">
        <f t="shared" si="1"/>
        <v>1</v>
      </c>
      <c r="Y333" s="197">
        <f t="shared" si="569"/>
        <v>0</v>
      </c>
      <c r="Z333" s="197">
        <f t="shared" si="570"/>
        <v>2</v>
      </c>
      <c r="AA333" s="199" t="b">
        <f t="shared" si="3"/>
        <v>0</v>
      </c>
      <c r="AB333" s="199" t="b">
        <f t="shared" si="4"/>
        <v>0</v>
      </c>
      <c r="AC333" s="200">
        <f t="shared" ref="AC333:AD333" si="576">1-I333</f>
        <v>0.66999999999999993</v>
      </c>
      <c r="AD333" s="200">
        <f t="shared" si="576"/>
        <v>0.66999999999999993</v>
      </c>
      <c r="AE333" s="199">
        <f t="shared" si="6"/>
        <v>2</v>
      </c>
      <c r="AF333" s="201">
        <f t="shared" si="572"/>
        <v>0</v>
      </c>
      <c r="AG333" s="201">
        <f t="shared" si="8"/>
        <v>1</v>
      </c>
      <c r="AH333" s="202">
        <f t="shared" si="573"/>
        <v>0</v>
      </c>
      <c r="AI333" s="205"/>
      <c r="AJ333" s="173"/>
      <c r="AK333" s="173"/>
      <c r="AL333" s="173"/>
      <c r="AM333" s="173"/>
      <c r="AN333" s="173"/>
      <c r="AO333" s="173"/>
      <c r="AP333" s="173"/>
      <c r="AQ333" s="173"/>
      <c r="AR333" s="173"/>
      <c r="AS333" s="173"/>
      <c r="AT333" s="173"/>
      <c r="AU333" s="173"/>
      <c r="AV333" s="173"/>
    </row>
    <row r="334" spans="1:48" ht="14.25">
      <c r="A334" s="209"/>
      <c r="B334" s="371">
        <v>1</v>
      </c>
      <c r="C334" s="372" t="s">
        <v>821</v>
      </c>
      <c r="D334" s="373" t="s">
        <v>68</v>
      </c>
      <c r="E334" s="373" t="s">
        <v>77</v>
      </c>
      <c r="F334" s="373" t="s">
        <v>8</v>
      </c>
      <c r="G334" s="374">
        <v>2</v>
      </c>
      <c r="H334" s="374">
        <v>0</v>
      </c>
      <c r="I334" s="375">
        <v>0</v>
      </c>
      <c r="J334" s="375">
        <v>0</v>
      </c>
      <c r="K334" s="269" t="s">
        <v>146</v>
      </c>
      <c r="L334" s="269"/>
      <c r="M334" s="269"/>
      <c r="N334" s="269"/>
      <c r="O334" s="376" t="s">
        <v>822</v>
      </c>
      <c r="P334" s="313"/>
      <c r="Q334" s="373" t="s">
        <v>148</v>
      </c>
      <c r="R334" s="173"/>
      <c r="S334" s="195">
        <f>MATCH($D334,Reference!$J$5:$J$9,0)</f>
        <v>3</v>
      </c>
      <c r="T334" s="195">
        <f>MATCH($E334,Reference!$J$26:$J$32,0)</f>
        <v>2</v>
      </c>
      <c r="U334" s="195">
        <f>MATCH($F334,Reference!$J$45:$J$54,0)</f>
        <v>1</v>
      </c>
      <c r="V334" s="196">
        <f>MATCH($K334,Reference!$J$37:$J$39,0)</f>
        <v>2</v>
      </c>
      <c r="W334" s="197">
        <f t="shared" si="568"/>
        <v>2</v>
      </c>
      <c r="X334" s="197">
        <f t="shared" si="1"/>
        <v>1</v>
      </c>
      <c r="Y334" s="197">
        <f t="shared" si="569"/>
        <v>0</v>
      </c>
      <c r="Z334" s="197">
        <f t="shared" si="570"/>
        <v>2</v>
      </c>
      <c r="AA334" s="199" t="b">
        <f t="shared" si="3"/>
        <v>0</v>
      </c>
      <c r="AB334" s="199" t="b">
        <f t="shared" si="4"/>
        <v>0</v>
      </c>
      <c r="AC334" s="200">
        <f t="shared" ref="AC334:AD334" si="577">1-I334</f>
        <v>1</v>
      </c>
      <c r="AD334" s="200">
        <f t="shared" si="577"/>
        <v>1</v>
      </c>
      <c r="AE334" s="199">
        <f t="shared" si="6"/>
        <v>2</v>
      </c>
      <c r="AF334" s="201">
        <f t="shared" si="572"/>
        <v>0</v>
      </c>
      <c r="AG334" s="201">
        <f t="shared" si="8"/>
        <v>1</v>
      </c>
      <c r="AH334" s="202">
        <f t="shared" si="573"/>
        <v>0</v>
      </c>
      <c r="AI334" s="205"/>
      <c r="AJ334" s="173"/>
      <c r="AK334" s="173"/>
      <c r="AL334" s="173"/>
      <c r="AM334" s="173"/>
      <c r="AN334" s="173"/>
      <c r="AO334" s="173"/>
      <c r="AP334" s="173"/>
      <c r="AQ334" s="173"/>
      <c r="AR334" s="173"/>
      <c r="AS334" s="173"/>
      <c r="AT334" s="173"/>
      <c r="AU334" s="173"/>
      <c r="AV334" s="173"/>
    </row>
    <row r="335" spans="1:48" ht="14.25">
      <c r="A335" s="213"/>
      <c r="B335" s="371">
        <v>1</v>
      </c>
      <c r="C335" s="372" t="s">
        <v>823</v>
      </c>
      <c r="D335" s="373" t="s">
        <v>68</v>
      </c>
      <c r="E335" s="373" t="s">
        <v>77</v>
      </c>
      <c r="F335" s="373" t="s">
        <v>115</v>
      </c>
      <c r="G335" s="377">
        <v>2</v>
      </c>
      <c r="H335" s="374">
        <v>0</v>
      </c>
      <c r="I335" s="375">
        <v>0.66</v>
      </c>
      <c r="J335" s="375">
        <v>0.66</v>
      </c>
      <c r="K335" s="242" t="s">
        <v>182</v>
      </c>
      <c r="L335" s="269"/>
      <c r="M335" s="242">
        <v>1</v>
      </c>
      <c r="N335" s="242">
        <v>2</v>
      </c>
      <c r="O335" s="376" t="s">
        <v>824</v>
      </c>
      <c r="P335" s="313"/>
      <c r="Q335" s="373" t="s">
        <v>148</v>
      </c>
      <c r="R335" s="173"/>
      <c r="S335" s="195">
        <f>MATCH($D335,Reference!$J$5:$J$9,0)</f>
        <v>3</v>
      </c>
      <c r="T335" s="195">
        <f>MATCH($E335,Reference!$J$26:$J$32,0)</f>
        <v>2</v>
      </c>
      <c r="U335" s="195">
        <f>MATCH($F335,Reference!$J$45:$J$54,0)</f>
        <v>10</v>
      </c>
      <c r="V335" s="196">
        <f>MATCH($K335,Reference!$J$37:$J$39,0)</f>
        <v>3</v>
      </c>
      <c r="W335" s="197">
        <f t="shared" si="568"/>
        <v>2</v>
      </c>
      <c r="X335" s="197">
        <f t="shared" si="1"/>
        <v>1</v>
      </c>
      <c r="Y335" s="197">
        <f t="shared" si="569"/>
        <v>0</v>
      </c>
      <c r="Z335" s="197">
        <f t="shared" si="570"/>
        <v>2</v>
      </c>
      <c r="AA335" s="199" t="b">
        <f t="shared" si="3"/>
        <v>0</v>
      </c>
      <c r="AB335" s="199" t="b">
        <f t="shared" si="4"/>
        <v>0</v>
      </c>
      <c r="AC335" s="200">
        <f t="shared" ref="AC335:AD335" si="578">1-I335</f>
        <v>0.33999999999999997</v>
      </c>
      <c r="AD335" s="200">
        <f t="shared" si="578"/>
        <v>0.33999999999999997</v>
      </c>
      <c r="AE335" s="199">
        <f t="shared" si="6"/>
        <v>2</v>
      </c>
      <c r="AF335" s="201">
        <f t="shared" si="572"/>
        <v>0</v>
      </c>
      <c r="AG335" s="201">
        <f t="shared" si="8"/>
        <v>1</v>
      </c>
      <c r="AH335" s="202">
        <f t="shared" si="573"/>
        <v>0</v>
      </c>
      <c r="AI335" s="205"/>
      <c r="AJ335" s="173"/>
      <c r="AK335" s="173"/>
      <c r="AL335" s="173"/>
      <c r="AM335" s="173"/>
      <c r="AN335" s="173"/>
      <c r="AO335" s="173"/>
      <c r="AP335" s="173"/>
      <c r="AQ335" s="173"/>
      <c r="AR335" s="173"/>
      <c r="AS335" s="173"/>
      <c r="AT335" s="173"/>
      <c r="AU335" s="173"/>
      <c r="AV335" s="173"/>
    </row>
    <row r="336" spans="1:48" ht="14.25">
      <c r="A336" s="187"/>
      <c r="B336" s="371">
        <v>1</v>
      </c>
      <c r="C336" s="372" t="s">
        <v>825</v>
      </c>
      <c r="D336" s="373" t="s">
        <v>68</v>
      </c>
      <c r="E336" s="373" t="s">
        <v>77</v>
      </c>
      <c r="F336" s="373" t="s">
        <v>26</v>
      </c>
      <c r="G336" s="374">
        <v>2</v>
      </c>
      <c r="H336" s="374">
        <v>0</v>
      </c>
      <c r="I336" s="375">
        <v>0.33</v>
      </c>
      <c r="J336" s="375">
        <v>0</v>
      </c>
      <c r="K336" s="269" t="s">
        <v>146</v>
      </c>
      <c r="L336" s="269"/>
      <c r="M336" s="269"/>
      <c r="N336" s="269"/>
      <c r="O336" s="376" t="s">
        <v>826</v>
      </c>
      <c r="P336" s="313"/>
      <c r="Q336" s="373" t="s">
        <v>148</v>
      </c>
      <c r="R336" s="173"/>
      <c r="S336" s="195">
        <f>MATCH($D336,Reference!$J$5:$J$9,0)</f>
        <v>3</v>
      </c>
      <c r="T336" s="195">
        <f>MATCH($E336,Reference!$J$26:$J$32,0)</f>
        <v>2</v>
      </c>
      <c r="U336" s="195">
        <f>MATCH($F336,Reference!$J$45:$J$54,0)</f>
        <v>9</v>
      </c>
      <c r="V336" s="196">
        <f>MATCH($K336,Reference!$J$37:$J$39,0)</f>
        <v>2</v>
      </c>
      <c r="W336" s="197">
        <f t="shared" si="568"/>
        <v>2</v>
      </c>
      <c r="X336" s="197">
        <f t="shared" si="1"/>
        <v>1</v>
      </c>
      <c r="Y336" s="197">
        <f t="shared" si="569"/>
        <v>0</v>
      </c>
      <c r="Z336" s="197">
        <f t="shared" si="570"/>
        <v>2</v>
      </c>
      <c r="AA336" s="199" t="b">
        <f t="shared" si="3"/>
        <v>0</v>
      </c>
      <c r="AB336" s="199" t="b">
        <f t="shared" si="4"/>
        <v>0</v>
      </c>
      <c r="AC336" s="200">
        <f t="shared" ref="AC336:AD336" si="579">1-I336</f>
        <v>0.66999999999999993</v>
      </c>
      <c r="AD336" s="200">
        <f t="shared" si="579"/>
        <v>1</v>
      </c>
      <c r="AE336" s="199">
        <f t="shared" si="6"/>
        <v>2</v>
      </c>
      <c r="AF336" s="201">
        <f t="shared" si="572"/>
        <v>0</v>
      </c>
      <c r="AG336" s="201">
        <f t="shared" si="8"/>
        <v>1</v>
      </c>
      <c r="AH336" s="202">
        <f t="shared" si="573"/>
        <v>0</v>
      </c>
      <c r="AI336" s="205"/>
      <c r="AJ336" s="173"/>
      <c r="AK336" s="173"/>
      <c r="AL336" s="173"/>
      <c r="AM336" s="173"/>
      <c r="AN336" s="173"/>
      <c r="AO336" s="173"/>
      <c r="AP336" s="173"/>
      <c r="AQ336" s="173"/>
      <c r="AR336" s="173"/>
      <c r="AS336" s="173"/>
      <c r="AT336" s="173"/>
      <c r="AU336" s="173"/>
      <c r="AV336" s="173"/>
    </row>
    <row r="337" spans="1:48" ht="14.25">
      <c r="A337" s="206"/>
      <c r="B337" s="371">
        <v>1</v>
      </c>
      <c r="C337" s="372" t="s">
        <v>827</v>
      </c>
      <c r="D337" s="373" t="s">
        <v>68</v>
      </c>
      <c r="E337" s="373" t="s">
        <v>77</v>
      </c>
      <c r="F337" s="373" t="s">
        <v>115</v>
      </c>
      <c r="G337" s="374">
        <v>2</v>
      </c>
      <c r="H337" s="374">
        <v>0</v>
      </c>
      <c r="I337" s="375">
        <v>0</v>
      </c>
      <c r="J337" s="375">
        <v>0</v>
      </c>
      <c r="K337" s="269" t="s">
        <v>182</v>
      </c>
      <c r="L337" s="269"/>
      <c r="M337" s="269">
        <v>2</v>
      </c>
      <c r="N337" s="269">
        <v>1</v>
      </c>
      <c r="O337" s="376" t="s">
        <v>828</v>
      </c>
      <c r="P337" s="313"/>
      <c r="Q337" s="373" t="s">
        <v>148</v>
      </c>
      <c r="R337" s="173"/>
      <c r="S337" s="195">
        <f>MATCH($D337,Reference!$J$5:$J$9,0)</f>
        <v>3</v>
      </c>
      <c r="T337" s="195">
        <f>MATCH($E337,Reference!$J$26:$J$32,0)</f>
        <v>2</v>
      </c>
      <c r="U337" s="195">
        <f>MATCH($F337,Reference!$J$45:$J$54,0)</f>
        <v>10</v>
      </c>
      <c r="V337" s="196">
        <f>MATCH($K337,Reference!$J$37:$J$39,0)</f>
        <v>3</v>
      </c>
      <c r="W337" s="197">
        <f t="shared" si="568"/>
        <v>2</v>
      </c>
      <c r="X337" s="197">
        <f t="shared" si="1"/>
        <v>1</v>
      </c>
      <c r="Y337" s="197">
        <f t="shared" si="569"/>
        <v>0</v>
      </c>
      <c r="Z337" s="197">
        <f t="shared" si="570"/>
        <v>2</v>
      </c>
      <c r="AA337" s="199" t="b">
        <f t="shared" si="3"/>
        <v>0</v>
      </c>
      <c r="AB337" s="199" t="b">
        <f t="shared" si="4"/>
        <v>0</v>
      </c>
      <c r="AC337" s="200">
        <f t="shared" ref="AC337:AD337" si="580">1-I337</f>
        <v>1</v>
      </c>
      <c r="AD337" s="200">
        <f t="shared" si="580"/>
        <v>1</v>
      </c>
      <c r="AE337" s="199">
        <f t="shared" si="6"/>
        <v>2</v>
      </c>
      <c r="AF337" s="201">
        <f t="shared" si="572"/>
        <v>0</v>
      </c>
      <c r="AG337" s="201">
        <f t="shared" si="8"/>
        <v>1</v>
      </c>
      <c r="AH337" s="202">
        <f t="shared" si="573"/>
        <v>0</v>
      </c>
      <c r="AI337" s="205"/>
      <c r="AJ337" s="173"/>
      <c r="AK337" s="173"/>
      <c r="AL337" s="173"/>
      <c r="AM337" s="173"/>
      <c r="AN337" s="173"/>
      <c r="AO337" s="173"/>
      <c r="AP337" s="173"/>
      <c r="AQ337" s="173"/>
      <c r="AR337" s="173"/>
      <c r="AS337" s="173"/>
      <c r="AT337" s="173"/>
      <c r="AU337" s="173"/>
      <c r="AV337" s="173"/>
    </row>
    <row r="338" spans="1:48" ht="14.25">
      <c r="A338" s="187"/>
      <c r="B338" s="371">
        <v>2</v>
      </c>
      <c r="C338" s="372" t="s">
        <v>829</v>
      </c>
      <c r="D338" s="373" t="s">
        <v>68</v>
      </c>
      <c r="E338" s="373" t="s">
        <v>77</v>
      </c>
      <c r="F338" s="373" t="s">
        <v>21</v>
      </c>
      <c r="G338" s="374">
        <v>0</v>
      </c>
      <c r="H338" s="374">
        <v>0</v>
      </c>
      <c r="I338" s="375">
        <v>0.33</v>
      </c>
      <c r="J338" s="375">
        <v>0.33</v>
      </c>
      <c r="K338" s="269" t="s">
        <v>146</v>
      </c>
      <c r="L338" s="269"/>
      <c r="M338" s="269"/>
      <c r="N338" s="269"/>
      <c r="O338" s="376" t="s">
        <v>830</v>
      </c>
      <c r="P338" s="313"/>
      <c r="Q338" s="373" t="s">
        <v>148</v>
      </c>
      <c r="R338" s="173"/>
      <c r="S338" s="195">
        <f>MATCH($D338,Reference!$J$5:$J$9,0)</f>
        <v>3</v>
      </c>
      <c r="T338" s="195">
        <f>MATCH($E338,Reference!$J$26:$J$32,0)</f>
        <v>2</v>
      </c>
      <c r="U338" s="195">
        <f>MATCH($F338,Reference!$J$45:$J$54,0)</f>
        <v>7</v>
      </c>
      <c r="V338" s="196">
        <f>MATCH($K338,Reference!$J$37:$J$39,0)</f>
        <v>2</v>
      </c>
      <c r="W338" s="197">
        <f t="shared" si="568"/>
        <v>0</v>
      </c>
      <c r="X338" s="197">
        <f t="shared" si="1"/>
        <v>0</v>
      </c>
      <c r="Y338" s="197">
        <f t="shared" si="569"/>
        <v>0</v>
      </c>
      <c r="Z338" s="197">
        <f t="shared" si="570"/>
        <v>0</v>
      </c>
      <c r="AA338" s="199" t="b">
        <f t="shared" si="3"/>
        <v>1</v>
      </c>
      <c r="AB338" s="199" t="b">
        <f t="shared" si="4"/>
        <v>1</v>
      </c>
      <c r="AC338" s="200">
        <f t="shared" ref="AC338:AD338" si="581">1-I338</f>
        <v>0.66999999999999993</v>
      </c>
      <c r="AD338" s="200">
        <f t="shared" si="581"/>
        <v>0.66999999999999993</v>
      </c>
      <c r="AE338" s="199">
        <f t="shared" si="6"/>
        <v>1.3399999999999999</v>
      </c>
      <c r="AF338" s="201">
        <f t="shared" si="572"/>
        <v>0</v>
      </c>
      <c r="AG338" s="201">
        <f t="shared" si="8"/>
        <v>0</v>
      </c>
      <c r="AH338" s="202">
        <f t="shared" si="573"/>
        <v>0</v>
      </c>
      <c r="AI338" s="205"/>
      <c r="AJ338" s="173"/>
      <c r="AK338" s="173"/>
      <c r="AL338" s="173"/>
      <c r="AM338" s="173"/>
      <c r="AN338" s="173"/>
      <c r="AO338" s="173"/>
      <c r="AP338" s="173"/>
      <c r="AQ338" s="173"/>
      <c r="AR338" s="173"/>
      <c r="AS338" s="173"/>
      <c r="AT338" s="173"/>
      <c r="AU338" s="173"/>
      <c r="AV338" s="173"/>
    </row>
    <row r="339" spans="1:48" ht="14.25">
      <c r="A339" s="206"/>
      <c r="B339" s="371">
        <v>2</v>
      </c>
      <c r="C339" s="372" t="s">
        <v>831</v>
      </c>
      <c r="D339" s="373" t="s">
        <v>68</v>
      </c>
      <c r="E339" s="373" t="s">
        <v>77</v>
      </c>
      <c r="F339" s="373" t="s">
        <v>115</v>
      </c>
      <c r="G339" s="374">
        <v>2</v>
      </c>
      <c r="H339" s="374">
        <v>0</v>
      </c>
      <c r="I339" s="375">
        <v>0.33</v>
      </c>
      <c r="J339" s="375">
        <v>0.33</v>
      </c>
      <c r="K339" s="269" t="s">
        <v>182</v>
      </c>
      <c r="L339" s="269"/>
      <c r="M339" s="269">
        <v>4</v>
      </c>
      <c r="N339" s="269">
        <v>5</v>
      </c>
      <c r="O339" s="376" t="s">
        <v>832</v>
      </c>
      <c r="P339" s="313" t="s">
        <v>792</v>
      </c>
      <c r="Q339" s="373" t="s">
        <v>148</v>
      </c>
      <c r="R339" s="173"/>
      <c r="S339" s="195">
        <f>MATCH($D339,Reference!$J$5:$J$9,0)</f>
        <v>3</v>
      </c>
      <c r="T339" s="195">
        <f>MATCH($E339,Reference!$J$26:$J$32,0)</f>
        <v>2</v>
      </c>
      <c r="U339" s="195">
        <f>MATCH($F339,Reference!$J$45:$J$54,0)</f>
        <v>10</v>
      </c>
      <c r="V339" s="196">
        <f>MATCH($K339,Reference!$J$37:$J$39,0)</f>
        <v>3</v>
      </c>
      <c r="W339" s="197">
        <f t="shared" si="568"/>
        <v>2</v>
      </c>
      <c r="X339" s="197">
        <f t="shared" si="1"/>
        <v>1</v>
      </c>
      <c r="Y339" s="197">
        <f t="shared" si="569"/>
        <v>0</v>
      </c>
      <c r="Z339" s="197">
        <f t="shared" si="570"/>
        <v>2</v>
      </c>
      <c r="AA339" s="199" t="b">
        <f t="shared" si="3"/>
        <v>0</v>
      </c>
      <c r="AB339" s="199" t="b">
        <f t="shared" si="4"/>
        <v>0</v>
      </c>
      <c r="AC339" s="200">
        <f t="shared" ref="AC339:AD339" si="582">1-I339</f>
        <v>0.66999999999999993</v>
      </c>
      <c r="AD339" s="200">
        <f t="shared" si="582"/>
        <v>0.66999999999999993</v>
      </c>
      <c r="AE339" s="199">
        <f t="shared" si="6"/>
        <v>2</v>
      </c>
      <c r="AF339" s="201">
        <f t="shared" si="572"/>
        <v>0</v>
      </c>
      <c r="AG339" s="201">
        <f t="shared" si="8"/>
        <v>1</v>
      </c>
      <c r="AH339" s="202">
        <f t="shared" si="573"/>
        <v>0</v>
      </c>
      <c r="AI339" s="205"/>
      <c r="AJ339" s="173"/>
      <c r="AK339" s="173"/>
      <c r="AL339" s="173"/>
      <c r="AM339" s="173"/>
      <c r="AN339" s="173"/>
      <c r="AO339" s="173"/>
      <c r="AP339" s="173"/>
      <c r="AQ339" s="173"/>
      <c r="AR339" s="173"/>
      <c r="AS339" s="173"/>
      <c r="AT339" s="173"/>
      <c r="AU339" s="173"/>
      <c r="AV339" s="173"/>
    </row>
    <row r="340" spans="1:48" ht="14.25">
      <c r="A340" s="187"/>
      <c r="B340" s="371">
        <v>2</v>
      </c>
      <c r="C340" s="372" t="s">
        <v>833</v>
      </c>
      <c r="D340" s="373" t="s">
        <v>68</v>
      </c>
      <c r="E340" s="373" t="s">
        <v>77</v>
      </c>
      <c r="F340" s="373" t="s">
        <v>26</v>
      </c>
      <c r="G340" s="374">
        <v>2</v>
      </c>
      <c r="H340" s="374">
        <v>0</v>
      </c>
      <c r="I340" s="375">
        <v>1</v>
      </c>
      <c r="J340" s="375">
        <v>1</v>
      </c>
      <c r="K340" s="269" t="s">
        <v>182</v>
      </c>
      <c r="L340" s="269"/>
      <c r="M340" s="269">
        <v>1</v>
      </c>
      <c r="N340" s="269">
        <v>4</v>
      </c>
      <c r="O340" s="376" t="s">
        <v>834</v>
      </c>
      <c r="P340" s="313"/>
      <c r="Q340" s="373" t="s">
        <v>148</v>
      </c>
      <c r="R340" s="173"/>
      <c r="S340" s="195">
        <f>MATCH($D340,Reference!$J$5:$J$9,0)</f>
        <v>3</v>
      </c>
      <c r="T340" s="195">
        <f>MATCH($E340,Reference!$J$26:$J$32,0)</f>
        <v>2</v>
      </c>
      <c r="U340" s="195">
        <f>MATCH($F340,Reference!$J$45:$J$54,0)</f>
        <v>9</v>
      </c>
      <c r="V340" s="196">
        <f>MATCH($K340,Reference!$J$37:$J$39,0)</f>
        <v>3</v>
      </c>
      <c r="W340" s="197">
        <f t="shared" si="568"/>
        <v>2</v>
      </c>
      <c r="X340" s="197">
        <f t="shared" si="1"/>
        <v>1</v>
      </c>
      <c r="Y340" s="197">
        <f t="shared" si="569"/>
        <v>0</v>
      </c>
      <c r="Z340" s="197">
        <f t="shared" si="570"/>
        <v>2</v>
      </c>
      <c r="AA340" s="199" t="b">
        <f t="shared" si="3"/>
        <v>0</v>
      </c>
      <c r="AB340" s="199" t="b">
        <f t="shared" si="4"/>
        <v>0</v>
      </c>
      <c r="AC340" s="200">
        <f t="shared" ref="AC340:AD340" si="583">1-I340</f>
        <v>0</v>
      </c>
      <c r="AD340" s="200">
        <f t="shared" si="583"/>
        <v>0</v>
      </c>
      <c r="AE340" s="199">
        <f t="shared" si="6"/>
        <v>2</v>
      </c>
      <c r="AF340" s="201">
        <f t="shared" si="572"/>
        <v>0</v>
      </c>
      <c r="AG340" s="201">
        <f t="shared" si="8"/>
        <v>1</v>
      </c>
      <c r="AH340" s="202">
        <f t="shared" si="573"/>
        <v>0</v>
      </c>
      <c r="AI340" s="205"/>
      <c r="AJ340" s="173"/>
      <c r="AK340" s="173"/>
      <c r="AL340" s="173"/>
      <c r="AM340" s="173"/>
      <c r="AN340" s="173"/>
      <c r="AO340" s="173"/>
      <c r="AP340" s="173"/>
      <c r="AQ340" s="173"/>
      <c r="AR340" s="173"/>
      <c r="AS340" s="173"/>
      <c r="AT340" s="173"/>
      <c r="AU340" s="173"/>
      <c r="AV340" s="173"/>
    </row>
    <row r="341" spans="1:48" ht="14.25">
      <c r="A341" s="279"/>
      <c r="B341" s="371">
        <v>2</v>
      </c>
      <c r="C341" s="372" t="s">
        <v>835</v>
      </c>
      <c r="D341" s="373" t="s">
        <v>68</v>
      </c>
      <c r="E341" s="373" t="s">
        <v>77</v>
      </c>
      <c r="F341" s="373" t="s">
        <v>26</v>
      </c>
      <c r="G341" s="374">
        <v>2</v>
      </c>
      <c r="H341" s="374">
        <v>0</v>
      </c>
      <c r="I341" s="375">
        <v>0</v>
      </c>
      <c r="J341" s="375">
        <v>0</v>
      </c>
      <c r="K341" s="269" t="s">
        <v>146</v>
      </c>
      <c r="L341" s="269"/>
      <c r="M341" s="269"/>
      <c r="N341" s="269"/>
      <c r="O341" s="376" t="s">
        <v>836</v>
      </c>
      <c r="P341" s="313"/>
      <c r="Q341" s="373" t="s">
        <v>148</v>
      </c>
      <c r="R341" s="173"/>
      <c r="S341" s="195">
        <f>MATCH($D341,Reference!$J$5:$J$9,0)</f>
        <v>3</v>
      </c>
      <c r="T341" s="195">
        <f>MATCH($E341,Reference!$J$26:$J$32,0)</f>
        <v>2</v>
      </c>
      <c r="U341" s="195">
        <f>MATCH($F341,Reference!$J$45:$J$54,0)</f>
        <v>9</v>
      </c>
      <c r="V341" s="196">
        <f>MATCH($K341,Reference!$J$37:$J$39,0)</f>
        <v>2</v>
      </c>
      <c r="W341" s="197">
        <f t="shared" si="568"/>
        <v>2</v>
      </c>
      <c r="X341" s="197">
        <f t="shared" si="1"/>
        <v>1</v>
      </c>
      <c r="Y341" s="197">
        <f t="shared" si="569"/>
        <v>0</v>
      </c>
      <c r="Z341" s="197">
        <f t="shared" si="570"/>
        <v>2</v>
      </c>
      <c r="AA341" s="199" t="b">
        <f t="shared" si="3"/>
        <v>0</v>
      </c>
      <c r="AB341" s="199" t="b">
        <f t="shared" si="4"/>
        <v>0</v>
      </c>
      <c r="AC341" s="200">
        <f t="shared" ref="AC341:AD341" si="584">1-I341</f>
        <v>1</v>
      </c>
      <c r="AD341" s="200">
        <f t="shared" si="584"/>
        <v>1</v>
      </c>
      <c r="AE341" s="199">
        <f t="shared" si="6"/>
        <v>2</v>
      </c>
      <c r="AF341" s="201">
        <f t="shared" si="572"/>
        <v>0</v>
      </c>
      <c r="AG341" s="201">
        <f t="shared" si="8"/>
        <v>1</v>
      </c>
      <c r="AH341" s="202">
        <f t="shared" si="573"/>
        <v>0</v>
      </c>
      <c r="AI341" s="205"/>
      <c r="AJ341" s="173"/>
      <c r="AK341" s="173"/>
      <c r="AL341" s="173"/>
      <c r="AM341" s="173"/>
      <c r="AN341" s="173"/>
      <c r="AO341" s="173"/>
      <c r="AP341" s="173"/>
      <c r="AQ341" s="173"/>
      <c r="AR341" s="173"/>
      <c r="AS341" s="173"/>
      <c r="AT341" s="173"/>
      <c r="AU341" s="173"/>
      <c r="AV341" s="173"/>
    </row>
    <row r="342" spans="1:48" ht="14.25">
      <c r="A342" s="209"/>
      <c r="B342" s="371">
        <v>2</v>
      </c>
      <c r="C342" s="372" t="s">
        <v>837</v>
      </c>
      <c r="D342" s="373" t="s">
        <v>68</v>
      </c>
      <c r="E342" s="373" t="s">
        <v>77</v>
      </c>
      <c r="F342" s="373" t="s">
        <v>115</v>
      </c>
      <c r="G342" s="374">
        <v>2</v>
      </c>
      <c r="H342" s="374">
        <v>0</v>
      </c>
      <c r="I342" s="375">
        <v>0.33</v>
      </c>
      <c r="J342" s="375">
        <v>0.33</v>
      </c>
      <c r="K342" s="269" t="s">
        <v>182</v>
      </c>
      <c r="L342" s="269"/>
      <c r="M342" s="269">
        <v>2</v>
      </c>
      <c r="N342" s="269">
        <v>2</v>
      </c>
      <c r="O342" s="376" t="s">
        <v>838</v>
      </c>
      <c r="P342" s="313" t="s">
        <v>184</v>
      </c>
      <c r="Q342" s="373" t="s">
        <v>148</v>
      </c>
      <c r="R342" s="173"/>
      <c r="S342" s="195">
        <f>MATCH($D342,Reference!$J$5:$J$9,0)</f>
        <v>3</v>
      </c>
      <c r="T342" s="195">
        <f>MATCH($E342,Reference!$J$26:$J$32,0)</f>
        <v>2</v>
      </c>
      <c r="U342" s="195">
        <f>MATCH($F342,Reference!$J$45:$J$54,0)</f>
        <v>10</v>
      </c>
      <c r="V342" s="196">
        <f>MATCH($K342,Reference!$J$37:$J$39,0)</f>
        <v>3</v>
      </c>
      <c r="W342" s="197">
        <f t="shared" si="568"/>
        <v>2</v>
      </c>
      <c r="X342" s="197">
        <f t="shared" si="1"/>
        <v>1</v>
      </c>
      <c r="Y342" s="197">
        <f t="shared" si="569"/>
        <v>0</v>
      </c>
      <c r="Z342" s="197">
        <f t="shared" si="570"/>
        <v>2</v>
      </c>
      <c r="AA342" s="199" t="b">
        <f t="shared" si="3"/>
        <v>0</v>
      </c>
      <c r="AB342" s="199" t="b">
        <f t="shared" si="4"/>
        <v>0</v>
      </c>
      <c r="AC342" s="200">
        <f t="shared" ref="AC342:AD342" si="585">1-I342</f>
        <v>0.66999999999999993</v>
      </c>
      <c r="AD342" s="200">
        <f t="shared" si="585"/>
        <v>0.66999999999999993</v>
      </c>
      <c r="AE342" s="199">
        <f t="shared" si="6"/>
        <v>2</v>
      </c>
      <c r="AF342" s="201">
        <f t="shared" si="572"/>
        <v>0</v>
      </c>
      <c r="AG342" s="201">
        <f t="shared" si="8"/>
        <v>1</v>
      </c>
      <c r="AH342" s="202">
        <f t="shared" si="573"/>
        <v>0</v>
      </c>
      <c r="AI342" s="205"/>
      <c r="AJ342" s="173"/>
      <c r="AK342" s="173"/>
      <c r="AL342" s="173"/>
      <c r="AM342" s="173"/>
      <c r="AN342" s="173"/>
      <c r="AO342" s="173"/>
      <c r="AP342" s="173"/>
      <c r="AQ342" s="173"/>
      <c r="AR342" s="173"/>
      <c r="AS342" s="173"/>
      <c r="AT342" s="173"/>
      <c r="AU342" s="173"/>
      <c r="AV342" s="173"/>
    </row>
    <row r="343" spans="1:48" ht="14.25">
      <c r="A343" s="187"/>
      <c r="B343" s="371">
        <v>2</v>
      </c>
      <c r="C343" s="372" t="s">
        <v>839</v>
      </c>
      <c r="D343" s="373" t="s">
        <v>68</v>
      </c>
      <c r="E343" s="373" t="s">
        <v>77</v>
      </c>
      <c r="F343" s="373" t="s">
        <v>16</v>
      </c>
      <c r="G343" s="374">
        <v>2</v>
      </c>
      <c r="H343" s="374">
        <v>1</v>
      </c>
      <c r="I343" s="375">
        <v>1</v>
      </c>
      <c r="J343" s="375">
        <v>1</v>
      </c>
      <c r="K343" s="269" t="s">
        <v>146</v>
      </c>
      <c r="L343" s="269"/>
      <c r="M343" s="269"/>
      <c r="N343" s="269"/>
      <c r="O343" s="376" t="s">
        <v>840</v>
      </c>
      <c r="P343" s="313"/>
      <c r="Q343" s="373" t="s">
        <v>148</v>
      </c>
      <c r="R343" s="173"/>
      <c r="S343" s="195">
        <f>MATCH($D343,Reference!$J$5:$J$9,0)</f>
        <v>3</v>
      </c>
      <c r="T343" s="195">
        <f>MATCH($E343,Reference!$J$26:$J$32,0)</f>
        <v>2</v>
      </c>
      <c r="U343" s="195">
        <f>MATCH($F343,Reference!$J$45:$J$54,0)</f>
        <v>4</v>
      </c>
      <c r="V343" s="196">
        <f>MATCH($K343,Reference!$J$37:$J$39,0)</f>
        <v>2</v>
      </c>
      <c r="W343" s="197">
        <f t="shared" si="568"/>
        <v>2</v>
      </c>
      <c r="X343" s="197">
        <f t="shared" si="1"/>
        <v>1</v>
      </c>
      <c r="Y343" s="197">
        <f t="shared" si="569"/>
        <v>100</v>
      </c>
      <c r="Z343" s="197">
        <f t="shared" si="570"/>
        <v>2</v>
      </c>
      <c r="AA343" s="199" t="b">
        <f t="shared" si="3"/>
        <v>0</v>
      </c>
      <c r="AB343" s="199" t="b">
        <f t="shared" si="4"/>
        <v>0</v>
      </c>
      <c r="AC343" s="200">
        <f t="shared" ref="AC343:AD343" si="586">1-I343</f>
        <v>0</v>
      </c>
      <c r="AD343" s="200">
        <f t="shared" si="586"/>
        <v>0</v>
      </c>
      <c r="AE343" s="199">
        <f t="shared" si="6"/>
        <v>2</v>
      </c>
      <c r="AF343" s="201">
        <f t="shared" si="572"/>
        <v>1</v>
      </c>
      <c r="AG343" s="201">
        <f t="shared" si="8"/>
        <v>1</v>
      </c>
      <c r="AH343" s="202">
        <f t="shared" si="573"/>
        <v>20</v>
      </c>
      <c r="AI343" s="205"/>
      <c r="AJ343" s="173"/>
      <c r="AK343" s="173"/>
      <c r="AL343" s="173"/>
      <c r="AM343" s="173"/>
      <c r="AN343" s="173"/>
      <c r="AO343" s="173"/>
      <c r="AP343" s="173"/>
      <c r="AQ343" s="173"/>
      <c r="AR343" s="173"/>
      <c r="AS343" s="173"/>
      <c r="AT343" s="173"/>
      <c r="AU343" s="173"/>
      <c r="AV343" s="173"/>
    </row>
    <row r="344" spans="1:48" ht="14.25">
      <c r="A344" s="187"/>
      <c r="B344" s="371">
        <v>2</v>
      </c>
      <c r="C344" s="372" t="s">
        <v>841</v>
      </c>
      <c r="D344" s="373" t="s">
        <v>68</v>
      </c>
      <c r="E344" s="373" t="s">
        <v>77</v>
      </c>
      <c r="F344" s="373" t="s">
        <v>11</v>
      </c>
      <c r="G344" s="380">
        <v>2</v>
      </c>
      <c r="H344" s="380">
        <v>0</v>
      </c>
      <c r="I344" s="375">
        <v>1</v>
      </c>
      <c r="J344" s="381">
        <v>1</v>
      </c>
      <c r="K344" s="382" t="s">
        <v>146</v>
      </c>
      <c r="L344" s="382"/>
      <c r="M344" s="382"/>
      <c r="N344" s="382"/>
      <c r="O344" s="383" t="s">
        <v>842</v>
      </c>
      <c r="P344" s="313"/>
      <c r="Q344" s="373" t="s">
        <v>148</v>
      </c>
      <c r="R344" s="173"/>
      <c r="S344" s="195">
        <f>MATCH($D344,Reference!$J$5:$J$9,0)</f>
        <v>3</v>
      </c>
      <c r="T344" s="195">
        <f>MATCH($E344,Reference!$J$26:$J$32,0)</f>
        <v>2</v>
      </c>
      <c r="U344" s="195">
        <f>MATCH($F344,Reference!$J$45:$J$54,0)</f>
        <v>2</v>
      </c>
      <c r="V344" s="196">
        <f>MATCH($K344,Reference!$J$37:$J$39,0)</f>
        <v>2</v>
      </c>
      <c r="W344" s="197">
        <f t="shared" si="568"/>
        <v>2</v>
      </c>
      <c r="X344" s="197">
        <f t="shared" si="1"/>
        <v>1</v>
      </c>
      <c r="Y344" s="197">
        <f t="shared" si="569"/>
        <v>0</v>
      </c>
      <c r="Z344" s="197">
        <f t="shared" si="570"/>
        <v>2</v>
      </c>
      <c r="AA344" s="199" t="b">
        <f t="shared" si="3"/>
        <v>0</v>
      </c>
      <c r="AB344" s="199" t="b">
        <f t="shared" si="4"/>
        <v>0</v>
      </c>
      <c r="AC344" s="200">
        <f t="shared" ref="AC344:AD344" si="587">1-I344</f>
        <v>0</v>
      </c>
      <c r="AD344" s="200">
        <f t="shared" si="587"/>
        <v>0</v>
      </c>
      <c r="AE344" s="199">
        <f t="shared" si="6"/>
        <v>2</v>
      </c>
      <c r="AF344" s="201">
        <f t="shared" si="572"/>
        <v>0</v>
      </c>
      <c r="AG344" s="201">
        <f t="shared" si="8"/>
        <v>1</v>
      </c>
      <c r="AH344" s="202">
        <f t="shared" si="573"/>
        <v>0</v>
      </c>
      <c r="AI344" s="205"/>
      <c r="AJ344" s="173"/>
      <c r="AK344" s="173"/>
      <c r="AL344" s="173"/>
      <c r="AM344" s="173"/>
      <c r="AN344" s="173"/>
      <c r="AO344" s="173"/>
      <c r="AP344" s="173"/>
      <c r="AQ344" s="173"/>
      <c r="AR344" s="173"/>
      <c r="AS344" s="173"/>
      <c r="AT344" s="173"/>
      <c r="AU344" s="173"/>
      <c r="AV344" s="173"/>
    </row>
    <row r="345" spans="1:48" ht="14.25">
      <c r="A345" s="213"/>
      <c r="B345" s="371">
        <v>2</v>
      </c>
      <c r="C345" s="372" t="s">
        <v>843</v>
      </c>
      <c r="D345" s="373" t="s">
        <v>68</v>
      </c>
      <c r="E345" s="373" t="s">
        <v>77</v>
      </c>
      <c r="F345" s="373" t="s">
        <v>115</v>
      </c>
      <c r="G345" s="377">
        <v>2</v>
      </c>
      <c r="H345" s="377">
        <v>0</v>
      </c>
      <c r="I345" s="375">
        <v>1</v>
      </c>
      <c r="J345" s="375">
        <v>1</v>
      </c>
      <c r="K345" s="269" t="s">
        <v>182</v>
      </c>
      <c r="L345" s="269"/>
      <c r="M345" s="338">
        <v>2</v>
      </c>
      <c r="N345" s="269">
        <v>2</v>
      </c>
      <c r="O345" s="376" t="s">
        <v>844</v>
      </c>
      <c r="P345" s="313"/>
      <c r="Q345" s="373" t="s">
        <v>148</v>
      </c>
      <c r="R345" s="173"/>
      <c r="S345" s="195">
        <f>MATCH($D345,Reference!$J$5:$J$9,0)</f>
        <v>3</v>
      </c>
      <c r="T345" s="195">
        <f>MATCH($E345,Reference!$J$26:$J$32,0)</f>
        <v>2</v>
      </c>
      <c r="U345" s="195">
        <f>MATCH($F345,Reference!$J$45:$J$54,0)</f>
        <v>10</v>
      </c>
      <c r="V345" s="196">
        <f>MATCH($K345,Reference!$J$37:$J$39,0)</f>
        <v>3</v>
      </c>
      <c r="W345" s="197">
        <f t="shared" si="568"/>
        <v>2</v>
      </c>
      <c r="X345" s="197">
        <f t="shared" si="1"/>
        <v>1</v>
      </c>
      <c r="Y345" s="197">
        <f t="shared" si="569"/>
        <v>0</v>
      </c>
      <c r="Z345" s="197">
        <f t="shared" si="570"/>
        <v>2</v>
      </c>
      <c r="AA345" s="199" t="b">
        <f t="shared" si="3"/>
        <v>0</v>
      </c>
      <c r="AB345" s="199" t="b">
        <f t="shared" si="4"/>
        <v>0</v>
      </c>
      <c r="AC345" s="200">
        <f t="shared" ref="AC345:AD345" si="588">1-I345</f>
        <v>0</v>
      </c>
      <c r="AD345" s="200">
        <f t="shared" si="588"/>
        <v>0</v>
      </c>
      <c r="AE345" s="199">
        <f t="shared" si="6"/>
        <v>2</v>
      </c>
      <c r="AF345" s="201">
        <f t="shared" si="572"/>
        <v>0</v>
      </c>
      <c r="AG345" s="201">
        <f t="shared" si="8"/>
        <v>1</v>
      </c>
      <c r="AH345" s="202">
        <f t="shared" si="573"/>
        <v>0</v>
      </c>
      <c r="AI345" s="205"/>
      <c r="AJ345" s="173"/>
      <c r="AK345" s="173"/>
      <c r="AL345" s="173"/>
      <c r="AM345" s="173"/>
      <c r="AN345" s="173"/>
      <c r="AO345" s="173"/>
      <c r="AP345" s="173"/>
      <c r="AQ345" s="173"/>
      <c r="AR345" s="173"/>
      <c r="AS345" s="173"/>
      <c r="AT345" s="173"/>
      <c r="AU345" s="173"/>
      <c r="AV345" s="173"/>
    </row>
    <row r="346" spans="1:48" ht="14.25">
      <c r="A346" s="209"/>
      <c r="B346" s="371">
        <v>2</v>
      </c>
      <c r="C346" s="372" t="s">
        <v>845</v>
      </c>
      <c r="D346" s="373" t="s">
        <v>68</v>
      </c>
      <c r="E346" s="373" t="s">
        <v>77</v>
      </c>
      <c r="F346" s="373" t="s">
        <v>18</v>
      </c>
      <c r="G346" s="374">
        <v>2</v>
      </c>
      <c r="H346" s="374">
        <v>0</v>
      </c>
      <c r="I346" s="375">
        <v>0.33</v>
      </c>
      <c r="J346" s="375">
        <v>0.33</v>
      </c>
      <c r="K346" s="269" t="s">
        <v>182</v>
      </c>
      <c r="L346" s="269"/>
      <c r="M346" s="269">
        <v>0</v>
      </c>
      <c r="N346" s="269">
        <v>5</v>
      </c>
      <c r="O346" s="376" t="s">
        <v>846</v>
      </c>
      <c r="P346" s="313"/>
      <c r="Q346" s="373" t="s">
        <v>148</v>
      </c>
      <c r="R346" s="173"/>
      <c r="S346" s="195">
        <f>MATCH($D346,Reference!$J$5:$J$9,0)</f>
        <v>3</v>
      </c>
      <c r="T346" s="195">
        <f>MATCH($E346,Reference!$J$26:$J$32,0)</f>
        <v>2</v>
      </c>
      <c r="U346" s="195">
        <f>MATCH($F346,Reference!$J$45:$J$54,0)</f>
        <v>5</v>
      </c>
      <c r="V346" s="196">
        <f>MATCH($K346,Reference!$J$37:$J$39,0)</f>
        <v>3</v>
      </c>
      <c r="W346" s="197">
        <f t="shared" si="568"/>
        <v>2</v>
      </c>
      <c r="X346" s="197">
        <f t="shared" si="1"/>
        <v>1</v>
      </c>
      <c r="Y346" s="197">
        <f t="shared" si="569"/>
        <v>0</v>
      </c>
      <c r="Z346" s="197">
        <f t="shared" si="570"/>
        <v>2</v>
      </c>
      <c r="AA346" s="199" t="b">
        <f t="shared" si="3"/>
        <v>0</v>
      </c>
      <c r="AB346" s="199" t="b">
        <f t="shared" si="4"/>
        <v>0</v>
      </c>
      <c r="AC346" s="200">
        <f t="shared" ref="AC346:AD346" si="589">1-I346</f>
        <v>0.66999999999999993</v>
      </c>
      <c r="AD346" s="200">
        <f t="shared" si="589"/>
        <v>0.66999999999999993</v>
      </c>
      <c r="AE346" s="199">
        <f t="shared" si="6"/>
        <v>2</v>
      </c>
      <c r="AF346" s="201">
        <f t="shared" si="572"/>
        <v>0</v>
      </c>
      <c r="AG346" s="201">
        <f t="shared" si="8"/>
        <v>1</v>
      </c>
      <c r="AH346" s="202">
        <f t="shared" si="573"/>
        <v>0</v>
      </c>
      <c r="AI346" s="205"/>
      <c r="AJ346" s="173"/>
      <c r="AK346" s="173"/>
      <c r="AL346" s="173"/>
      <c r="AM346" s="173"/>
      <c r="AN346" s="173"/>
      <c r="AO346" s="173"/>
      <c r="AP346" s="173"/>
      <c r="AQ346" s="173"/>
      <c r="AR346" s="173"/>
      <c r="AS346" s="173"/>
      <c r="AT346" s="173"/>
      <c r="AU346" s="173"/>
      <c r="AV346" s="173"/>
    </row>
    <row r="347" spans="1:48" ht="14.25">
      <c r="A347" s="209"/>
      <c r="B347" s="371">
        <v>2</v>
      </c>
      <c r="C347" s="372" t="s">
        <v>847</v>
      </c>
      <c r="D347" s="373" t="s">
        <v>68</v>
      </c>
      <c r="E347" s="373" t="s">
        <v>77</v>
      </c>
      <c r="F347" s="373" t="s">
        <v>115</v>
      </c>
      <c r="G347" s="374">
        <v>2</v>
      </c>
      <c r="H347" s="374">
        <v>0</v>
      </c>
      <c r="I347" s="375">
        <v>0</v>
      </c>
      <c r="J347" s="375">
        <v>0</v>
      </c>
      <c r="K347" s="373" t="s">
        <v>182</v>
      </c>
      <c r="L347" s="373"/>
      <c r="M347" s="378">
        <v>1</v>
      </c>
      <c r="N347" s="379">
        <v>3</v>
      </c>
      <c r="O347" s="376" t="s">
        <v>848</v>
      </c>
      <c r="P347" s="313"/>
      <c r="Q347" s="373" t="s">
        <v>148</v>
      </c>
      <c r="R347" s="173"/>
      <c r="S347" s="195">
        <f>MATCH($D347,Reference!$J$5:$J$9,0)</f>
        <v>3</v>
      </c>
      <c r="T347" s="195">
        <f>MATCH($E347,Reference!$J$26:$J$32,0)</f>
        <v>2</v>
      </c>
      <c r="U347" s="195">
        <f>MATCH($F347,Reference!$J$45:$J$54,0)</f>
        <v>10</v>
      </c>
      <c r="V347" s="196">
        <f>MATCH($K347,Reference!$J$37:$J$39,0)</f>
        <v>3</v>
      </c>
      <c r="W347" s="197">
        <f t="shared" si="568"/>
        <v>2</v>
      </c>
      <c r="X347" s="197">
        <f t="shared" si="1"/>
        <v>1</v>
      </c>
      <c r="Y347" s="197">
        <f t="shared" si="569"/>
        <v>0</v>
      </c>
      <c r="Z347" s="197">
        <f t="shared" si="570"/>
        <v>2</v>
      </c>
      <c r="AA347" s="199" t="b">
        <f t="shared" si="3"/>
        <v>0</v>
      </c>
      <c r="AB347" s="199" t="b">
        <f t="shared" si="4"/>
        <v>0</v>
      </c>
      <c r="AC347" s="200">
        <f t="shared" ref="AC347:AD347" si="590">1-I347</f>
        <v>1</v>
      </c>
      <c r="AD347" s="200">
        <f t="shared" si="590"/>
        <v>1</v>
      </c>
      <c r="AE347" s="199">
        <f t="shared" si="6"/>
        <v>2</v>
      </c>
      <c r="AF347" s="201">
        <f t="shared" si="572"/>
        <v>0</v>
      </c>
      <c r="AG347" s="201">
        <f t="shared" si="8"/>
        <v>1</v>
      </c>
      <c r="AH347" s="202">
        <f t="shared" si="573"/>
        <v>0</v>
      </c>
      <c r="AI347" s="205"/>
      <c r="AJ347" s="173"/>
      <c r="AK347" s="173"/>
      <c r="AL347" s="173"/>
      <c r="AM347" s="173"/>
      <c r="AN347" s="173"/>
      <c r="AO347" s="173"/>
      <c r="AP347" s="173"/>
      <c r="AQ347" s="173"/>
      <c r="AR347" s="173"/>
      <c r="AS347" s="173"/>
      <c r="AT347" s="173"/>
      <c r="AU347" s="173"/>
      <c r="AV347" s="173"/>
    </row>
    <row r="348" spans="1:48" ht="14.25">
      <c r="A348" s="187"/>
      <c r="B348" s="371">
        <v>2</v>
      </c>
      <c r="C348" s="372" t="s">
        <v>849</v>
      </c>
      <c r="D348" s="373" t="s">
        <v>68</v>
      </c>
      <c r="E348" s="373" t="s">
        <v>77</v>
      </c>
      <c r="F348" s="373" t="s">
        <v>115</v>
      </c>
      <c r="G348" s="374">
        <v>1</v>
      </c>
      <c r="H348" s="374">
        <v>0</v>
      </c>
      <c r="I348" s="375">
        <v>0</v>
      </c>
      <c r="J348" s="375">
        <v>0</v>
      </c>
      <c r="K348" s="373" t="s">
        <v>182</v>
      </c>
      <c r="L348" s="373"/>
      <c r="M348" s="378">
        <v>2</v>
      </c>
      <c r="N348" s="379">
        <v>2</v>
      </c>
      <c r="O348" s="376" t="s">
        <v>850</v>
      </c>
      <c r="P348" s="313" t="s">
        <v>235</v>
      </c>
      <c r="Q348" s="373" t="s">
        <v>148</v>
      </c>
      <c r="R348" s="173"/>
      <c r="S348" s="195">
        <f>MATCH($D348,Reference!$J$5:$J$9,0)</f>
        <v>3</v>
      </c>
      <c r="T348" s="195">
        <f>MATCH($E348,Reference!$J$26:$J$32,0)</f>
        <v>2</v>
      </c>
      <c r="U348" s="195">
        <f>MATCH($F348,Reference!$J$45:$J$54,0)</f>
        <v>10</v>
      </c>
      <c r="V348" s="196">
        <f>MATCH($K348,Reference!$J$37:$J$39,0)</f>
        <v>3</v>
      </c>
      <c r="W348" s="197">
        <f t="shared" si="568"/>
        <v>1</v>
      </c>
      <c r="X348" s="197">
        <f t="shared" si="1"/>
        <v>1</v>
      </c>
      <c r="Y348" s="197">
        <f t="shared" si="569"/>
        <v>0</v>
      </c>
      <c r="Z348" s="197">
        <f t="shared" si="570"/>
        <v>1</v>
      </c>
      <c r="AA348" s="199" t="b">
        <f t="shared" si="3"/>
        <v>0</v>
      </c>
      <c r="AB348" s="199" t="b">
        <f t="shared" si="4"/>
        <v>1</v>
      </c>
      <c r="AC348" s="200">
        <f t="shared" ref="AC348:AD348" si="591">1-I348</f>
        <v>1</v>
      </c>
      <c r="AD348" s="200">
        <f t="shared" si="591"/>
        <v>1</v>
      </c>
      <c r="AE348" s="199">
        <f t="shared" si="6"/>
        <v>2</v>
      </c>
      <c r="AF348" s="201">
        <f t="shared" si="572"/>
        <v>0</v>
      </c>
      <c r="AG348" s="201">
        <f t="shared" si="8"/>
        <v>1</v>
      </c>
      <c r="AH348" s="202">
        <f t="shared" si="573"/>
        <v>0</v>
      </c>
      <c r="AI348" s="205"/>
      <c r="AJ348" s="173"/>
      <c r="AK348" s="173"/>
      <c r="AL348" s="173"/>
      <c r="AM348" s="173"/>
      <c r="AN348" s="173"/>
      <c r="AO348" s="173"/>
      <c r="AP348" s="173"/>
      <c r="AQ348" s="173"/>
      <c r="AR348" s="173"/>
      <c r="AS348" s="173"/>
      <c r="AT348" s="173"/>
      <c r="AU348" s="173"/>
      <c r="AV348" s="173"/>
    </row>
    <row r="349" spans="1:48" ht="14.25">
      <c r="A349" s="370"/>
      <c r="B349" s="371">
        <v>2</v>
      </c>
      <c r="C349" s="372" t="s">
        <v>851</v>
      </c>
      <c r="D349" s="373" t="s">
        <v>68</v>
      </c>
      <c r="E349" s="373" t="s">
        <v>77</v>
      </c>
      <c r="F349" s="373" t="s">
        <v>115</v>
      </c>
      <c r="G349" s="377">
        <v>2</v>
      </c>
      <c r="H349" s="374">
        <v>0</v>
      </c>
      <c r="I349" s="375">
        <v>0</v>
      </c>
      <c r="J349" s="375">
        <v>0</v>
      </c>
      <c r="K349" s="373" t="s">
        <v>182</v>
      </c>
      <c r="L349" s="373"/>
      <c r="M349" s="378">
        <v>1</v>
      </c>
      <c r="N349" s="384">
        <v>3</v>
      </c>
      <c r="O349" s="376" t="s">
        <v>852</v>
      </c>
      <c r="P349" s="313"/>
      <c r="Q349" s="373" t="s">
        <v>148</v>
      </c>
      <c r="R349" s="173"/>
      <c r="S349" s="195">
        <f>MATCH($D349,Reference!$J$5:$J$9,0)</f>
        <v>3</v>
      </c>
      <c r="T349" s="195">
        <f>MATCH($E349,Reference!$J$26:$J$32,0)</f>
        <v>2</v>
      </c>
      <c r="U349" s="195">
        <f>MATCH($F349,Reference!$J$45:$J$54,0)</f>
        <v>10</v>
      </c>
      <c r="V349" s="196">
        <f>MATCH($K349,Reference!$J$37:$J$39,0)</f>
        <v>3</v>
      </c>
      <c r="W349" s="197">
        <f t="shared" si="568"/>
        <v>2</v>
      </c>
      <c r="X349" s="197">
        <f t="shared" si="1"/>
        <v>1</v>
      </c>
      <c r="Y349" s="197">
        <f t="shared" si="569"/>
        <v>0</v>
      </c>
      <c r="Z349" s="197">
        <f t="shared" si="570"/>
        <v>2</v>
      </c>
      <c r="AA349" s="199" t="b">
        <f t="shared" si="3"/>
        <v>0</v>
      </c>
      <c r="AB349" s="199" t="b">
        <f t="shared" si="4"/>
        <v>0</v>
      </c>
      <c r="AC349" s="200">
        <f t="shared" ref="AC349:AD349" si="592">1-I349</f>
        <v>1</v>
      </c>
      <c r="AD349" s="200">
        <f t="shared" si="592"/>
        <v>1</v>
      </c>
      <c r="AE349" s="199">
        <f t="shared" si="6"/>
        <v>2</v>
      </c>
      <c r="AF349" s="201">
        <f t="shared" si="572"/>
        <v>0</v>
      </c>
      <c r="AG349" s="201">
        <f t="shared" si="8"/>
        <v>1</v>
      </c>
      <c r="AH349" s="202">
        <f t="shared" si="573"/>
        <v>0</v>
      </c>
      <c r="AI349" s="205"/>
      <c r="AJ349" s="173"/>
      <c r="AK349" s="173"/>
      <c r="AL349" s="173"/>
      <c r="AM349" s="173"/>
      <c r="AN349" s="173"/>
      <c r="AO349" s="173"/>
      <c r="AP349" s="173"/>
      <c r="AQ349" s="173"/>
      <c r="AR349" s="173"/>
      <c r="AS349" s="173"/>
      <c r="AT349" s="173"/>
      <c r="AU349" s="173"/>
      <c r="AV349" s="173"/>
    </row>
    <row r="350" spans="1:48" ht="14.25">
      <c r="A350" s="209"/>
      <c r="B350" s="371">
        <v>2</v>
      </c>
      <c r="C350" s="372" t="s">
        <v>853</v>
      </c>
      <c r="D350" s="373" t="s">
        <v>68</v>
      </c>
      <c r="E350" s="373" t="s">
        <v>77</v>
      </c>
      <c r="F350" s="373" t="s">
        <v>11</v>
      </c>
      <c r="G350" s="374">
        <v>2</v>
      </c>
      <c r="H350" s="374">
        <v>1</v>
      </c>
      <c r="I350" s="375">
        <v>0.33</v>
      </c>
      <c r="J350" s="375">
        <v>0.33</v>
      </c>
      <c r="K350" s="373" t="s">
        <v>146</v>
      </c>
      <c r="L350" s="373" t="s">
        <v>508</v>
      </c>
      <c r="M350" s="378"/>
      <c r="N350" s="379"/>
      <c r="O350" s="376" t="s">
        <v>854</v>
      </c>
      <c r="P350" s="313"/>
      <c r="Q350" s="373" t="s">
        <v>148</v>
      </c>
      <c r="R350" s="173"/>
      <c r="S350" s="195">
        <f>MATCH($D350,Reference!$J$5:$J$9,0)</f>
        <v>3</v>
      </c>
      <c r="T350" s="195">
        <f>MATCH($E350,Reference!$J$26:$J$32,0)</f>
        <v>2</v>
      </c>
      <c r="U350" s="195">
        <f>MATCH($F350,Reference!$J$45:$J$54,0)</f>
        <v>2</v>
      </c>
      <c r="V350" s="196">
        <f>MATCH($K350,Reference!$J$37:$J$39,0)</f>
        <v>2</v>
      </c>
      <c r="W350" s="197">
        <f t="shared" si="568"/>
        <v>2</v>
      </c>
      <c r="X350" s="197">
        <f t="shared" si="1"/>
        <v>1</v>
      </c>
      <c r="Y350" s="197">
        <f t="shared" si="569"/>
        <v>100</v>
      </c>
      <c r="Z350" s="197">
        <f t="shared" si="570"/>
        <v>2</v>
      </c>
      <c r="AA350" s="199" t="b">
        <f t="shared" si="3"/>
        <v>0</v>
      </c>
      <c r="AB350" s="199" t="b">
        <f t="shared" si="4"/>
        <v>0</v>
      </c>
      <c r="AC350" s="200">
        <f t="shared" ref="AC350:AD350" si="593">1-I350</f>
        <v>0.66999999999999993</v>
      </c>
      <c r="AD350" s="200">
        <f t="shared" si="593"/>
        <v>0.66999999999999993</v>
      </c>
      <c r="AE350" s="199">
        <f t="shared" si="6"/>
        <v>2</v>
      </c>
      <c r="AF350" s="201">
        <f t="shared" si="572"/>
        <v>1</v>
      </c>
      <c r="AG350" s="201">
        <f t="shared" si="8"/>
        <v>1</v>
      </c>
      <c r="AH350" s="202">
        <f t="shared" si="573"/>
        <v>20</v>
      </c>
      <c r="AI350" s="205"/>
      <c r="AJ350" s="173"/>
      <c r="AK350" s="173"/>
      <c r="AL350" s="173"/>
      <c r="AM350" s="173"/>
      <c r="AN350" s="173"/>
      <c r="AO350" s="173"/>
      <c r="AP350" s="173"/>
      <c r="AQ350" s="173"/>
      <c r="AR350" s="173"/>
      <c r="AS350" s="173"/>
      <c r="AT350" s="173"/>
      <c r="AU350" s="173"/>
      <c r="AV350" s="173"/>
    </row>
    <row r="351" spans="1:48" ht="14.25">
      <c r="A351" s="187"/>
      <c r="B351" s="371">
        <v>2</v>
      </c>
      <c r="C351" s="372" t="s">
        <v>855</v>
      </c>
      <c r="D351" s="373" t="s">
        <v>68</v>
      </c>
      <c r="E351" s="373" t="s">
        <v>77</v>
      </c>
      <c r="F351" s="373" t="s">
        <v>115</v>
      </c>
      <c r="G351" s="374">
        <v>2</v>
      </c>
      <c r="H351" s="374">
        <v>0</v>
      </c>
      <c r="I351" s="375">
        <v>0</v>
      </c>
      <c r="J351" s="375">
        <v>0</v>
      </c>
      <c r="K351" s="269" t="s">
        <v>182</v>
      </c>
      <c r="L351" s="269"/>
      <c r="M351" s="269">
        <v>2</v>
      </c>
      <c r="N351" s="269">
        <v>2</v>
      </c>
      <c r="O351" s="376" t="s">
        <v>856</v>
      </c>
      <c r="P351" s="313" t="s">
        <v>235</v>
      </c>
      <c r="Q351" s="373" t="s">
        <v>148</v>
      </c>
      <c r="R351" s="173"/>
      <c r="S351" s="195">
        <f>MATCH($D351,Reference!$J$5:$J$9,0)</f>
        <v>3</v>
      </c>
      <c r="T351" s="195">
        <f>MATCH($E351,Reference!$J$26:$J$32,0)</f>
        <v>2</v>
      </c>
      <c r="U351" s="195">
        <f>MATCH($F351,Reference!$J$45:$J$54,0)</f>
        <v>10</v>
      </c>
      <c r="V351" s="196">
        <f>MATCH($K351,Reference!$J$37:$J$39,0)</f>
        <v>3</v>
      </c>
      <c r="W351" s="197">
        <f t="shared" si="568"/>
        <v>2</v>
      </c>
      <c r="X351" s="197">
        <f t="shared" si="1"/>
        <v>1</v>
      </c>
      <c r="Y351" s="197">
        <f t="shared" si="569"/>
        <v>0</v>
      </c>
      <c r="Z351" s="197">
        <f t="shared" si="570"/>
        <v>2</v>
      </c>
      <c r="AA351" s="199" t="b">
        <f t="shared" si="3"/>
        <v>0</v>
      </c>
      <c r="AB351" s="199" t="b">
        <f t="shared" si="4"/>
        <v>0</v>
      </c>
      <c r="AC351" s="200">
        <f t="shared" ref="AC351:AD351" si="594">1-I351</f>
        <v>1</v>
      </c>
      <c r="AD351" s="200">
        <f t="shared" si="594"/>
        <v>1</v>
      </c>
      <c r="AE351" s="199">
        <f t="shared" si="6"/>
        <v>2</v>
      </c>
      <c r="AF351" s="201">
        <f t="shared" si="572"/>
        <v>0</v>
      </c>
      <c r="AG351" s="201">
        <f t="shared" si="8"/>
        <v>1</v>
      </c>
      <c r="AH351" s="202">
        <f t="shared" si="573"/>
        <v>0</v>
      </c>
      <c r="AI351" s="205"/>
      <c r="AJ351" s="173"/>
      <c r="AK351" s="173"/>
      <c r="AL351" s="173"/>
      <c r="AM351" s="173"/>
      <c r="AN351" s="173"/>
      <c r="AO351" s="173"/>
      <c r="AP351" s="173"/>
      <c r="AQ351" s="173"/>
      <c r="AR351" s="173"/>
      <c r="AS351" s="173"/>
      <c r="AT351" s="173"/>
      <c r="AU351" s="173"/>
      <c r="AV351" s="173"/>
    </row>
    <row r="352" spans="1:48" ht="14.25">
      <c r="A352" s="209"/>
      <c r="B352" s="371">
        <v>2</v>
      </c>
      <c r="C352" s="372" t="s">
        <v>857</v>
      </c>
      <c r="D352" s="373" t="s">
        <v>68</v>
      </c>
      <c r="E352" s="373" t="s">
        <v>77</v>
      </c>
      <c r="F352" s="373" t="s">
        <v>115</v>
      </c>
      <c r="G352" s="374">
        <v>2</v>
      </c>
      <c r="H352" s="374">
        <v>0</v>
      </c>
      <c r="I352" s="375">
        <v>1</v>
      </c>
      <c r="J352" s="375">
        <v>1</v>
      </c>
      <c r="K352" s="269" t="s">
        <v>182</v>
      </c>
      <c r="L352" s="269"/>
      <c r="M352" s="269">
        <v>2</v>
      </c>
      <c r="N352" s="269">
        <v>3</v>
      </c>
      <c r="O352" s="376" t="s">
        <v>858</v>
      </c>
      <c r="P352" s="313" t="s">
        <v>184</v>
      </c>
      <c r="Q352" s="373" t="s">
        <v>148</v>
      </c>
      <c r="R352" s="173"/>
      <c r="S352" s="195">
        <f>MATCH($D352,Reference!$J$5:$J$9,0)</f>
        <v>3</v>
      </c>
      <c r="T352" s="195">
        <f>MATCH($E352,Reference!$J$26:$J$32,0)</f>
        <v>2</v>
      </c>
      <c r="U352" s="195">
        <f>MATCH($F352,Reference!$J$45:$J$54,0)</f>
        <v>10</v>
      </c>
      <c r="V352" s="196">
        <f>MATCH($K352,Reference!$J$37:$J$39,0)</f>
        <v>3</v>
      </c>
      <c r="W352" s="197">
        <f t="shared" si="568"/>
        <v>2</v>
      </c>
      <c r="X352" s="197">
        <f t="shared" si="1"/>
        <v>1</v>
      </c>
      <c r="Y352" s="197">
        <f t="shared" si="569"/>
        <v>0</v>
      </c>
      <c r="Z352" s="197">
        <f t="shared" si="570"/>
        <v>2</v>
      </c>
      <c r="AA352" s="199" t="b">
        <f t="shared" si="3"/>
        <v>0</v>
      </c>
      <c r="AB352" s="199" t="b">
        <f t="shared" si="4"/>
        <v>0</v>
      </c>
      <c r="AC352" s="200">
        <f t="shared" ref="AC352:AD352" si="595">1-I352</f>
        <v>0</v>
      </c>
      <c r="AD352" s="200">
        <f t="shared" si="595"/>
        <v>0</v>
      </c>
      <c r="AE352" s="199">
        <f t="shared" si="6"/>
        <v>2</v>
      </c>
      <c r="AF352" s="201">
        <f t="shared" si="572"/>
        <v>0</v>
      </c>
      <c r="AG352" s="201">
        <f t="shared" si="8"/>
        <v>1</v>
      </c>
      <c r="AH352" s="202">
        <f t="shared" si="573"/>
        <v>0</v>
      </c>
      <c r="AI352" s="205"/>
      <c r="AJ352" s="173"/>
      <c r="AK352" s="173"/>
      <c r="AL352" s="173"/>
      <c r="AM352" s="173"/>
      <c r="AN352" s="173"/>
      <c r="AO352" s="173"/>
      <c r="AP352" s="173"/>
      <c r="AQ352" s="173"/>
      <c r="AR352" s="173"/>
      <c r="AS352" s="173"/>
      <c r="AT352" s="173"/>
      <c r="AU352" s="173"/>
      <c r="AV352" s="173"/>
    </row>
    <row r="353" spans="1:48" ht="14.25">
      <c r="A353" s="213"/>
      <c r="B353" s="371">
        <v>2</v>
      </c>
      <c r="C353" s="372" t="s">
        <v>859</v>
      </c>
      <c r="D353" s="373" t="s">
        <v>68</v>
      </c>
      <c r="E353" s="373" t="s">
        <v>77</v>
      </c>
      <c r="F353" s="373" t="s">
        <v>115</v>
      </c>
      <c r="G353" s="374">
        <v>2</v>
      </c>
      <c r="H353" s="374">
        <v>0</v>
      </c>
      <c r="I353" s="375">
        <v>1</v>
      </c>
      <c r="J353" s="375">
        <v>1</v>
      </c>
      <c r="K353" s="269" t="s">
        <v>182</v>
      </c>
      <c r="L353" s="269"/>
      <c r="M353" s="269">
        <v>3</v>
      </c>
      <c r="N353" s="269">
        <v>2</v>
      </c>
      <c r="O353" s="376" t="s">
        <v>860</v>
      </c>
      <c r="P353" s="313"/>
      <c r="Q353" s="373" t="s">
        <v>148</v>
      </c>
      <c r="R353" s="173"/>
      <c r="S353" s="195">
        <f>MATCH($D353,Reference!$J$5:$J$9,0)</f>
        <v>3</v>
      </c>
      <c r="T353" s="195">
        <f>MATCH($E353,Reference!$J$26:$J$32,0)</f>
        <v>2</v>
      </c>
      <c r="U353" s="195">
        <f>MATCH($F353,Reference!$J$45:$J$54,0)</f>
        <v>10</v>
      </c>
      <c r="V353" s="196">
        <f>MATCH($K353,Reference!$J$37:$J$39,0)</f>
        <v>3</v>
      </c>
      <c r="W353" s="197">
        <f t="shared" si="568"/>
        <v>2</v>
      </c>
      <c r="X353" s="197">
        <f t="shared" si="1"/>
        <v>1</v>
      </c>
      <c r="Y353" s="197">
        <f t="shared" si="569"/>
        <v>0</v>
      </c>
      <c r="Z353" s="197">
        <f t="shared" si="570"/>
        <v>2</v>
      </c>
      <c r="AA353" s="199" t="b">
        <f t="shared" si="3"/>
        <v>0</v>
      </c>
      <c r="AB353" s="199" t="b">
        <f t="shared" si="4"/>
        <v>0</v>
      </c>
      <c r="AC353" s="200">
        <f t="shared" ref="AC353:AD353" si="596">1-I353</f>
        <v>0</v>
      </c>
      <c r="AD353" s="200">
        <f t="shared" si="596"/>
        <v>0</v>
      </c>
      <c r="AE353" s="199">
        <f t="shared" si="6"/>
        <v>2</v>
      </c>
      <c r="AF353" s="201">
        <f t="shared" si="572"/>
        <v>0</v>
      </c>
      <c r="AG353" s="201">
        <f t="shared" si="8"/>
        <v>1</v>
      </c>
      <c r="AH353" s="202">
        <f t="shared" si="573"/>
        <v>0</v>
      </c>
      <c r="AI353" s="205"/>
      <c r="AJ353" s="173"/>
      <c r="AK353" s="173"/>
      <c r="AL353" s="173"/>
      <c r="AM353" s="173"/>
      <c r="AN353" s="173"/>
      <c r="AO353" s="173"/>
      <c r="AP353" s="173"/>
      <c r="AQ353" s="173"/>
      <c r="AR353" s="173"/>
      <c r="AS353" s="173"/>
      <c r="AT353" s="173"/>
      <c r="AU353" s="173"/>
      <c r="AV353" s="173"/>
    </row>
    <row r="354" spans="1:48" ht="14.25">
      <c r="A354" s="240"/>
      <c r="B354" s="371">
        <v>3</v>
      </c>
      <c r="C354" s="372" t="s">
        <v>861</v>
      </c>
      <c r="D354" s="373" t="s">
        <v>68</v>
      </c>
      <c r="E354" s="373" t="s">
        <v>77</v>
      </c>
      <c r="F354" s="373" t="s">
        <v>115</v>
      </c>
      <c r="G354" s="374">
        <v>2</v>
      </c>
      <c r="H354" s="377">
        <v>0</v>
      </c>
      <c r="I354" s="375">
        <v>0</v>
      </c>
      <c r="J354" s="375">
        <v>0</v>
      </c>
      <c r="K354" s="269" t="s">
        <v>182</v>
      </c>
      <c r="L354" s="269" t="s">
        <v>602</v>
      </c>
      <c r="M354" s="269">
        <v>0</v>
      </c>
      <c r="N354" s="269">
        <v>3</v>
      </c>
      <c r="O354" s="376" t="s">
        <v>862</v>
      </c>
      <c r="P354" s="313"/>
      <c r="Q354" s="373" t="s">
        <v>148</v>
      </c>
      <c r="R354" s="173"/>
      <c r="S354" s="195">
        <f>MATCH($D354,Reference!$J$5:$J$9,0)</f>
        <v>3</v>
      </c>
      <c r="T354" s="195">
        <f>MATCH($E354,Reference!$J$26:$J$32,0)</f>
        <v>2</v>
      </c>
      <c r="U354" s="195">
        <f>MATCH($F354,Reference!$J$45:$J$54,0)</f>
        <v>10</v>
      </c>
      <c r="V354" s="196">
        <f>MATCH($K354,Reference!$J$37:$J$39,0)</f>
        <v>3</v>
      </c>
      <c r="W354" s="197">
        <f t="shared" si="568"/>
        <v>2</v>
      </c>
      <c r="X354" s="197">
        <f t="shared" si="1"/>
        <v>1</v>
      </c>
      <c r="Y354" s="197">
        <f t="shared" si="569"/>
        <v>0</v>
      </c>
      <c r="Z354" s="197">
        <f t="shared" si="570"/>
        <v>2</v>
      </c>
      <c r="AA354" s="199" t="b">
        <f t="shared" si="3"/>
        <v>0</v>
      </c>
      <c r="AB354" s="199" t="b">
        <f t="shared" si="4"/>
        <v>0</v>
      </c>
      <c r="AC354" s="200">
        <f t="shared" ref="AC354:AD354" si="597">1-I354</f>
        <v>1</v>
      </c>
      <c r="AD354" s="200">
        <f t="shared" si="597"/>
        <v>1</v>
      </c>
      <c r="AE354" s="199">
        <f t="shared" si="6"/>
        <v>2</v>
      </c>
      <c r="AF354" s="201">
        <f t="shared" si="572"/>
        <v>0</v>
      </c>
      <c r="AG354" s="201">
        <f t="shared" si="8"/>
        <v>1</v>
      </c>
      <c r="AH354" s="202">
        <f t="shared" si="573"/>
        <v>0</v>
      </c>
      <c r="AI354" s="205"/>
      <c r="AJ354" s="173"/>
      <c r="AK354" s="173"/>
      <c r="AL354" s="173"/>
      <c r="AM354" s="173"/>
      <c r="AN354" s="173"/>
      <c r="AO354" s="173"/>
      <c r="AP354" s="173"/>
      <c r="AQ354" s="173"/>
      <c r="AR354" s="173"/>
      <c r="AS354" s="173"/>
      <c r="AT354" s="173"/>
      <c r="AU354" s="173"/>
      <c r="AV354" s="173"/>
    </row>
    <row r="355" spans="1:48" ht="14.25">
      <c r="A355" s="187"/>
      <c r="B355" s="371">
        <v>3</v>
      </c>
      <c r="C355" s="372" t="s">
        <v>863</v>
      </c>
      <c r="D355" s="373" t="s">
        <v>68</v>
      </c>
      <c r="E355" s="373" t="s">
        <v>77</v>
      </c>
      <c r="F355" s="373" t="s">
        <v>16</v>
      </c>
      <c r="G355" s="374">
        <v>2</v>
      </c>
      <c r="H355" s="374">
        <v>0</v>
      </c>
      <c r="I355" s="375">
        <v>1</v>
      </c>
      <c r="J355" s="375">
        <v>1</v>
      </c>
      <c r="K355" s="269" t="s">
        <v>182</v>
      </c>
      <c r="L355" s="269"/>
      <c r="M355" s="269">
        <v>3</v>
      </c>
      <c r="N355" s="269">
        <v>3</v>
      </c>
      <c r="O355" s="376" t="s">
        <v>864</v>
      </c>
      <c r="P355" s="313" t="s">
        <v>184</v>
      </c>
      <c r="Q355" s="373" t="s">
        <v>148</v>
      </c>
      <c r="R355" s="173"/>
      <c r="S355" s="195">
        <f>MATCH($D355,Reference!$J$5:$J$9,0)</f>
        <v>3</v>
      </c>
      <c r="T355" s="195">
        <f>MATCH($E355,Reference!$J$26:$J$32,0)</f>
        <v>2</v>
      </c>
      <c r="U355" s="195">
        <f>MATCH($F355,Reference!$J$45:$J$54,0)</f>
        <v>4</v>
      </c>
      <c r="V355" s="196">
        <f>MATCH($K355,Reference!$J$37:$J$39,0)</f>
        <v>3</v>
      </c>
      <c r="W355" s="197">
        <f t="shared" si="568"/>
        <v>2</v>
      </c>
      <c r="X355" s="197">
        <f t="shared" si="1"/>
        <v>1</v>
      </c>
      <c r="Y355" s="197">
        <f t="shared" si="569"/>
        <v>0</v>
      </c>
      <c r="Z355" s="197">
        <f t="shared" si="570"/>
        <v>2</v>
      </c>
      <c r="AA355" s="199" t="b">
        <f t="shared" si="3"/>
        <v>0</v>
      </c>
      <c r="AB355" s="199" t="b">
        <f t="shared" si="4"/>
        <v>0</v>
      </c>
      <c r="AC355" s="200">
        <f t="shared" ref="AC355:AD355" si="598">1-I355</f>
        <v>0</v>
      </c>
      <c r="AD355" s="200">
        <f t="shared" si="598"/>
        <v>0</v>
      </c>
      <c r="AE355" s="199">
        <f t="shared" si="6"/>
        <v>2</v>
      </c>
      <c r="AF355" s="201">
        <f t="shared" si="572"/>
        <v>0</v>
      </c>
      <c r="AG355" s="201">
        <f t="shared" si="8"/>
        <v>1</v>
      </c>
      <c r="AH355" s="202">
        <f t="shared" si="573"/>
        <v>0</v>
      </c>
      <c r="AI355" s="205"/>
      <c r="AJ355" s="173"/>
      <c r="AK355" s="173"/>
      <c r="AL355" s="173"/>
      <c r="AM355" s="173"/>
      <c r="AN355" s="173"/>
      <c r="AO355" s="173"/>
      <c r="AP355" s="173"/>
      <c r="AQ355" s="173"/>
      <c r="AR355" s="173"/>
      <c r="AS355" s="173"/>
      <c r="AT355" s="173"/>
      <c r="AU355" s="173"/>
      <c r="AV355" s="173"/>
    </row>
    <row r="356" spans="1:48" ht="14.25">
      <c r="A356" s="187"/>
      <c r="B356" s="371">
        <v>3</v>
      </c>
      <c r="C356" s="372" t="s">
        <v>865</v>
      </c>
      <c r="D356" s="373" t="s">
        <v>68</v>
      </c>
      <c r="E356" s="373" t="s">
        <v>77</v>
      </c>
      <c r="F356" s="373" t="s">
        <v>115</v>
      </c>
      <c r="G356" s="377">
        <v>2</v>
      </c>
      <c r="H356" s="377">
        <v>0</v>
      </c>
      <c r="I356" s="375">
        <v>1</v>
      </c>
      <c r="J356" s="375">
        <v>1</v>
      </c>
      <c r="K356" s="269" t="s">
        <v>182</v>
      </c>
      <c r="L356" s="269"/>
      <c r="M356" s="269">
        <v>4</v>
      </c>
      <c r="N356" s="338">
        <v>4</v>
      </c>
      <c r="O356" s="385" t="s">
        <v>866</v>
      </c>
      <c r="P356" s="313"/>
      <c r="Q356" s="373" t="s">
        <v>148</v>
      </c>
      <c r="R356" s="173"/>
      <c r="S356" s="195">
        <f>MATCH($D356,Reference!$J$5:$J$9,0)</f>
        <v>3</v>
      </c>
      <c r="T356" s="195">
        <f>MATCH($E356,Reference!$J$26:$J$32,0)</f>
        <v>2</v>
      </c>
      <c r="U356" s="195">
        <f>MATCH($F356,Reference!$J$45:$J$54,0)</f>
        <v>10</v>
      </c>
      <c r="V356" s="196">
        <f>MATCH($K356,Reference!$J$37:$J$39,0)</f>
        <v>3</v>
      </c>
      <c r="W356" s="197">
        <f t="shared" si="568"/>
        <v>2</v>
      </c>
      <c r="X356" s="197">
        <f t="shared" si="1"/>
        <v>1</v>
      </c>
      <c r="Y356" s="197">
        <f t="shared" si="569"/>
        <v>0</v>
      </c>
      <c r="Z356" s="197">
        <f t="shared" si="570"/>
        <v>2</v>
      </c>
      <c r="AA356" s="199" t="b">
        <f t="shared" si="3"/>
        <v>0</v>
      </c>
      <c r="AB356" s="199" t="b">
        <f t="shared" si="4"/>
        <v>0</v>
      </c>
      <c r="AC356" s="200">
        <f t="shared" ref="AC356:AD356" si="599">1-I356</f>
        <v>0</v>
      </c>
      <c r="AD356" s="200">
        <f t="shared" si="599"/>
        <v>0</v>
      </c>
      <c r="AE356" s="199">
        <f t="shared" si="6"/>
        <v>2</v>
      </c>
      <c r="AF356" s="201">
        <f t="shared" si="572"/>
        <v>0</v>
      </c>
      <c r="AG356" s="201">
        <f t="shared" si="8"/>
        <v>1</v>
      </c>
      <c r="AH356" s="202">
        <f t="shared" si="573"/>
        <v>0</v>
      </c>
      <c r="AI356" s="205"/>
      <c r="AJ356" s="173"/>
      <c r="AK356" s="173"/>
      <c r="AL356" s="173"/>
      <c r="AM356" s="173"/>
      <c r="AN356" s="173"/>
      <c r="AO356" s="173"/>
      <c r="AP356" s="173"/>
      <c r="AQ356" s="173"/>
      <c r="AR356" s="173"/>
      <c r="AS356" s="173"/>
      <c r="AT356" s="173"/>
      <c r="AU356" s="173"/>
      <c r="AV356" s="173"/>
    </row>
    <row r="357" spans="1:48" ht="14.25">
      <c r="A357" s="187"/>
      <c r="B357" s="371">
        <v>3</v>
      </c>
      <c r="C357" s="372" t="s">
        <v>867</v>
      </c>
      <c r="D357" s="373" t="s">
        <v>68</v>
      </c>
      <c r="E357" s="373" t="s">
        <v>77</v>
      </c>
      <c r="F357" s="373" t="s">
        <v>115</v>
      </c>
      <c r="G357" s="374">
        <v>2</v>
      </c>
      <c r="H357" s="374">
        <v>0</v>
      </c>
      <c r="I357" s="375">
        <v>0.66</v>
      </c>
      <c r="J357" s="375">
        <v>0.66</v>
      </c>
      <c r="K357" s="269" t="s">
        <v>182</v>
      </c>
      <c r="L357" s="269" t="s">
        <v>195</v>
      </c>
      <c r="M357" s="269">
        <v>2</v>
      </c>
      <c r="N357" s="269">
        <v>2</v>
      </c>
      <c r="O357" s="376" t="s">
        <v>868</v>
      </c>
      <c r="P357" s="313" t="s">
        <v>184</v>
      </c>
      <c r="Q357" s="373" t="s">
        <v>148</v>
      </c>
      <c r="R357" s="173"/>
      <c r="S357" s="195">
        <f>MATCH($D357,Reference!$J$5:$J$9,0)</f>
        <v>3</v>
      </c>
      <c r="T357" s="195">
        <f>MATCH($E357,Reference!$J$26:$J$32,0)</f>
        <v>2</v>
      </c>
      <c r="U357" s="195">
        <f>MATCH($F357,Reference!$J$45:$J$54,0)</f>
        <v>10</v>
      </c>
      <c r="V357" s="196">
        <f>MATCH($K357,Reference!$J$37:$J$39,0)</f>
        <v>3</v>
      </c>
      <c r="W357" s="197">
        <f t="shared" si="568"/>
        <v>2</v>
      </c>
      <c r="X357" s="197">
        <f t="shared" si="1"/>
        <v>1</v>
      </c>
      <c r="Y357" s="197">
        <f t="shared" si="569"/>
        <v>0</v>
      </c>
      <c r="Z357" s="197">
        <f t="shared" si="570"/>
        <v>2</v>
      </c>
      <c r="AA357" s="199" t="b">
        <f t="shared" si="3"/>
        <v>0</v>
      </c>
      <c r="AB357" s="199" t="b">
        <f t="shared" si="4"/>
        <v>0</v>
      </c>
      <c r="AC357" s="200">
        <f t="shared" ref="AC357:AD357" si="600">1-I357</f>
        <v>0.33999999999999997</v>
      </c>
      <c r="AD357" s="200">
        <f t="shared" si="600"/>
        <v>0.33999999999999997</v>
      </c>
      <c r="AE357" s="199">
        <f t="shared" si="6"/>
        <v>2</v>
      </c>
      <c r="AF357" s="201">
        <f t="shared" si="572"/>
        <v>0</v>
      </c>
      <c r="AG357" s="201">
        <f t="shared" si="8"/>
        <v>1</v>
      </c>
      <c r="AH357" s="202">
        <f t="shared" si="573"/>
        <v>0</v>
      </c>
      <c r="AI357" s="205"/>
      <c r="AJ357" s="173"/>
      <c r="AK357" s="173"/>
      <c r="AL357" s="173"/>
      <c r="AM357" s="173"/>
      <c r="AN357" s="173"/>
      <c r="AO357" s="173"/>
      <c r="AP357" s="173"/>
      <c r="AQ357" s="173"/>
      <c r="AR357" s="173"/>
      <c r="AS357" s="173"/>
      <c r="AT357" s="173"/>
      <c r="AU357" s="173"/>
      <c r="AV357" s="173"/>
    </row>
    <row r="358" spans="1:48" ht="14.25">
      <c r="A358" s="187"/>
      <c r="B358" s="371">
        <v>3</v>
      </c>
      <c r="C358" s="372" t="s">
        <v>869</v>
      </c>
      <c r="D358" s="373" t="s">
        <v>68</v>
      </c>
      <c r="E358" s="373" t="s">
        <v>77</v>
      </c>
      <c r="F358" s="373" t="s">
        <v>115</v>
      </c>
      <c r="G358" s="377">
        <v>2</v>
      </c>
      <c r="H358" s="374">
        <v>0</v>
      </c>
      <c r="I358" s="375">
        <v>0.33</v>
      </c>
      <c r="J358" s="375">
        <v>0.33</v>
      </c>
      <c r="K358" s="269" t="s">
        <v>182</v>
      </c>
      <c r="L358" s="269" t="s">
        <v>195</v>
      </c>
      <c r="M358" s="269">
        <v>2</v>
      </c>
      <c r="N358" s="269">
        <v>3</v>
      </c>
      <c r="O358" s="376" t="s">
        <v>870</v>
      </c>
      <c r="P358" s="313" t="s">
        <v>184</v>
      </c>
      <c r="Q358" s="373" t="s">
        <v>148</v>
      </c>
      <c r="R358" s="173"/>
      <c r="S358" s="195">
        <f>MATCH($D358,Reference!$J$5:$J$9,0)</f>
        <v>3</v>
      </c>
      <c r="T358" s="195">
        <f>MATCH($E358,Reference!$J$26:$J$32,0)</f>
        <v>2</v>
      </c>
      <c r="U358" s="195">
        <f>MATCH($F358,Reference!$J$45:$J$54,0)</f>
        <v>10</v>
      </c>
      <c r="V358" s="196">
        <f>MATCH($K358,Reference!$J$37:$J$39,0)</f>
        <v>3</v>
      </c>
      <c r="W358" s="197">
        <f t="shared" si="568"/>
        <v>2</v>
      </c>
      <c r="X358" s="197">
        <f t="shared" si="1"/>
        <v>1</v>
      </c>
      <c r="Y358" s="197">
        <f t="shared" si="569"/>
        <v>0</v>
      </c>
      <c r="Z358" s="197">
        <f t="shared" si="570"/>
        <v>2</v>
      </c>
      <c r="AA358" s="199" t="b">
        <f t="shared" si="3"/>
        <v>0</v>
      </c>
      <c r="AB358" s="199" t="b">
        <f t="shared" si="4"/>
        <v>0</v>
      </c>
      <c r="AC358" s="200">
        <f t="shared" ref="AC358:AD358" si="601">1-I358</f>
        <v>0.66999999999999993</v>
      </c>
      <c r="AD358" s="200">
        <f t="shared" si="601"/>
        <v>0.66999999999999993</v>
      </c>
      <c r="AE358" s="199">
        <f t="shared" si="6"/>
        <v>2</v>
      </c>
      <c r="AF358" s="201">
        <f t="shared" si="572"/>
        <v>0</v>
      </c>
      <c r="AG358" s="201">
        <f t="shared" si="8"/>
        <v>1</v>
      </c>
      <c r="AH358" s="202">
        <f t="shared" si="573"/>
        <v>0</v>
      </c>
      <c r="AI358" s="205"/>
      <c r="AJ358" s="173"/>
      <c r="AK358" s="173"/>
      <c r="AL358" s="173"/>
      <c r="AM358" s="173"/>
      <c r="AN358" s="173"/>
      <c r="AO358" s="173"/>
      <c r="AP358" s="173"/>
      <c r="AQ358" s="173"/>
      <c r="AR358" s="173"/>
      <c r="AS358" s="173"/>
      <c r="AT358" s="173"/>
      <c r="AU358" s="173"/>
      <c r="AV358" s="173"/>
    </row>
    <row r="359" spans="1:48" ht="14.25">
      <c r="A359" s="209"/>
      <c r="B359" s="371">
        <v>3</v>
      </c>
      <c r="C359" s="372" t="s">
        <v>871</v>
      </c>
      <c r="D359" s="373" t="s">
        <v>68</v>
      </c>
      <c r="E359" s="373" t="s">
        <v>77</v>
      </c>
      <c r="F359" s="373" t="s">
        <v>13</v>
      </c>
      <c r="G359" s="374">
        <v>2</v>
      </c>
      <c r="H359" s="374">
        <v>0</v>
      </c>
      <c r="I359" s="375">
        <v>1</v>
      </c>
      <c r="J359" s="375">
        <v>0.33</v>
      </c>
      <c r="K359" s="269" t="s">
        <v>146</v>
      </c>
      <c r="L359" s="269" t="s">
        <v>508</v>
      </c>
      <c r="M359" s="269"/>
      <c r="N359" s="269"/>
      <c r="O359" s="376" t="s">
        <v>872</v>
      </c>
      <c r="P359" s="313"/>
      <c r="Q359" s="373" t="s">
        <v>148</v>
      </c>
      <c r="R359" s="173"/>
      <c r="S359" s="195">
        <f>MATCH($D359,Reference!$J$5:$J$9,0)</f>
        <v>3</v>
      </c>
      <c r="T359" s="195">
        <f>MATCH($E359,Reference!$J$26:$J$32,0)</f>
        <v>2</v>
      </c>
      <c r="U359" s="195">
        <f>MATCH($F359,Reference!$J$45:$J$54,0)</f>
        <v>3</v>
      </c>
      <c r="V359" s="196">
        <f>MATCH($K359,Reference!$J$37:$J$39,0)</f>
        <v>2</v>
      </c>
      <c r="W359" s="197">
        <f t="shared" si="568"/>
        <v>2</v>
      </c>
      <c r="X359" s="197">
        <f t="shared" si="1"/>
        <v>1</v>
      </c>
      <c r="Y359" s="197">
        <f t="shared" si="569"/>
        <v>0</v>
      </c>
      <c r="Z359" s="197">
        <f t="shared" si="570"/>
        <v>2</v>
      </c>
      <c r="AA359" s="199" t="b">
        <f t="shared" si="3"/>
        <v>0</v>
      </c>
      <c r="AB359" s="199" t="b">
        <f t="shared" si="4"/>
        <v>0</v>
      </c>
      <c r="AC359" s="200">
        <f t="shared" ref="AC359:AD359" si="602">1-I359</f>
        <v>0</v>
      </c>
      <c r="AD359" s="200">
        <f t="shared" si="602"/>
        <v>0.66999999999999993</v>
      </c>
      <c r="AE359" s="199">
        <f t="shared" si="6"/>
        <v>2</v>
      </c>
      <c r="AF359" s="201">
        <f t="shared" si="572"/>
        <v>0</v>
      </c>
      <c r="AG359" s="201">
        <f t="shared" si="8"/>
        <v>1</v>
      </c>
      <c r="AH359" s="202">
        <f t="shared" si="573"/>
        <v>0</v>
      </c>
      <c r="AI359" s="205"/>
      <c r="AJ359" s="173"/>
      <c r="AK359" s="173"/>
      <c r="AL359" s="173"/>
      <c r="AM359" s="173"/>
      <c r="AN359" s="173"/>
      <c r="AO359" s="173"/>
      <c r="AP359" s="173"/>
      <c r="AQ359" s="173"/>
      <c r="AR359" s="173"/>
      <c r="AS359" s="173"/>
      <c r="AT359" s="173"/>
      <c r="AU359" s="173"/>
      <c r="AV359" s="173"/>
    </row>
    <row r="360" spans="1:48" ht="14.25">
      <c r="A360" s="240"/>
      <c r="B360" s="371">
        <v>3</v>
      </c>
      <c r="C360" s="372" t="s">
        <v>873</v>
      </c>
      <c r="D360" s="373" t="s">
        <v>68</v>
      </c>
      <c r="E360" s="373" t="s">
        <v>77</v>
      </c>
      <c r="F360" s="373" t="s">
        <v>115</v>
      </c>
      <c r="G360" s="374">
        <v>2</v>
      </c>
      <c r="H360" s="374">
        <v>0</v>
      </c>
      <c r="I360" s="375">
        <v>0</v>
      </c>
      <c r="J360" s="375">
        <v>0</v>
      </c>
      <c r="K360" s="269" t="s">
        <v>182</v>
      </c>
      <c r="L360" s="269" t="s">
        <v>602</v>
      </c>
      <c r="M360" s="269">
        <v>1</v>
      </c>
      <c r="N360" s="269">
        <v>4</v>
      </c>
      <c r="O360" s="376" t="s">
        <v>874</v>
      </c>
      <c r="P360" s="313"/>
      <c r="Q360" s="373" t="s">
        <v>148</v>
      </c>
      <c r="R360" s="173"/>
      <c r="S360" s="195">
        <f>MATCH($D360,Reference!$J$5:$J$9,0)</f>
        <v>3</v>
      </c>
      <c r="T360" s="195">
        <f>MATCH($E360,Reference!$J$26:$J$32,0)</f>
        <v>2</v>
      </c>
      <c r="U360" s="195">
        <f>MATCH($F360,Reference!$J$45:$J$54,0)</f>
        <v>10</v>
      </c>
      <c r="V360" s="196">
        <f>MATCH($K360,Reference!$J$37:$J$39,0)</f>
        <v>3</v>
      </c>
      <c r="W360" s="197">
        <f t="shared" si="568"/>
        <v>2</v>
      </c>
      <c r="X360" s="197">
        <f t="shared" si="1"/>
        <v>1</v>
      </c>
      <c r="Y360" s="197">
        <f t="shared" si="569"/>
        <v>0</v>
      </c>
      <c r="Z360" s="197">
        <f t="shared" si="570"/>
        <v>2</v>
      </c>
      <c r="AA360" s="199" t="b">
        <f t="shared" si="3"/>
        <v>0</v>
      </c>
      <c r="AB360" s="199" t="b">
        <f t="shared" si="4"/>
        <v>0</v>
      </c>
      <c r="AC360" s="200">
        <f t="shared" ref="AC360:AD360" si="603">1-I360</f>
        <v>1</v>
      </c>
      <c r="AD360" s="200">
        <f t="shared" si="603"/>
        <v>1</v>
      </c>
      <c r="AE360" s="199">
        <f t="shared" si="6"/>
        <v>2</v>
      </c>
      <c r="AF360" s="201">
        <f t="shared" si="572"/>
        <v>0</v>
      </c>
      <c r="AG360" s="201">
        <f t="shared" si="8"/>
        <v>1</v>
      </c>
      <c r="AH360" s="202">
        <f t="shared" si="573"/>
        <v>0</v>
      </c>
      <c r="AI360" s="205"/>
      <c r="AJ360" s="173"/>
      <c r="AK360" s="173"/>
      <c r="AL360" s="173"/>
      <c r="AM360" s="173"/>
      <c r="AN360" s="173"/>
      <c r="AO360" s="173"/>
      <c r="AP360" s="173"/>
      <c r="AQ360" s="173"/>
      <c r="AR360" s="173"/>
      <c r="AS360" s="173"/>
      <c r="AT360" s="173"/>
      <c r="AU360" s="173"/>
      <c r="AV360" s="173"/>
    </row>
    <row r="361" spans="1:48" ht="14.25">
      <c r="A361" s="240"/>
      <c r="B361" s="371">
        <v>3</v>
      </c>
      <c r="C361" s="372" t="s">
        <v>875</v>
      </c>
      <c r="D361" s="373" t="s">
        <v>68</v>
      </c>
      <c r="E361" s="373" t="s">
        <v>77</v>
      </c>
      <c r="F361" s="373" t="s">
        <v>16</v>
      </c>
      <c r="G361" s="374">
        <v>2</v>
      </c>
      <c r="H361" s="374">
        <v>0</v>
      </c>
      <c r="I361" s="375">
        <v>1</v>
      </c>
      <c r="J361" s="375">
        <v>1</v>
      </c>
      <c r="K361" s="269" t="s">
        <v>146</v>
      </c>
      <c r="L361" s="269"/>
      <c r="M361" s="269"/>
      <c r="N361" s="269"/>
      <c r="O361" s="376" t="s">
        <v>876</v>
      </c>
      <c r="P361" s="313"/>
      <c r="Q361" s="373" t="s">
        <v>148</v>
      </c>
      <c r="R361" s="173"/>
      <c r="S361" s="195">
        <f>MATCH($D361,Reference!$J$5:$J$9,0)</f>
        <v>3</v>
      </c>
      <c r="T361" s="195">
        <f>MATCH($E361,Reference!$J$26:$J$32,0)</f>
        <v>2</v>
      </c>
      <c r="U361" s="195">
        <f>MATCH($F361,Reference!$J$45:$J$54,0)</f>
        <v>4</v>
      </c>
      <c r="V361" s="196">
        <f>MATCH($K361,Reference!$J$37:$J$39,0)</f>
        <v>2</v>
      </c>
      <c r="W361" s="197">
        <f t="shared" si="568"/>
        <v>2</v>
      </c>
      <c r="X361" s="197">
        <f t="shared" si="1"/>
        <v>1</v>
      </c>
      <c r="Y361" s="197">
        <f t="shared" si="569"/>
        <v>0</v>
      </c>
      <c r="Z361" s="197">
        <f t="shared" si="570"/>
        <v>2</v>
      </c>
      <c r="AA361" s="199" t="b">
        <f t="shared" si="3"/>
        <v>0</v>
      </c>
      <c r="AB361" s="199" t="b">
        <f t="shared" si="4"/>
        <v>0</v>
      </c>
      <c r="AC361" s="200">
        <f t="shared" ref="AC361:AD361" si="604">1-I361</f>
        <v>0</v>
      </c>
      <c r="AD361" s="200">
        <f t="shared" si="604"/>
        <v>0</v>
      </c>
      <c r="AE361" s="199">
        <f t="shared" si="6"/>
        <v>2</v>
      </c>
      <c r="AF361" s="201">
        <f t="shared" si="572"/>
        <v>0</v>
      </c>
      <c r="AG361" s="201">
        <f t="shared" si="8"/>
        <v>1</v>
      </c>
      <c r="AH361" s="202">
        <f t="shared" si="573"/>
        <v>0</v>
      </c>
      <c r="AI361" s="205"/>
      <c r="AJ361" s="173"/>
      <c r="AK361" s="173"/>
      <c r="AL361" s="173"/>
      <c r="AM361" s="173"/>
      <c r="AN361" s="173"/>
      <c r="AO361" s="173"/>
      <c r="AP361" s="173"/>
      <c r="AQ361" s="173"/>
      <c r="AR361" s="173"/>
      <c r="AS361" s="173"/>
      <c r="AT361" s="173"/>
      <c r="AU361" s="173"/>
      <c r="AV361" s="173"/>
    </row>
    <row r="362" spans="1:48" ht="14.25">
      <c r="A362" s="240"/>
      <c r="B362" s="371">
        <v>3</v>
      </c>
      <c r="C362" s="372" t="s">
        <v>877</v>
      </c>
      <c r="D362" s="373" t="s">
        <v>68</v>
      </c>
      <c r="E362" s="373" t="s">
        <v>77</v>
      </c>
      <c r="F362" s="373" t="s">
        <v>11</v>
      </c>
      <c r="G362" s="374">
        <v>2</v>
      </c>
      <c r="H362" s="377">
        <v>0</v>
      </c>
      <c r="I362" s="375">
        <v>1</v>
      </c>
      <c r="J362" s="375">
        <v>1</v>
      </c>
      <c r="K362" s="269" t="s">
        <v>207</v>
      </c>
      <c r="L362" s="269"/>
      <c r="M362" s="269">
        <v>3</v>
      </c>
      <c r="N362" s="269">
        <v>2</v>
      </c>
      <c r="O362" s="376" t="s">
        <v>878</v>
      </c>
      <c r="P362" s="313"/>
      <c r="Q362" s="373" t="s">
        <v>148</v>
      </c>
      <c r="R362" s="173"/>
      <c r="S362" s="195">
        <f>MATCH($D362,Reference!$J$5:$J$9,0)</f>
        <v>3</v>
      </c>
      <c r="T362" s="195">
        <f>MATCH($E362,Reference!$J$26:$J$32,0)</f>
        <v>2</v>
      </c>
      <c r="U362" s="195">
        <f>MATCH($F362,Reference!$J$45:$J$54,0)</f>
        <v>2</v>
      </c>
      <c r="V362" s="196">
        <f>MATCH($K362,Reference!$J$37:$J$39,0)</f>
        <v>1</v>
      </c>
      <c r="W362" s="197">
        <f t="shared" si="568"/>
        <v>2</v>
      </c>
      <c r="X362" s="197">
        <f t="shared" si="1"/>
        <v>1</v>
      </c>
      <c r="Y362" s="197">
        <f t="shared" si="569"/>
        <v>0</v>
      </c>
      <c r="Z362" s="197">
        <f t="shared" si="570"/>
        <v>2</v>
      </c>
      <c r="AA362" s="199" t="b">
        <f t="shared" si="3"/>
        <v>0</v>
      </c>
      <c r="AB362" s="199" t="b">
        <f t="shared" si="4"/>
        <v>0</v>
      </c>
      <c r="AC362" s="200">
        <f t="shared" ref="AC362:AD362" si="605">1-I362</f>
        <v>0</v>
      </c>
      <c r="AD362" s="200">
        <f t="shared" si="605"/>
        <v>0</v>
      </c>
      <c r="AE362" s="199">
        <f t="shared" si="6"/>
        <v>2</v>
      </c>
      <c r="AF362" s="201">
        <f t="shared" si="572"/>
        <v>0</v>
      </c>
      <c r="AG362" s="201">
        <f t="shared" si="8"/>
        <v>1</v>
      </c>
      <c r="AH362" s="202">
        <f t="shared" si="573"/>
        <v>0</v>
      </c>
      <c r="AI362" s="205"/>
      <c r="AJ362" s="173"/>
      <c r="AK362" s="173"/>
      <c r="AL362" s="173"/>
      <c r="AM362" s="173"/>
      <c r="AN362" s="173"/>
      <c r="AO362" s="173"/>
      <c r="AP362" s="173"/>
      <c r="AQ362" s="173"/>
      <c r="AR362" s="173"/>
      <c r="AS362" s="173"/>
      <c r="AT362" s="173"/>
      <c r="AU362" s="173"/>
      <c r="AV362" s="173"/>
    </row>
    <row r="363" spans="1:48" ht="14.25">
      <c r="A363" s="209"/>
      <c r="B363" s="371">
        <v>3</v>
      </c>
      <c r="C363" s="372" t="s">
        <v>879</v>
      </c>
      <c r="D363" s="373" t="s">
        <v>68</v>
      </c>
      <c r="E363" s="373" t="s">
        <v>77</v>
      </c>
      <c r="F363" s="373" t="s">
        <v>115</v>
      </c>
      <c r="G363" s="374">
        <v>2</v>
      </c>
      <c r="H363" s="374">
        <v>0</v>
      </c>
      <c r="I363" s="375">
        <v>0</v>
      </c>
      <c r="J363" s="375">
        <v>0</v>
      </c>
      <c r="K363" s="269" t="s">
        <v>182</v>
      </c>
      <c r="L363" s="269" t="s">
        <v>230</v>
      </c>
      <c r="M363" s="269">
        <v>2</v>
      </c>
      <c r="N363" s="269">
        <v>3</v>
      </c>
      <c r="O363" s="376" t="s">
        <v>880</v>
      </c>
      <c r="P363" s="313"/>
      <c r="Q363" s="373" t="s">
        <v>148</v>
      </c>
      <c r="R363" s="173"/>
      <c r="S363" s="195">
        <f>MATCH($D363,Reference!$J$5:$J$9,0)</f>
        <v>3</v>
      </c>
      <c r="T363" s="195">
        <f>MATCH($E363,Reference!$J$26:$J$32,0)</f>
        <v>2</v>
      </c>
      <c r="U363" s="195">
        <f>MATCH($F363,Reference!$J$45:$J$54,0)</f>
        <v>10</v>
      </c>
      <c r="V363" s="196">
        <f>MATCH($K363,Reference!$J$37:$J$39,0)</f>
        <v>3</v>
      </c>
      <c r="W363" s="197">
        <f t="shared" si="568"/>
        <v>2</v>
      </c>
      <c r="X363" s="197">
        <f t="shared" si="1"/>
        <v>1</v>
      </c>
      <c r="Y363" s="197">
        <f t="shared" si="569"/>
        <v>0</v>
      </c>
      <c r="Z363" s="197">
        <f t="shared" si="570"/>
        <v>2</v>
      </c>
      <c r="AA363" s="199" t="b">
        <f t="shared" si="3"/>
        <v>0</v>
      </c>
      <c r="AB363" s="199" t="b">
        <f t="shared" si="4"/>
        <v>0</v>
      </c>
      <c r="AC363" s="200">
        <f t="shared" ref="AC363:AD363" si="606">1-I363</f>
        <v>1</v>
      </c>
      <c r="AD363" s="200">
        <f t="shared" si="606"/>
        <v>1</v>
      </c>
      <c r="AE363" s="199">
        <f t="shared" si="6"/>
        <v>2</v>
      </c>
      <c r="AF363" s="201">
        <f t="shared" si="572"/>
        <v>0</v>
      </c>
      <c r="AG363" s="201">
        <f t="shared" si="8"/>
        <v>1</v>
      </c>
      <c r="AH363" s="202">
        <f t="shared" si="573"/>
        <v>0</v>
      </c>
      <c r="AI363" s="205"/>
      <c r="AJ363" s="173"/>
      <c r="AK363" s="173"/>
      <c r="AL363" s="173"/>
      <c r="AM363" s="173"/>
      <c r="AN363" s="173"/>
      <c r="AO363" s="173"/>
      <c r="AP363" s="173"/>
      <c r="AQ363" s="173"/>
      <c r="AR363" s="173"/>
      <c r="AS363" s="173"/>
      <c r="AT363" s="173"/>
      <c r="AU363" s="173"/>
      <c r="AV363" s="173"/>
    </row>
    <row r="364" spans="1:48" ht="14.25">
      <c r="A364" s="206"/>
      <c r="B364" s="371">
        <v>3</v>
      </c>
      <c r="C364" s="372" t="s">
        <v>881</v>
      </c>
      <c r="D364" s="373" t="s">
        <v>68</v>
      </c>
      <c r="E364" s="373" t="s">
        <v>77</v>
      </c>
      <c r="F364" s="373" t="s">
        <v>25</v>
      </c>
      <c r="G364" s="374">
        <v>2</v>
      </c>
      <c r="H364" s="374">
        <v>0</v>
      </c>
      <c r="I364" s="375">
        <v>0</v>
      </c>
      <c r="J364" s="375">
        <v>0</v>
      </c>
      <c r="K364" s="269" t="s">
        <v>182</v>
      </c>
      <c r="L364" s="269" t="s">
        <v>239</v>
      </c>
      <c r="M364" s="269">
        <v>3</v>
      </c>
      <c r="N364" s="269">
        <v>5</v>
      </c>
      <c r="O364" s="376" t="s">
        <v>882</v>
      </c>
      <c r="P364" s="313" t="s">
        <v>193</v>
      </c>
      <c r="Q364" s="373" t="s">
        <v>148</v>
      </c>
      <c r="R364" s="173"/>
      <c r="S364" s="195">
        <f>MATCH($D364,Reference!$J$5:$J$9,0)</f>
        <v>3</v>
      </c>
      <c r="T364" s="195">
        <f>MATCH($E364,Reference!$J$26:$J$32,0)</f>
        <v>2</v>
      </c>
      <c r="U364" s="195">
        <f>MATCH($F364,Reference!$J$45:$J$54,0)</f>
        <v>8</v>
      </c>
      <c r="V364" s="196">
        <f>MATCH($K364,Reference!$J$37:$J$39,0)</f>
        <v>3</v>
      </c>
      <c r="W364" s="197">
        <f t="shared" si="568"/>
        <v>2</v>
      </c>
      <c r="X364" s="197">
        <f t="shared" si="1"/>
        <v>1</v>
      </c>
      <c r="Y364" s="197">
        <f t="shared" si="569"/>
        <v>0</v>
      </c>
      <c r="Z364" s="197">
        <f t="shared" si="570"/>
        <v>2</v>
      </c>
      <c r="AA364" s="199" t="b">
        <f t="shared" si="3"/>
        <v>0</v>
      </c>
      <c r="AB364" s="199" t="b">
        <f t="shared" si="4"/>
        <v>0</v>
      </c>
      <c r="AC364" s="200">
        <f t="shared" ref="AC364:AD364" si="607">1-I364</f>
        <v>1</v>
      </c>
      <c r="AD364" s="200">
        <f t="shared" si="607"/>
        <v>1</v>
      </c>
      <c r="AE364" s="199">
        <f t="shared" si="6"/>
        <v>2</v>
      </c>
      <c r="AF364" s="201">
        <f t="shared" si="572"/>
        <v>0</v>
      </c>
      <c r="AG364" s="201">
        <f t="shared" si="8"/>
        <v>1</v>
      </c>
      <c r="AH364" s="202">
        <f t="shared" si="573"/>
        <v>0</v>
      </c>
      <c r="AI364" s="205"/>
      <c r="AJ364" s="173"/>
      <c r="AK364" s="173"/>
      <c r="AL364" s="173"/>
      <c r="AM364" s="173"/>
      <c r="AN364" s="173"/>
      <c r="AO364" s="173"/>
      <c r="AP364" s="173"/>
      <c r="AQ364" s="173"/>
      <c r="AR364" s="173"/>
      <c r="AS364" s="173"/>
      <c r="AT364" s="173"/>
      <c r="AU364" s="173"/>
      <c r="AV364" s="173"/>
    </row>
    <row r="365" spans="1:48" ht="14.25">
      <c r="A365" s="240"/>
      <c r="B365" s="371">
        <v>3</v>
      </c>
      <c r="C365" s="372" t="s">
        <v>883</v>
      </c>
      <c r="D365" s="373" t="s">
        <v>68</v>
      </c>
      <c r="E365" s="373" t="s">
        <v>77</v>
      </c>
      <c r="F365" s="373" t="s">
        <v>21</v>
      </c>
      <c r="G365" s="374">
        <v>2</v>
      </c>
      <c r="H365" s="374">
        <v>0</v>
      </c>
      <c r="I365" s="375">
        <v>0.66</v>
      </c>
      <c r="J365" s="375">
        <v>0.66</v>
      </c>
      <c r="K365" s="269" t="s">
        <v>146</v>
      </c>
      <c r="L365" s="269"/>
      <c r="M365" s="269"/>
      <c r="N365" s="269"/>
      <c r="O365" s="376" t="s">
        <v>884</v>
      </c>
      <c r="P365" s="313"/>
      <c r="Q365" s="373" t="s">
        <v>148</v>
      </c>
      <c r="R365" s="173"/>
      <c r="S365" s="195">
        <f>MATCH($D365,Reference!$J$5:$J$9,0)</f>
        <v>3</v>
      </c>
      <c r="T365" s="195">
        <f>MATCH($E365,Reference!$J$26:$J$32,0)</f>
        <v>2</v>
      </c>
      <c r="U365" s="195">
        <f>MATCH($F365,Reference!$J$45:$J$54,0)</f>
        <v>7</v>
      </c>
      <c r="V365" s="196">
        <f>MATCH($K365,Reference!$J$37:$J$39,0)</f>
        <v>2</v>
      </c>
      <c r="W365" s="197">
        <f t="shared" si="568"/>
        <v>2</v>
      </c>
      <c r="X365" s="197">
        <f t="shared" si="1"/>
        <v>1</v>
      </c>
      <c r="Y365" s="197">
        <f t="shared" si="569"/>
        <v>0</v>
      </c>
      <c r="Z365" s="197">
        <f t="shared" si="570"/>
        <v>2</v>
      </c>
      <c r="AA365" s="199" t="b">
        <f t="shared" si="3"/>
        <v>0</v>
      </c>
      <c r="AB365" s="199" t="b">
        <f t="shared" si="4"/>
        <v>0</v>
      </c>
      <c r="AC365" s="200">
        <f t="shared" ref="AC365:AD365" si="608">1-I365</f>
        <v>0.33999999999999997</v>
      </c>
      <c r="AD365" s="200">
        <f t="shared" si="608"/>
        <v>0.33999999999999997</v>
      </c>
      <c r="AE365" s="199">
        <f t="shared" si="6"/>
        <v>2</v>
      </c>
      <c r="AF365" s="201">
        <f t="shared" si="572"/>
        <v>0</v>
      </c>
      <c r="AG365" s="201">
        <f t="shared" si="8"/>
        <v>1</v>
      </c>
      <c r="AH365" s="202">
        <f t="shared" si="573"/>
        <v>0</v>
      </c>
      <c r="AI365" s="205"/>
      <c r="AJ365" s="173"/>
      <c r="AK365" s="173"/>
      <c r="AL365" s="173"/>
      <c r="AM365" s="173"/>
      <c r="AN365" s="173"/>
      <c r="AO365" s="173"/>
      <c r="AP365" s="173"/>
      <c r="AQ365" s="173"/>
      <c r="AR365" s="173"/>
      <c r="AS365" s="173"/>
      <c r="AT365" s="173"/>
      <c r="AU365" s="173"/>
      <c r="AV365" s="173"/>
    </row>
    <row r="366" spans="1:48" ht="14.25">
      <c r="A366" s="370"/>
      <c r="B366" s="371">
        <v>3</v>
      </c>
      <c r="C366" s="372" t="s">
        <v>885</v>
      </c>
      <c r="D366" s="373" t="s">
        <v>68</v>
      </c>
      <c r="E366" s="373" t="s">
        <v>77</v>
      </c>
      <c r="F366" s="373" t="s">
        <v>26</v>
      </c>
      <c r="G366" s="374">
        <v>2</v>
      </c>
      <c r="H366" s="374">
        <v>0</v>
      </c>
      <c r="I366" s="375">
        <v>1</v>
      </c>
      <c r="J366" s="375">
        <v>1</v>
      </c>
      <c r="K366" s="269" t="s">
        <v>182</v>
      </c>
      <c r="L366" s="269"/>
      <c r="M366" s="269">
        <v>2</v>
      </c>
      <c r="N366" s="269">
        <v>4</v>
      </c>
      <c r="O366" s="376" t="s">
        <v>886</v>
      </c>
      <c r="P366" s="313" t="s">
        <v>545</v>
      </c>
      <c r="Q366" s="373" t="s">
        <v>148</v>
      </c>
      <c r="R366" s="173"/>
      <c r="S366" s="195">
        <f>MATCH($D366,Reference!$J$5:$J$9,0)</f>
        <v>3</v>
      </c>
      <c r="T366" s="195">
        <f>MATCH($E366,Reference!$J$26:$J$32,0)</f>
        <v>2</v>
      </c>
      <c r="U366" s="195">
        <f>MATCH($F366,Reference!$J$45:$J$54,0)</f>
        <v>9</v>
      </c>
      <c r="V366" s="196">
        <f>MATCH($K366,Reference!$J$37:$J$39,0)</f>
        <v>3</v>
      </c>
      <c r="W366" s="197">
        <f t="shared" si="568"/>
        <v>2</v>
      </c>
      <c r="X366" s="197">
        <f t="shared" si="1"/>
        <v>1</v>
      </c>
      <c r="Y366" s="197">
        <f t="shared" si="569"/>
        <v>0</v>
      </c>
      <c r="Z366" s="197">
        <f t="shared" si="570"/>
        <v>2</v>
      </c>
      <c r="AA366" s="199" t="b">
        <f t="shared" si="3"/>
        <v>0</v>
      </c>
      <c r="AB366" s="199" t="b">
        <f t="shared" si="4"/>
        <v>0</v>
      </c>
      <c r="AC366" s="200">
        <f t="shared" ref="AC366:AD366" si="609">1-I366</f>
        <v>0</v>
      </c>
      <c r="AD366" s="200">
        <f t="shared" si="609"/>
        <v>0</v>
      </c>
      <c r="AE366" s="199">
        <f t="shared" si="6"/>
        <v>2</v>
      </c>
      <c r="AF366" s="201">
        <f t="shared" si="572"/>
        <v>0</v>
      </c>
      <c r="AG366" s="201">
        <f t="shared" si="8"/>
        <v>1</v>
      </c>
      <c r="AH366" s="202">
        <f t="shared" si="573"/>
        <v>0</v>
      </c>
      <c r="AI366" s="205"/>
      <c r="AJ366" s="173"/>
      <c r="AK366" s="173"/>
      <c r="AL366" s="173"/>
      <c r="AM366" s="173"/>
      <c r="AN366" s="173"/>
      <c r="AO366" s="173"/>
      <c r="AP366" s="173"/>
      <c r="AQ366" s="173"/>
      <c r="AR366" s="173"/>
      <c r="AS366" s="173"/>
      <c r="AT366" s="173"/>
      <c r="AU366" s="173"/>
      <c r="AV366" s="173"/>
    </row>
    <row r="367" spans="1:48" ht="14.25">
      <c r="A367" s="206"/>
      <c r="B367" s="371">
        <v>3</v>
      </c>
      <c r="C367" s="372" t="s">
        <v>887</v>
      </c>
      <c r="D367" s="373" t="s">
        <v>68</v>
      </c>
      <c r="E367" s="373" t="s">
        <v>77</v>
      </c>
      <c r="F367" s="373" t="s">
        <v>20</v>
      </c>
      <c r="G367" s="374">
        <v>2</v>
      </c>
      <c r="H367" s="374">
        <v>0</v>
      </c>
      <c r="I367" s="375">
        <v>0.33</v>
      </c>
      <c r="J367" s="375">
        <v>0</v>
      </c>
      <c r="K367" s="269" t="s">
        <v>146</v>
      </c>
      <c r="L367" s="269"/>
      <c r="M367" s="269"/>
      <c r="N367" s="269"/>
      <c r="O367" s="376" t="s">
        <v>888</v>
      </c>
      <c r="P367" s="313"/>
      <c r="Q367" s="373" t="s">
        <v>148</v>
      </c>
      <c r="R367" s="173"/>
      <c r="S367" s="195">
        <f>MATCH($D367,Reference!$J$5:$J$9,0)</f>
        <v>3</v>
      </c>
      <c r="T367" s="195">
        <f>MATCH($E367,Reference!$J$26:$J$32,0)</f>
        <v>2</v>
      </c>
      <c r="U367" s="195">
        <f>MATCH($F367,Reference!$J$45:$J$54,0)</f>
        <v>6</v>
      </c>
      <c r="V367" s="196">
        <f>MATCH($K367,Reference!$J$37:$J$39,0)</f>
        <v>2</v>
      </c>
      <c r="W367" s="197">
        <f t="shared" si="568"/>
        <v>2</v>
      </c>
      <c r="X367" s="197">
        <f t="shared" si="1"/>
        <v>1</v>
      </c>
      <c r="Y367" s="197">
        <f t="shared" si="569"/>
        <v>0</v>
      </c>
      <c r="Z367" s="197">
        <f t="shared" si="570"/>
        <v>2</v>
      </c>
      <c r="AA367" s="199" t="b">
        <f t="shared" si="3"/>
        <v>0</v>
      </c>
      <c r="AB367" s="199" t="b">
        <f t="shared" si="4"/>
        <v>0</v>
      </c>
      <c r="AC367" s="200">
        <f t="shared" ref="AC367:AD367" si="610">1-I367</f>
        <v>0.66999999999999993</v>
      </c>
      <c r="AD367" s="200">
        <f t="shared" si="610"/>
        <v>1</v>
      </c>
      <c r="AE367" s="199">
        <f t="shared" si="6"/>
        <v>2</v>
      </c>
      <c r="AF367" s="201">
        <f t="shared" si="572"/>
        <v>0</v>
      </c>
      <c r="AG367" s="201">
        <f t="shared" si="8"/>
        <v>1</v>
      </c>
      <c r="AH367" s="202">
        <f t="shared" si="573"/>
        <v>0</v>
      </c>
      <c r="AI367" s="205"/>
      <c r="AJ367" s="173"/>
      <c r="AK367" s="173"/>
      <c r="AL367" s="173"/>
      <c r="AM367" s="173"/>
      <c r="AN367" s="173"/>
      <c r="AO367" s="173"/>
      <c r="AP367" s="173"/>
      <c r="AQ367" s="173"/>
      <c r="AR367" s="173"/>
      <c r="AS367" s="173"/>
      <c r="AT367" s="173"/>
      <c r="AU367" s="173"/>
      <c r="AV367" s="173"/>
    </row>
    <row r="368" spans="1:48" ht="14.25">
      <c r="A368" s="209"/>
      <c r="B368" s="371">
        <v>3</v>
      </c>
      <c r="C368" s="372" t="s">
        <v>889</v>
      </c>
      <c r="D368" s="373" t="s">
        <v>68</v>
      </c>
      <c r="E368" s="373" t="s">
        <v>77</v>
      </c>
      <c r="F368" s="373" t="s">
        <v>115</v>
      </c>
      <c r="G368" s="374">
        <v>2</v>
      </c>
      <c r="H368" s="374">
        <v>0</v>
      </c>
      <c r="I368" s="375">
        <v>0.33</v>
      </c>
      <c r="J368" s="375">
        <v>0.33</v>
      </c>
      <c r="K368" s="269" t="s">
        <v>182</v>
      </c>
      <c r="L368" s="269"/>
      <c r="M368" s="269">
        <v>1</v>
      </c>
      <c r="N368" s="269">
        <v>5</v>
      </c>
      <c r="O368" s="376" t="s">
        <v>890</v>
      </c>
      <c r="P368" s="313"/>
      <c r="Q368" s="373" t="s">
        <v>148</v>
      </c>
      <c r="R368" s="173"/>
      <c r="S368" s="195">
        <f>MATCH($D368,Reference!$J$5:$J$9,0)</f>
        <v>3</v>
      </c>
      <c r="T368" s="195">
        <f>MATCH($E368,Reference!$J$26:$J$32,0)</f>
        <v>2</v>
      </c>
      <c r="U368" s="195">
        <f>MATCH($F368,Reference!$J$45:$J$54,0)</f>
        <v>10</v>
      </c>
      <c r="V368" s="196">
        <f>MATCH($K368,Reference!$J$37:$J$39,0)</f>
        <v>3</v>
      </c>
      <c r="W368" s="197">
        <f t="shared" si="568"/>
        <v>2</v>
      </c>
      <c r="X368" s="197">
        <f t="shared" si="1"/>
        <v>1</v>
      </c>
      <c r="Y368" s="197">
        <f t="shared" si="569"/>
        <v>0</v>
      </c>
      <c r="Z368" s="197">
        <f t="shared" si="570"/>
        <v>2</v>
      </c>
      <c r="AA368" s="199" t="b">
        <f t="shared" si="3"/>
        <v>0</v>
      </c>
      <c r="AB368" s="199" t="b">
        <f t="shared" si="4"/>
        <v>0</v>
      </c>
      <c r="AC368" s="200">
        <f t="shared" ref="AC368:AD368" si="611">1-I368</f>
        <v>0.66999999999999993</v>
      </c>
      <c r="AD368" s="200">
        <f t="shared" si="611"/>
        <v>0.66999999999999993</v>
      </c>
      <c r="AE368" s="199">
        <f t="shared" si="6"/>
        <v>2</v>
      </c>
      <c r="AF368" s="201">
        <f t="shared" si="572"/>
        <v>0</v>
      </c>
      <c r="AG368" s="201">
        <f t="shared" si="8"/>
        <v>1</v>
      </c>
      <c r="AH368" s="202">
        <f t="shared" si="573"/>
        <v>0</v>
      </c>
      <c r="AI368" s="205"/>
      <c r="AJ368" s="173"/>
      <c r="AK368" s="173"/>
      <c r="AL368" s="173"/>
      <c r="AM368" s="173"/>
      <c r="AN368" s="173"/>
      <c r="AO368" s="173"/>
      <c r="AP368" s="173"/>
      <c r="AQ368" s="173"/>
      <c r="AR368" s="173"/>
      <c r="AS368" s="173"/>
      <c r="AT368" s="173"/>
      <c r="AU368" s="173"/>
      <c r="AV368" s="173"/>
    </row>
    <row r="369" spans="1:48" ht="14.25">
      <c r="A369" s="206"/>
      <c r="B369" s="371">
        <v>3</v>
      </c>
      <c r="C369" s="372" t="s">
        <v>891</v>
      </c>
      <c r="D369" s="373" t="s">
        <v>68</v>
      </c>
      <c r="E369" s="373" t="s">
        <v>77</v>
      </c>
      <c r="F369" s="373" t="s">
        <v>115</v>
      </c>
      <c r="G369" s="374">
        <v>2</v>
      </c>
      <c r="H369" s="374">
        <v>0</v>
      </c>
      <c r="I369" s="375">
        <v>0.66</v>
      </c>
      <c r="J369" s="375">
        <v>0.66</v>
      </c>
      <c r="K369" s="269" t="s">
        <v>182</v>
      </c>
      <c r="L369" s="269"/>
      <c r="M369" s="269">
        <v>4</v>
      </c>
      <c r="N369" s="269">
        <v>7</v>
      </c>
      <c r="O369" s="376" t="s">
        <v>892</v>
      </c>
      <c r="P369" s="313" t="s">
        <v>184</v>
      </c>
      <c r="Q369" s="373" t="s">
        <v>148</v>
      </c>
      <c r="R369" s="173"/>
      <c r="S369" s="195">
        <f>MATCH($D369,Reference!$J$5:$J$9,0)</f>
        <v>3</v>
      </c>
      <c r="T369" s="195">
        <f>MATCH($E369,Reference!$J$26:$J$32,0)</f>
        <v>2</v>
      </c>
      <c r="U369" s="195">
        <f>MATCH($F369,Reference!$J$45:$J$54,0)</f>
        <v>10</v>
      </c>
      <c r="V369" s="196">
        <f>MATCH($K369,Reference!$J$37:$J$39,0)</f>
        <v>3</v>
      </c>
      <c r="W369" s="197">
        <f t="shared" si="568"/>
        <v>2</v>
      </c>
      <c r="X369" s="197">
        <f t="shared" si="1"/>
        <v>1</v>
      </c>
      <c r="Y369" s="197">
        <f t="shared" si="569"/>
        <v>0</v>
      </c>
      <c r="Z369" s="197">
        <f t="shared" si="570"/>
        <v>2</v>
      </c>
      <c r="AA369" s="199" t="b">
        <f t="shared" si="3"/>
        <v>0</v>
      </c>
      <c r="AB369" s="199" t="b">
        <f t="shared" si="4"/>
        <v>0</v>
      </c>
      <c r="AC369" s="200">
        <f t="shared" ref="AC369:AD369" si="612">1-I369</f>
        <v>0.33999999999999997</v>
      </c>
      <c r="AD369" s="200">
        <f t="shared" si="612"/>
        <v>0.33999999999999997</v>
      </c>
      <c r="AE369" s="199">
        <f t="shared" si="6"/>
        <v>2</v>
      </c>
      <c r="AF369" s="201">
        <f t="shared" si="572"/>
        <v>0</v>
      </c>
      <c r="AG369" s="201">
        <f t="shared" si="8"/>
        <v>1</v>
      </c>
      <c r="AH369" s="202">
        <f t="shared" si="573"/>
        <v>0</v>
      </c>
      <c r="AI369" s="205"/>
      <c r="AJ369" s="173"/>
      <c r="AK369" s="173"/>
      <c r="AL369" s="173"/>
      <c r="AM369" s="173"/>
      <c r="AN369" s="173"/>
      <c r="AO369" s="173"/>
      <c r="AP369" s="173"/>
      <c r="AQ369" s="173"/>
      <c r="AR369" s="173"/>
      <c r="AS369" s="173"/>
      <c r="AT369" s="173"/>
      <c r="AU369" s="173"/>
      <c r="AV369" s="173"/>
    </row>
    <row r="370" spans="1:48" ht="14.25">
      <c r="A370" s="209"/>
      <c r="B370" s="371">
        <v>3</v>
      </c>
      <c r="C370" s="372" t="s">
        <v>893</v>
      </c>
      <c r="D370" s="373" t="s">
        <v>68</v>
      </c>
      <c r="E370" s="373" t="s">
        <v>77</v>
      </c>
      <c r="F370" s="373" t="s">
        <v>13</v>
      </c>
      <c r="G370" s="374">
        <v>2</v>
      </c>
      <c r="H370" s="374">
        <v>0</v>
      </c>
      <c r="I370" s="375">
        <v>0.66</v>
      </c>
      <c r="J370" s="375">
        <v>0.66</v>
      </c>
      <c r="K370" s="269" t="s">
        <v>182</v>
      </c>
      <c r="L370" s="269"/>
      <c r="M370" s="269">
        <v>4</v>
      </c>
      <c r="N370" s="269">
        <v>3</v>
      </c>
      <c r="O370" s="376" t="s">
        <v>894</v>
      </c>
      <c r="P370" s="313" t="s">
        <v>184</v>
      </c>
      <c r="Q370" s="373" t="s">
        <v>148</v>
      </c>
      <c r="R370" s="34"/>
      <c r="S370" s="195">
        <f>MATCH($D370,Reference!$J$5:$J$9,0)</f>
        <v>3</v>
      </c>
      <c r="T370" s="195">
        <f>MATCH($E370,Reference!$J$26:$J$32,0)</f>
        <v>2</v>
      </c>
      <c r="U370" s="195">
        <f>MATCH($F370,Reference!$J$45:$J$54,0)</f>
        <v>3</v>
      </c>
      <c r="V370" s="196">
        <f>MATCH($K370,Reference!$J$37:$J$39,0)</f>
        <v>3</v>
      </c>
      <c r="W370" s="197">
        <f t="shared" si="568"/>
        <v>2</v>
      </c>
      <c r="X370" s="197">
        <f t="shared" si="1"/>
        <v>1</v>
      </c>
      <c r="Y370" s="197">
        <f t="shared" si="569"/>
        <v>0</v>
      </c>
      <c r="Z370" s="197">
        <f t="shared" si="570"/>
        <v>2</v>
      </c>
      <c r="AA370" s="199" t="b">
        <f t="shared" si="3"/>
        <v>0</v>
      </c>
      <c r="AB370" s="199" t="b">
        <f t="shared" si="4"/>
        <v>0</v>
      </c>
      <c r="AC370" s="200">
        <f t="shared" ref="AC370:AD370" si="613">1-I370</f>
        <v>0.33999999999999997</v>
      </c>
      <c r="AD370" s="200">
        <f t="shared" si="613"/>
        <v>0.33999999999999997</v>
      </c>
      <c r="AE370" s="199">
        <f t="shared" si="6"/>
        <v>2</v>
      </c>
      <c r="AF370" s="201">
        <f t="shared" si="572"/>
        <v>0</v>
      </c>
      <c r="AG370" s="201">
        <f t="shared" si="8"/>
        <v>1</v>
      </c>
      <c r="AH370" s="202">
        <f t="shared" si="573"/>
        <v>0</v>
      </c>
      <c r="AI370" s="205"/>
      <c r="AJ370" s="173"/>
      <c r="AK370" s="173"/>
      <c r="AL370" s="173"/>
      <c r="AM370" s="173"/>
      <c r="AN370" s="173"/>
      <c r="AO370" s="173"/>
      <c r="AP370" s="173"/>
      <c r="AQ370" s="173"/>
      <c r="AR370" s="173"/>
      <c r="AS370" s="173"/>
      <c r="AT370" s="173"/>
      <c r="AU370" s="173"/>
      <c r="AV370" s="173"/>
    </row>
    <row r="371" spans="1:48" ht="14.25">
      <c r="A371" s="211"/>
      <c r="B371" s="371">
        <v>3</v>
      </c>
      <c r="C371" s="372" t="s">
        <v>895</v>
      </c>
      <c r="D371" s="373" t="s">
        <v>68</v>
      </c>
      <c r="E371" s="373" t="s">
        <v>77</v>
      </c>
      <c r="F371" s="373" t="s">
        <v>21</v>
      </c>
      <c r="G371" s="374">
        <v>2</v>
      </c>
      <c r="H371" s="374">
        <v>0</v>
      </c>
      <c r="I371" s="375">
        <v>0.66</v>
      </c>
      <c r="J371" s="375">
        <v>0.66</v>
      </c>
      <c r="K371" s="269" t="s">
        <v>146</v>
      </c>
      <c r="L371" s="269"/>
      <c r="M371" s="269"/>
      <c r="N371" s="269"/>
      <c r="O371" s="376" t="s">
        <v>896</v>
      </c>
      <c r="P371" s="313"/>
      <c r="Q371" s="373" t="s">
        <v>148</v>
      </c>
      <c r="R371" s="173"/>
      <c r="S371" s="195">
        <f>MATCH($D371,Reference!$J$5:$J$9,0)</f>
        <v>3</v>
      </c>
      <c r="T371" s="195">
        <f>MATCH($E371,Reference!$J$26:$J$32,0)</f>
        <v>2</v>
      </c>
      <c r="U371" s="195">
        <f>MATCH($F371,Reference!$J$45:$J$54,0)</f>
        <v>7</v>
      </c>
      <c r="V371" s="196">
        <f>MATCH($K371,Reference!$J$37:$J$39,0)</f>
        <v>2</v>
      </c>
      <c r="W371" s="197">
        <f t="shared" si="568"/>
        <v>2</v>
      </c>
      <c r="X371" s="197">
        <f t="shared" si="1"/>
        <v>1</v>
      </c>
      <c r="Y371" s="197">
        <f t="shared" si="569"/>
        <v>0</v>
      </c>
      <c r="Z371" s="197">
        <f t="shared" si="570"/>
        <v>2</v>
      </c>
      <c r="AA371" s="199" t="b">
        <f t="shared" si="3"/>
        <v>0</v>
      </c>
      <c r="AB371" s="199" t="b">
        <f t="shared" si="4"/>
        <v>0</v>
      </c>
      <c r="AC371" s="200">
        <f t="shared" ref="AC371:AD371" si="614">1-I371</f>
        <v>0.33999999999999997</v>
      </c>
      <c r="AD371" s="200">
        <f t="shared" si="614"/>
        <v>0.33999999999999997</v>
      </c>
      <c r="AE371" s="199">
        <f t="shared" si="6"/>
        <v>2</v>
      </c>
      <c r="AF371" s="201">
        <f t="shared" si="572"/>
        <v>0</v>
      </c>
      <c r="AG371" s="201">
        <f t="shared" si="8"/>
        <v>1</v>
      </c>
      <c r="AH371" s="202">
        <f t="shared" si="573"/>
        <v>0</v>
      </c>
      <c r="AI371" s="205"/>
      <c r="AJ371" s="173"/>
      <c r="AK371" s="173"/>
      <c r="AL371" s="173"/>
      <c r="AM371" s="173"/>
      <c r="AN371" s="173"/>
      <c r="AO371" s="173"/>
      <c r="AP371" s="173"/>
      <c r="AQ371" s="173"/>
      <c r="AR371" s="173"/>
      <c r="AS371" s="173"/>
      <c r="AT371" s="173"/>
      <c r="AU371" s="173"/>
      <c r="AV371" s="173"/>
    </row>
    <row r="372" spans="1:48" ht="14.25">
      <c r="A372" s="187"/>
      <c r="B372" s="371">
        <v>3</v>
      </c>
      <c r="C372" s="372" t="s">
        <v>897</v>
      </c>
      <c r="D372" s="373" t="s">
        <v>68</v>
      </c>
      <c r="E372" s="373" t="s">
        <v>77</v>
      </c>
      <c r="F372" s="373" t="s">
        <v>21</v>
      </c>
      <c r="G372" s="374">
        <v>2</v>
      </c>
      <c r="H372" s="374">
        <v>0</v>
      </c>
      <c r="I372" s="375">
        <v>1</v>
      </c>
      <c r="J372" s="375">
        <v>1</v>
      </c>
      <c r="K372" s="269" t="s">
        <v>146</v>
      </c>
      <c r="L372" s="269"/>
      <c r="M372" s="269"/>
      <c r="N372" s="269"/>
      <c r="O372" s="376" t="s">
        <v>898</v>
      </c>
      <c r="P372" s="313"/>
      <c r="Q372" s="373" t="s">
        <v>148</v>
      </c>
      <c r="R372" s="173"/>
      <c r="S372" s="195">
        <f>MATCH($D372,Reference!$J$5:$J$9,0)</f>
        <v>3</v>
      </c>
      <c r="T372" s="195">
        <f>MATCH($E372,Reference!$J$26:$J$32,0)</f>
        <v>2</v>
      </c>
      <c r="U372" s="195">
        <f>MATCH($F372,Reference!$J$45:$J$54,0)</f>
        <v>7</v>
      </c>
      <c r="V372" s="196">
        <f>MATCH($K372,Reference!$J$37:$J$39,0)</f>
        <v>2</v>
      </c>
      <c r="W372" s="197">
        <f t="shared" si="568"/>
        <v>2</v>
      </c>
      <c r="X372" s="197">
        <f t="shared" si="1"/>
        <v>1</v>
      </c>
      <c r="Y372" s="197">
        <f t="shared" si="569"/>
        <v>0</v>
      </c>
      <c r="Z372" s="197">
        <f t="shared" si="570"/>
        <v>2</v>
      </c>
      <c r="AA372" s="199" t="b">
        <f t="shared" si="3"/>
        <v>0</v>
      </c>
      <c r="AB372" s="199" t="b">
        <f t="shared" si="4"/>
        <v>0</v>
      </c>
      <c r="AC372" s="200">
        <f t="shared" ref="AC372:AD372" si="615">1-I372</f>
        <v>0</v>
      </c>
      <c r="AD372" s="200">
        <f t="shared" si="615"/>
        <v>0</v>
      </c>
      <c r="AE372" s="199">
        <f t="shared" si="6"/>
        <v>2</v>
      </c>
      <c r="AF372" s="201">
        <f t="shared" si="572"/>
        <v>0</v>
      </c>
      <c r="AG372" s="201">
        <f t="shared" si="8"/>
        <v>1</v>
      </c>
      <c r="AH372" s="202">
        <f t="shared" si="573"/>
        <v>0</v>
      </c>
      <c r="AI372" s="205"/>
      <c r="AJ372" s="173"/>
      <c r="AK372" s="173"/>
      <c r="AL372" s="173"/>
      <c r="AM372" s="173"/>
      <c r="AN372" s="173"/>
      <c r="AO372" s="173"/>
      <c r="AP372" s="173"/>
      <c r="AQ372" s="173"/>
      <c r="AR372" s="173"/>
      <c r="AS372" s="173"/>
      <c r="AT372" s="173"/>
      <c r="AU372" s="173"/>
      <c r="AV372" s="173"/>
    </row>
    <row r="373" spans="1:48" ht="14.25">
      <c r="A373" s="209"/>
      <c r="B373" s="371">
        <v>3</v>
      </c>
      <c r="C373" s="372" t="s">
        <v>899</v>
      </c>
      <c r="D373" s="373" t="s">
        <v>68</v>
      </c>
      <c r="E373" s="373" t="s">
        <v>77</v>
      </c>
      <c r="F373" s="373" t="s">
        <v>21</v>
      </c>
      <c r="G373" s="374">
        <v>1</v>
      </c>
      <c r="H373" s="374">
        <v>0</v>
      </c>
      <c r="I373" s="375">
        <v>1</v>
      </c>
      <c r="J373" s="375">
        <v>1</v>
      </c>
      <c r="K373" s="373" t="s">
        <v>182</v>
      </c>
      <c r="L373" s="373" t="s">
        <v>257</v>
      </c>
      <c r="M373" s="378">
        <v>0</v>
      </c>
      <c r="N373" s="379">
        <v>3</v>
      </c>
      <c r="O373" s="376" t="s">
        <v>900</v>
      </c>
      <c r="P373" s="313"/>
      <c r="Q373" s="373" t="s">
        <v>148</v>
      </c>
      <c r="R373" s="173"/>
      <c r="S373" s="195">
        <f>MATCH($D373,Reference!$J$5:$J$9,0)</f>
        <v>3</v>
      </c>
      <c r="T373" s="195">
        <f>MATCH($E373,Reference!$J$26:$J$32,0)</f>
        <v>2</v>
      </c>
      <c r="U373" s="195">
        <f>MATCH($F373,Reference!$J$45:$J$54,0)</f>
        <v>7</v>
      </c>
      <c r="V373" s="196">
        <f>MATCH($K373,Reference!$J$37:$J$39,0)</f>
        <v>3</v>
      </c>
      <c r="W373" s="197">
        <f t="shared" si="568"/>
        <v>1</v>
      </c>
      <c r="X373" s="197">
        <f t="shared" si="1"/>
        <v>1</v>
      </c>
      <c r="Y373" s="197">
        <f t="shared" si="569"/>
        <v>0</v>
      </c>
      <c r="Z373" s="197">
        <f t="shared" si="570"/>
        <v>1</v>
      </c>
      <c r="AA373" s="199" t="b">
        <f t="shared" si="3"/>
        <v>0</v>
      </c>
      <c r="AB373" s="199" t="b">
        <f t="shared" si="4"/>
        <v>1</v>
      </c>
      <c r="AC373" s="200">
        <f t="shared" ref="AC373:AD373" si="616">1-I373</f>
        <v>0</v>
      </c>
      <c r="AD373" s="200">
        <f t="shared" si="616"/>
        <v>0</v>
      </c>
      <c r="AE373" s="199">
        <f t="shared" si="6"/>
        <v>1</v>
      </c>
      <c r="AF373" s="201">
        <f t="shared" si="572"/>
        <v>0</v>
      </c>
      <c r="AG373" s="201">
        <f t="shared" si="8"/>
        <v>1</v>
      </c>
      <c r="AH373" s="202">
        <f t="shared" si="573"/>
        <v>0</v>
      </c>
      <c r="AI373" s="205"/>
      <c r="AJ373" s="173"/>
      <c r="AK373" s="173"/>
      <c r="AL373" s="173"/>
      <c r="AM373" s="173"/>
      <c r="AN373" s="173"/>
      <c r="AO373" s="173"/>
      <c r="AP373" s="173"/>
      <c r="AQ373" s="173"/>
      <c r="AR373" s="173"/>
      <c r="AS373" s="173"/>
      <c r="AT373" s="173"/>
      <c r="AU373" s="173"/>
      <c r="AV373" s="173"/>
    </row>
    <row r="374" spans="1:48" ht="14.25">
      <c r="A374" s="240"/>
      <c r="B374" s="371">
        <v>3</v>
      </c>
      <c r="C374" s="372" t="s">
        <v>901</v>
      </c>
      <c r="D374" s="373" t="s">
        <v>68</v>
      </c>
      <c r="E374" s="373" t="s">
        <v>77</v>
      </c>
      <c r="F374" s="373" t="s">
        <v>115</v>
      </c>
      <c r="G374" s="374">
        <v>2</v>
      </c>
      <c r="H374" s="374">
        <v>0</v>
      </c>
      <c r="I374" s="375">
        <v>1</v>
      </c>
      <c r="J374" s="375">
        <v>0.33</v>
      </c>
      <c r="K374" s="373" t="s">
        <v>182</v>
      </c>
      <c r="L374" s="373"/>
      <c r="M374" s="378">
        <v>3</v>
      </c>
      <c r="N374" s="379">
        <v>3</v>
      </c>
      <c r="O374" s="376" t="s">
        <v>902</v>
      </c>
      <c r="P374" s="313" t="s">
        <v>184</v>
      </c>
      <c r="Q374" s="373" t="s">
        <v>148</v>
      </c>
      <c r="R374" s="173"/>
      <c r="S374" s="195">
        <f>MATCH($D374,Reference!$J$5:$J$9,0)</f>
        <v>3</v>
      </c>
      <c r="T374" s="195">
        <f>MATCH($E374,Reference!$J$26:$J$32,0)</f>
        <v>2</v>
      </c>
      <c r="U374" s="195">
        <f>MATCH($F374,Reference!$J$45:$J$54,0)</f>
        <v>10</v>
      </c>
      <c r="V374" s="196">
        <f>MATCH($K374,Reference!$J$37:$J$39,0)</f>
        <v>3</v>
      </c>
      <c r="W374" s="197">
        <f t="shared" si="568"/>
        <v>2</v>
      </c>
      <c r="X374" s="197">
        <f t="shared" si="1"/>
        <v>1</v>
      </c>
      <c r="Y374" s="197">
        <f t="shared" si="569"/>
        <v>0</v>
      </c>
      <c r="Z374" s="197">
        <f t="shared" si="570"/>
        <v>2</v>
      </c>
      <c r="AA374" s="199" t="b">
        <f t="shared" si="3"/>
        <v>0</v>
      </c>
      <c r="AB374" s="199" t="b">
        <f t="shared" si="4"/>
        <v>0</v>
      </c>
      <c r="AC374" s="200">
        <f t="shared" ref="AC374:AD374" si="617">1-I374</f>
        <v>0</v>
      </c>
      <c r="AD374" s="200">
        <f t="shared" si="617"/>
        <v>0.66999999999999993</v>
      </c>
      <c r="AE374" s="199">
        <f t="shared" si="6"/>
        <v>2</v>
      </c>
      <c r="AF374" s="201">
        <f t="shared" si="572"/>
        <v>0</v>
      </c>
      <c r="AG374" s="201">
        <f t="shared" si="8"/>
        <v>1</v>
      </c>
      <c r="AH374" s="202">
        <f t="shared" si="573"/>
        <v>0</v>
      </c>
      <c r="AI374" s="205"/>
      <c r="AJ374" s="173"/>
      <c r="AK374" s="173"/>
      <c r="AL374" s="173"/>
      <c r="AM374" s="173"/>
      <c r="AN374" s="173"/>
      <c r="AO374" s="173"/>
      <c r="AP374" s="173"/>
      <c r="AQ374" s="173"/>
      <c r="AR374" s="173"/>
      <c r="AS374" s="173"/>
      <c r="AT374" s="173"/>
      <c r="AU374" s="173"/>
      <c r="AV374" s="173"/>
    </row>
    <row r="375" spans="1:48" ht="14.25">
      <c r="A375" s="206"/>
      <c r="B375" s="371">
        <v>3</v>
      </c>
      <c r="C375" s="372" t="s">
        <v>903</v>
      </c>
      <c r="D375" s="373" t="s">
        <v>68</v>
      </c>
      <c r="E375" s="373" t="s">
        <v>77</v>
      </c>
      <c r="F375" s="373" t="s">
        <v>20</v>
      </c>
      <c r="G375" s="374">
        <v>2</v>
      </c>
      <c r="H375" s="374">
        <v>0</v>
      </c>
      <c r="I375" s="375">
        <v>0.33</v>
      </c>
      <c r="J375" s="375">
        <v>0.33</v>
      </c>
      <c r="K375" s="269" t="s">
        <v>207</v>
      </c>
      <c r="L375" s="269"/>
      <c r="M375" s="269">
        <v>2</v>
      </c>
      <c r="N375" s="269">
        <v>2</v>
      </c>
      <c r="O375" s="376" t="s">
        <v>904</v>
      </c>
      <c r="P375" s="313"/>
      <c r="Q375" s="373" t="s">
        <v>148</v>
      </c>
      <c r="R375" s="173"/>
      <c r="S375" s="195">
        <f>MATCH($D375,Reference!$J$5:$J$9,0)</f>
        <v>3</v>
      </c>
      <c r="T375" s="195">
        <f>MATCH($E375,Reference!$J$26:$J$32,0)</f>
        <v>2</v>
      </c>
      <c r="U375" s="195">
        <f>MATCH($F375,Reference!$J$45:$J$54,0)</f>
        <v>6</v>
      </c>
      <c r="V375" s="196">
        <f>MATCH($K375,Reference!$J$37:$J$39,0)</f>
        <v>1</v>
      </c>
      <c r="W375" s="197">
        <f t="shared" si="568"/>
        <v>2</v>
      </c>
      <c r="X375" s="197">
        <f t="shared" si="1"/>
        <v>1</v>
      </c>
      <c r="Y375" s="197">
        <f t="shared" si="569"/>
        <v>0</v>
      </c>
      <c r="Z375" s="197">
        <f t="shared" si="570"/>
        <v>2</v>
      </c>
      <c r="AA375" s="199" t="b">
        <f t="shared" si="3"/>
        <v>0</v>
      </c>
      <c r="AB375" s="199" t="b">
        <f t="shared" si="4"/>
        <v>0</v>
      </c>
      <c r="AC375" s="200">
        <f t="shared" ref="AC375:AD375" si="618">1-I375</f>
        <v>0.66999999999999993</v>
      </c>
      <c r="AD375" s="200">
        <f t="shared" si="618"/>
        <v>0.66999999999999993</v>
      </c>
      <c r="AE375" s="199">
        <f t="shared" si="6"/>
        <v>2</v>
      </c>
      <c r="AF375" s="201">
        <f t="shared" si="572"/>
        <v>0</v>
      </c>
      <c r="AG375" s="201">
        <f t="shared" si="8"/>
        <v>1</v>
      </c>
      <c r="AH375" s="202">
        <f t="shared" si="573"/>
        <v>0</v>
      </c>
      <c r="AI375" s="205"/>
      <c r="AJ375" s="173"/>
      <c r="AK375" s="173"/>
      <c r="AL375" s="173"/>
      <c r="AM375" s="173"/>
      <c r="AN375" s="173"/>
      <c r="AO375" s="173"/>
      <c r="AP375" s="173"/>
      <c r="AQ375" s="173"/>
      <c r="AR375" s="173"/>
      <c r="AS375" s="173"/>
      <c r="AT375" s="173"/>
      <c r="AU375" s="173"/>
      <c r="AV375" s="173"/>
    </row>
    <row r="376" spans="1:48" ht="14.25">
      <c r="A376" s="206"/>
      <c r="B376" s="371">
        <v>3</v>
      </c>
      <c r="C376" s="372" t="s">
        <v>905</v>
      </c>
      <c r="D376" s="373" t="s">
        <v>68</v>
      </c>
      <c r="E376" s="373" t="s">
        <v>77</v>
      </c>
      <c r="F376" s="373" t="s">
        <v>115</v>
      </c>
      <c r="G376" s="374">
        <v>2</v>
      </c>
      <c r="H376" s="374">
        <v>0</v>
      </c>
      <c r="I376" s="375">
        <v>0.33</v>
      </c>
      <c r="J376" s="375">
        <v>0.33</v>
      </c>
      <c r="K376" s="269" t="s">
        <v>182</v>
      </c>
      <c r="L376" s="269"/>
      <c r="M376" s="269">
        <v>2</v>
      </c>
      <c r="N376" s="269">
        <v>2</v>
      </c>
      <c r="O376" s="376" t="s">
        <v>906</v>
      </c>
      <c r="P376" s="313"/>
      <c r="Q376" s="373" t="s">
        <v>148</v>
      </c>
      <c r="R376" s="173"/>
      <c r="S376" s="195">
        <f>MATCH($D376,Reference!$J$5:$J$9,0)</f>
        <v>3</v>
      </c>
      <c r="T376" s="195">
        <f>MATCH($E376,Reference!$J$26:$J$32,0)</f>
        <v>2</v>
      </c>
      <c r="U376" s="195">
        <f>MATCH($F376,Reference!$J$45:$J$54,0)</f>
        <v>10</v>
      </c>
      <c r="V376" s="196">
        <f>MATCH($K376,Reference!$J$37:$J$39,0)</f>
        <v>3</v>
      </c>
      <c r="W376" s="197">
        <f t="shared" si="568"/>
        <v>2</v>
      </c>
      <c r="X376" s="197">
        <f t="shared" si="1"/>
        <v>1</v>
      </c>
      <c r="Y376" s="197">
        <f t="shared" si="569"/>
        <v>0</v>
      </c>
      <c r="Z376" s="197">
        <f t="shared" si="570"/>
        <v>2</v>
      </c>
      <c r="AA376" s="199" t="b">
        <f t="shared" si="3"/>
        <v>0</v>
      </c>
      <c r="AB376" s="199" t="b">
        <f t="shared" si="4"/>
        <v>0</v>
      </c>
      <c r="AC376" s="200">
        <f t="shared" ref="AC376:AD376" si="619">1-I376</f>
        <v>0.66999999999999993</v>
      </c>
      <c r="AD376" s="200">
        <f t="shared" si="619"/>
        <v>0.66999999999999993</v>
      </c>
      <c r="AE376" s="199">
        <f t="shared" si="6"/>
        <v>2</v>
      </c>
      <c r="AF376" s="201">
        <f t="shared" si="572"/>
        <v>0</v>
      </c>
      <c r="AG376" s="201">
        <f t="shared" si="8"/>
        <v>1</v>
      </c>
      <c r="AH376" s="202">
        <f t="shared" si="573"/>
        <v>0</v>
      </c>
      <c r="AI376" s="205"/>
      <c r="AJ376" s="173"/>
      <c r="AK376" s="173"/>
      <c r="AL376" s="173"/>
      <c r="AM376" s="173"/>
      <c r="AN376" s="173"/>
      <c r="AO376" s="173"/>
      <c r="AP376" s="173"/>
      <c r="AQ376" s="173"/>
      <c r="AR376" s="173"/>
      <c r="AS376" s="173"/>
      <c r="AT376" s="173"/>
      <c r="AU376" s="173"/>
      <c r="AV376" s="173"/>
    </row>
    <row r="377" spans="1:48" ht="14.25">
      <c r="A377" s="209"/>
      <c r="B377" s="371">
        <v>3</v>
      </c>
      <c r="C377" s="372" t="s">
        <v>907</v>
      </c>
      <c r="D377" s="373" t="s">
        <v>68</v>
      </c>
      <c r="E377" s="373" t="s">
        <v>77</v>
      </c>
      <c r="F377" s="373" t="s">
        <v>20</v>
      </c>
      <c r="G377" s="374">
        <v>2</v>
      </c>
      <c r="H377" s="374">
        <v>1</v>
      </c>
      <c r="I377" s="375">
        <v>1</v>
      </c>
      <c r="J377" s="375">
        <v>1</v>
      </c>
      <c r="K377" s="269" t="s">
        <v>182</v>
      </c>
      <c r="L377" s="269"/>
      <c r="M377" s="269">
        <v>3</v>
      </c>
      <c r="N377" s="269">
        <v>3</v>
      </c>
      <c r="O377" s="376" t="s">
        <v>908</v>
      </c>
      <c r="P377" s="313" t="s">
        <v>909</v>
      </c>
      <c r="Q377" s="373" t="s">
        <v>148</v>
      </c>
      <c r="R377" s="173"/>
      <c r="S377" s="195">
        <f>MATCH($D377,Reference!$J$5:$J$9,0)</f>
        <v>3</v>
      </c>
      <c r="T377" s="195">
        <f>MATCH($E377,Reference!$J$26:$J$32,0)</f>
        <v>2</v>
      </c>
      <c r="U377" s="195">
        <f>MATCH($F377,Reference!$J$45:$J$54,0)</f>
        <v>6</v>
      </c>
      <c r="V377" s="196">
        <f>MATCH($K377,Reference!$J$37:$J$39,0)</f>
        <v>3</v>
      </c>
      <c r="W377" s="197">
        <f t="shared" si="568"/>
        <v>2</v>
      </c>
      <c r="X377" s="197">
        <f t="shared" si="1"/>
        <v>1</v>
      </c>
      <c r="Y377" s="197">
        <f t="shared" si="569"/>
        <v>100</v>
      </c>
      <c r="Z377" s="197">
        <f t="shared" si="570"/>
        <v>2</v>
      </c>
      <c r="AA377" s="199" t="b">
        <f t="shared" si="3"/>
        <v>0</v>
      </c>
      <c r="AB377" s="199" t="b">
        <f t="shared" si="4"/>
        <v>0</v>
      </c>
      <c r="AC377" s="200">
        <f t="shared" ref="AC377:AD377" si="620">1-I377</f>
        <v>0</v>
      </c>
      <c r="AD377" s="200">
        <f t="shared" si="620"/>
        <v>0</v>
      </c>
      <c r="AE377" s="199">
        <f t="shared" si="6"/>
        <v>2</v>
      </c>
      <c r="AF377" s="201">
        <f t="shared" si="572"/>
        <v>1</v>
      </c>
      <c r="AG377" s="201">
        <f t="shared" si="8"/>
        <v>1</v>
      </c>
      <c r="AH377" s="202">
        <f t="shared" si="573"/>
        <v>20</v>
      </c>
      <c r="AI377" s="205"/>
      <c r="AJ377" s="173"/>
      <c r="AK377" s="173"/>
      <c r="AL377" s="173"/>
      <c r="AM377" s="173"/>
      <c r="AN377" s="173"/>
      <c r="AO377" s="173"/>
      <c r="AP377" s="173"/>
      <c r="AQ377" s="173"/>
      <c r="AR377" s="173"/>
      <c r="AS377" s="173"/>
      <c r="AT377" s="173"/>
      <c r="AU377" s="173"/>
      <c r="AV377" s="173"/>
    </row>
    <row r="378" spans="1:48" ht="14.25">
      <c r="A378" s="209"/>
      <c r="B378" s="371">
        <v>3</v>
      </c>
      <c r="C378" s="372" t="s">
        <v>910</v>
      </c>
      <c r="D378" s="373" t="s">
        <v>68</v>
      </c>
      <c r="E378" s="373" t="s">
        <v>77</v>
      </c>
      <c r="F378" s="373" t="s">
        <v>13</v>
      </c>
      <c r="G378" s="374">
        <v>2</v>
      </c>
      <c r="H378" s="374">
        <v>0</v>
      </c>
      <c r="I378" s="375">
        <v>0.33</v>
      </c>
      <c r="J378" s="375">
        <v>0.33</v>
      </c>
      <c r="K378" s="269" t="s">
        <v>146</v>
      </c>
      <c r="L378" s="269" t="s">
        <v>508</v>
      </c>
      <c r="M378" s="269"/>
      <c r="N378" s="269"/>
      <c r="O378" s="376" t="s">
        <v>911</v>
      </c>
      <c r="P378" s="313"/>
      <c r="Q378" s="373" t="s">
        <v>148</v>
      </c>
      <c r="R378" s="173"/>
      <c r="S378" s="195">
        <f>MATCH($D378,Reference!$J$5:$J$9,0)</f>
        <v>3</v>
      </c>
      <c r="T378" s="195">
        <f>MATCH($E378,Reference!$J$26:$J$32,0)</f>
        <v>2</v>
      </c>
      <c r="U378" s="195">
        <f>MATCH($F378,Reference!$J$45:$J$54,0)</f>
        <v>3</v>
      </c>
      <c r="V378" s="196">
        <f>MATCH($K378,Reference!$J$37:$J$39,0)</f>
        <v>2</v>
      </c>
      <c r="W378" s="197">
        <f t="shared" si="568"/>
        <v>2</v>
      </c>
      <c r="X378" s="197">
        <f t="shared" si="1"/>
        <v>1</v>
      </c>
      <c r="Y378" s="197">
        <f t="shared" si="569"/>
        <v>0</v>
      </c>
      <c r="Z378" s="197">
        <f t="shared" si="570"/>
        <v>2</v>
      </c>
      <c r="AA378" s="199" t="b">
        <f t="shared" si="3"/>
        <v>0</v>
      </c>
      <c r="AB378" s="199" t="b">
        <f t="shared" si="4"/>
        <v>0</v>
      </c>
      <c r="AC378" s="200">
        <f t="shared" ref="AC378:AD378" si="621">1-I378</f>
        <v>0.66999999999999993</v>
      </c>
      <c r="AD378" s="200">
        <f t="shared" si="621"/>
        <v>0.66999999999999993</v>
      </c>
      <c r="AE378" s="199">
        <f t="shared" si="6"/>
        <v>2</v>
      </c>
      <c r="AF378" s="201">
        <f t="shared" si="572"/>
        <v>0</v>
      </c>
      <c r="AG378" s="201">
        <f t="shared" si="8"/>
        <v>1</v>
      </c>
      <c r="AH378" s="202">
        <f t="shared" si="573"/>
        <v>0</v>
      </c>
      <c r="AI378" s="205"/>
      <c r="AJ378" s="173"/>
      <c r="AK378" s="173"/>
      <c r="AL378" s="173"/>
      <c r="AM378" s="173"/>
      <c r="AN378" s="173"/>
      <c r="AO378" s="173"/>
      <c r="AP378" s="173"/>
      <c r="AQ378" s="173"/>
      <c r="AR378" s="173"/>
      <c r="AS378" s="173"/>
      <c r="AT378" s="173"/>
      <c r="AU378" s="173"/>
      <c r="AV378" s="173"/>
    </row>
    <row r="379" spans="1:48" ht="14.25">
      <c r="A379" s="187"/>
      <c r="B379" s="371">
        <v>3</v>
      </c>
      <c r="C379" s="372" t="s">
        <v>912</v>
      </c>
      <c r="D379" s="373" t="s">
        <v>68</v>
      </c>
      <c r="E379" s="373" t="s">
        <v>77</v>
      </c>
      <c r="F379" s="373" t="s">
        <v>25</v>
      </c>
      <c r="G379" s="374">
        <v>2</v>
      </c>
      <c r="H379" s="374">
        <v>0</v>
      </c>
      <c r="I379" s="375">
        <v>0.66</v>
      </c>
      <c r="J379" s="375">
        <v>0.66</v>
      </c>
      <c r="K379" s="269" t="s">
        <v>182</v>
      </c>
      <c r="L379" s="269" t="s">
        <v>239</v>
      </c>
      <c r="M379" s="269">
        <v>3</v>
      </c>
      <c r="N379" s="269">
        <v>3</v>
      </c>
      <c r="O379" s="376" t="s">
        <v>913</v>
      </c>
      <c r="P379" s="313" t="s">
        <v>275</v>
      </c>
      <c r="Q379" s="373" t="s">
        <v>148</v>
      </c>
      <c r="R379" s="173"/>
      <c r="S379" s="195">
        <f>MATCH($D379,Reference!$J$5:$J$9,0)</f>
        <v>3</v>
      </c>
      <c r="T379" s="195">
        <f>MATCH($E379,Reference!$J$26:$J$32,0)</f>
        <v>2</v>
      </c>
      <c r="U379" s="195">
        <f>MATCH($F379,Reference!$J$45:$J$54,0)</f>
        <v>8</v>
      </c>
      <c r="V379" s="196">
        <f>MATCH($K379,Reference!$J$37:$J$39,0)</f>
        <v>3</v>
      </c>
      <c r="W379" s="197">
        <f t="shared" si="568"/>
        <v>2</v>
      </c>
      <c r="X379" s="197">
        <f t="shared" si="1"/>
        <v>1</v>
      </c>
      <c r="Y379" s="197">
        <f t="shared" si="569"/>
        <v>0</v>
      </c>
      <c r="Z379" s="197">
        <f t="shared" si="570"/>
        <v>2</v>
      </c>
      <c r="AA379" s="199" t="b">
        <f t="shared" si="3"/>
        <v>0</v>
      </c>
      <c r="AB379" s="199" t="b">
        <f t="shared" si="4"/>
        <v>0</v>
      </c>
      <c r="AC379" s="200">
        <f t="shared" ref="AC379:AD379" si="622">1-I379</f>
        <v>0.33999999999999997</v>
      </c>
      <c r="AD379" s="200">
        <f t="shared" si="622"/>
        <v>0.33999999999999997</v>
      </c>
      <c r="AE379" s="199">
        <f t="shared" si="6"/>
        <v>2</v>
      </c>
      <c r="AF379" s="201">
        <f t="shared" si="572"/>
        <v>0</v>
      </c>
      <c r="AG379" s="201">
        <f t="shared" si="8"/>
        <v>1</v>
      </c>
      <c r="AH379" s="202">
        <f t="shared" si="573"/>
        <v>0</v>
      </c>
      <c r="AI379" s="205"/>
      <c r="AJ379" s="173"/>
      <c r="AK379" s="173"/>
      <c r="AL379" s="173"/>
      <c r="AM379" s="173"/>
      <c r="AN379" s="173"/>
      <c r="AO379" s="173"/>
      <c r="AP379" s="173"/>
      <c r="AQ379" s="173"/>
      <c r="AR379" s="173"/>
      <c r="AS379" s="173"/>
      <c r="AT379" s="173"/>
      <c r="AU379" s="173"/>
      <c r="AV379" s="173"/>
    </row>
    <row r="380" spans="1:48" ht="14.25">
      <c r="A380" s="209"/>
      <c r="B380" s="371">
        <v>4</v>
      </c>
      <c r="C380" s="372" t="s">
        <v>914</v>
      </c>
      <c r="D380" s="373" t="s">
        <v>68</v>
      </c>
      <c r="E380" s="373" t="s">
        <v>77</v>
      </c>
      <c r="F380" s="373" t="s">
        <v>115</v>
      </c>
      <c r="G380" s="374">
        <v>2</v>
      </c>
      <c r="H380" s="374">
        <v>0</v>
      </c>
      <c r="I380" s="375">
        <v>0</v>
      </c>
      <c r="J380" s="375">
        <v>0</v>
      </c>
      <c r="K380" s="269" t="s">
        <v>182</v>
      </c>
      <c r="L380" s="269"/>
      <c r="M380" s="269">
        <v>2</v>
      </c>
      <c r="N380" s="269">
        <v>5</v>
      </c>
      <c r="O380" s="376" t="s">
        <v>915</v>
      </c>
      <c r="P380" s="313" t="s">
        <v>275</v>
      </c>
      <c r="Q380" s="373" t="s">
        <v>148</v>
      </c>
      <c r="R380" s="173"/>
      <c r="S380" s="195">
        <f>MATCH($D380,Reference!$J$5:$J$9,0)</f>
        <v>3</v>
      </c>
      <c r="T380" s="195">
        <f>MATCH($E380,Reference!$J$26:$J$32,0)</f>
        <v>2</v>
      </c>
      <c r="U380" s="195">
        <f>MATCH($F380,Reference!$J$45:$J$54,0)</f>
        <v>10</v>
      </c>
      <c r="V380" s="196">
        <f>MATCH($K380,Reference!$J$37:$J$39,0)</f>
        <v>3</v>
      </c>
      <c r="W380" s="197">
        <f t="shared" si="568"/>
        <v>2</v>
      </c>
      <c r="X380" s="197">
        <f t="shared" si="1"/>
        <v>1</v>
      </c>
      <c r="Y380" s="197">
        <f t="shared" si="569"/>
        <v>0</v>
      </c>
      <c r="Z380" s="197">
        <f t="shared" si="570"/>
        <v>2</v>
      </c>
      <c r="AA380" s="199" t="b">
        <f t="shared" si="3"/>
        <v>0</v>
      </c>
      <c r="AB380" s="199" t="b">
        <f t="shared" si="4"/>
        <v>0</v>
      </c>
      <c r="AC380" s="200">
        <f t="shared" ref="AC380:AD380" si="623">1-I380</f>
        <v>1</v>
      </c>
      <c r="AD380" s="200">
        <f t="shared" si="623"/>
        <v>1</v>
      </c>
      <c r="AE380" s="199">
        <f t="shared" si="6"/>
        <v>2</v>
      </c>
      <c r="AF380" s="201">
        <f t="shared" si="572"/>
        <v>0</v>
      </c>
      <c r="AG380" s="201">
        <f t="shared" si="8"/>
        <v>1</v>
      </c>
      <c r="AH380" s="202">
        <f t="shared" si="573"/>
        <v>0</v>
      </c>
      <c r="AI380" s="205"/>
      <c r="AJ380" s="173"/>
      <c r="AK380" s="173"/>
      <c r="AL380" s="173"/>
      <c r="AM380" s="173"/>
      <c r="AN380" s="173"/>
      <c r="AO380" s="173"/>
      <c r="AP380" s="173"/>
      <c r="AQ380" s="173"/>
      <c r="AR380" s="173"/>
      <c r="AS380" s="173"/>
      <c r="AT380" s="173"/>
      <c r="AU380" s="173"/>
      <c r="AV380" s="173"/>
    </row>
    <row r="381" spans="1:48" ht="14.25">
      <c r="A381" s="240"/>
      <c r="B381" s="371">
        <v>4</v>
      </c>
      <c r="C381" s="372" t="s">
        <v>916</v>
      </c>
      <c r="D381" s="373" t="s">
        <v>68</v>
      </c>
      <c r="E381" s="373" t="s">
        <v>77</v>
      </c>
      <c r="F381" s="373" t="s">
        <v>18</v>
      </c>
      <c r="G381" s="374">
        <v>2</v>
      </c>
      <c r="H381" s="374">
        <v>0</v>
      </c>
      <c r="I381" s="375">
        <v>1</v>
      </c>
      <c r="J381" s="375">
        <v>1</v>
      </c>
      <c r="K381" s="269" t="s">
        <v>182</v>
      </c>
      <c r="L381" s="269"/>
      <c r="M381" s="269">
        <v>3</v>
      </c>
      <c r="N381" s="269">
        <v>5</v>
      </c>
      <c r="O381" s="376" t="s">
        <v>917</v>
      </c>
      <c r="P381" s="313"/>
      <c r="Q381" s="373" t="s">
        <v>148</v>
      </c>
      <c r="R381" s="173"/>
      <c r="S381" s="195">
        <f>MATCH($D381,Reference!$J$5:$J$9,0)</f>
        <v>3</v>
      </c>
      <c r="T381" s="195">
        <f>MATCH($E381,Reference!$J$26:$J$32,0)</f>
        <v>2</v>
      </c>
      <c r="U381" s="195">
        <f>MATCH($F381,Reference!$J$45:$J$54,0)</f>
        <v>5</v>
      </c>
      <c r="V381" s="196">
        <f>MATCH($K381,Reference!$J$37:$J$39,0)</f>
        <v>3</v>
      </c>
      <c r="W381" s="197">
        <f t="shared" si="568"/>
        <v>2</v>
      </c>
      <c r="X381" s="197">
        <f t="shared" si="1"/>
        <v>1</v>
      </c>
      <c r="Y381" s="197">
        <f t="shared" si="569"/>
        <v>0</v>
      </c>
      <c r="Z381" s="197">
        <f t="shared" si="570"/>
        <v>2</v>
      </c>
      <c r="AA381" s="199" t="b">
        <f t="shared" si="3"/>
        <v>0</v>
      </c>
      <c r="AB381" s="199" t="b">
        <f t="shared" si="4"/>
        <v>0</v>
      </c>
      <c r="AC381" s="200">
        <f t="shared" ref="AC381:AD381" si="624">1-I381</f>
        <v>0</v>
      </c>
      <c r="AD381" s="200">
        <f t="shared" si="624"/>
        <v>0</v>
      </c>
      <c r="AE381" s="199">
        <f t="shared" si="6"/>
        <v>2</v>
      </c>
      <c r="AF381" s="201">
        <f t="shared" si="572"/>
        <v>0</v>
      </c>
      <c r="AG381" s="201">
        <f t="shared" si="8"/>
        <v>1</v>
      </c>
      <c r="AH381" s="202">
        <f t="shared" si="573"/>
        <v>0</v>
      </c>
      <c r="AI381" s="205"/>
      <c r="AJ381" s="173"/>
      <c r="AK381" s="173"/>
      <c r="AL381" s="173"/>
      <c r="AM381" s="173"/>
      <c r="AN381" s="173"/>
      <c r="AO381" s="173"/>
      <c r="AP381" s="173"/>
      <c r="AQ381" s="173"/>
      <c r="AR381" s="173"/>
      <c r="AS381" s="173"/>
      <c r="AT381" s="173"/>
      <c r="AU381" s="173"/>
      <c r="AV381" s="173"/>
    </row>
    <row r="382" spans="1:48" ht="14.25">
      <c r="A382" s="209"/>
      <c r="B382" s="371">
        <v>4</v>
      </c>
      <c r="C382" s="372" t="s">
        <v>918</v>
      </c>
      <c r="D382" s="373" t="s">
        <v>68</v>
      </c>
      <c r="E382" s="373" t="s">
        <v>77</v>
      </c>
      <c r="F382" s="373" t="s">
        <v>8</v>
      </c>
      <c r="G382" s="374">
        <v>2</v>
      </c>
      <c r="H382" s="374">
        <v>0</v>
      </c>
      <c r="I382" s="375">
        <v>0</v>
      </c>
      <c r="J382" s="375">
        <v>0</v>
      </c>
      <c r="K382" s="269" t="s">
        <v>146</v>
      </c>
      <c r="L382" s="269"/>
      <c r="M382" s="269"/>
      <c r="N382" s="269"/>
      <c r="O382" s="376" t="s">
        <v>919</v>
      </c>
      <c r="P382" s="313"/>
      <c r="Q382" s="373" t="s">
        <v>148</v>
      </c>
      <c r="R382" s="34"/>
      <c r="S382" s="195">
        <f>MATCH($D382,Reference!$J$5:$J$9,0)</f>
        <v>3</v>
      </c>
      <c r="T382" s="195">
        <f>MATCH($E382,Reference!$J$26:$J$32,0)</f>
        <v>2</v>
      </c>
      <c r="U382" s="195">
        <f>MATCH($F382,Reference!$J$45:$J$54,0)</f>
        <v>1</v>
      </c>
      <c r="V382" s="196">
        <f>MATCH($K382,Reference!$J$37:$J$39,0)</f>
        <v>2</v>
      </c>
      <c r="W382" s="197">
        <f t="shared" si="568"/>
        <v>2</v>
      </c>
      <c r="X382" s="197">
        <f t="shared" si="1"/>
        <v>1</v>
      </c>
      <c r="Y382" s="197">
        <f t="shared" si="569"/>
        <v>0</v>
      </c>
      <c r="Z382" s="197">
        <f t="shared" si="570"/>
        <v>2</v>
      </c>
      <c r="AA382" s="199" t="b">
        <f t="shared" si="3"/>
        <v>0</v>
      </c>
      <c r="AB382" s="199" t="b">
        <f t="shared" si="4"/>
        <v>0</v>
      </c>
      <c r="AC382" s="200">
        <f t="shared" ref="AC382:AD382" si="625">1-I382</f>
        <v>1</v>
      </c>
      <c r="AD382" s="200">
        <f t="shared" si="625"/>
        <v>1</v>
      </c>
      <c r="AE382" s="199">
        <f t="shared" si="6"/>
        <v>2</v>
      </c>
      <c r="AF382" s="201">
        <f t="shared" si="572"/>
        <v>0</v>
      </c>
      <c r="AG382" s="201">
        <f t="shared" si="8"/>
        <v>1</v>
      </c>
      <c r="AH382" s="202">
        <f t="shared" si="573"/>
        <v>0</v>
      </c>
      <c r="AI382" s="205"/>
      <c r="AJ382" s="173"/>
      <c r="AK382" s="173"/>
      <c r="AL382" s="173"/>
      <c r="AM382" s="173"/>
      <c r="AN382" s="173"/>
      <c r="AO382" s="173"/>
      <c r="AP382" s="173"/>
      <c r="AQ382" s="173"/>
      <c r="AR382" s="173"/>
      <c r="AS382" s="173"/>
      <c r="AT382" s="173"/>
      <c r="AU382" s="173"/>
      <c r="AV382" s="173"/>
    </row>
    <row r="383" spans="1:48" ht="14.25">
      <c r="A383" s="187"/>
      <c r="B383" s="386">
        <v>4</v>
      </c>
      <c r="C383" s="372" t="s">
        <v>920</v>
      </c>
      <c r="D383" s="373" t="s">
        <v>68</v>
      </c>
      <c r="E383" s="373" t="s">
        <v>77</v>
      </c>
      <c r="F383" s="373" t="s">
        <v>20</v>
      </c>
      <c r="G383" s="377">
        <v>2</v>
      </c>
      <c r="H383" s="377">
        <v>0</v>
      </c>
      <c r="I383" s="375">
        <v>1</v>
      </c>
      <c r="J383" s="375">
        <v>1</v>
      </c>
      <c r="K383" s="269" t="s">
        <v>146</v>
      </c>
      <c r="L383" s="269"/>
      <c r="M383" s="269"/>
      <c r="N383" s="269"/>
      <c r="O383" s="376" t="s">
        <v>921</v>
      </c>
      <c r="P383" s="313"/>
      <c r="Q383" s="373" t="s">
        <v>148</v>
      </c>
      <c r="R383" s="173"/>
      <c r="S383" s="195">
        <f>MATCH($D383,Reference!$J$5:$J$9,0)</f>
        <v>3</v>
      </c>
      <c r="T383" s="195">
        <f>MATCH($E383,Reference!$J$26:$J$32,0)</f>
        <v>2</v>
      </c>
      <c r="U383" s="195">
        <f>MATCH($F383,Reference!$J$45:$J$54,0)</f>
        <v>6</v>
      </c>
      <c r="V383" s="196">
        <f>MATCH($K383,Reference!$J$37:$J$39,0)</f>
        <v>2</v>
      </c>
      <c r="W383" s="197">
        <f t="shared" si="568"/>
        <v>2</v>
      </c>
      <c r="X383" s="197">
        <f t="shared" si="1"/>
        <v>1</v>
      </c>
      <c r="Y383" s="197">
        <f t="shared" si="569"/>
        <v>0</v>
      </c>
      <c r="Z383" s="197">
        <f t="shared" si="570"/>
        <v>2</v>
      </c>
      <c r="AA383" s="199" t="b">
        <f t="shared" si="3"/>
        <v>0</v>
      </c>
      <c r="AB383" s="199" t="b">
        <f t="shared" si="4"/>
        <v>0</v>
      </c>
      <c r="AC383" s="200">
        <f t="shared" ref="AC383:AD383" si="626">1-I383</f>
        <v>0</v>
      </c>
      <c r="AD383" s="200">
        <f t="shared" si="626"/>
        <v>0</v>
      </c>
      <c r="AE383" s="199">
        <f t="shared" si="6"/>
        <v>2</v>
      </c>
      <c r="AF383" s="201">
        <f t="shared" si="572"/>
        <v>0</v>
      </c>
      <c r="AG383" s="201">
        <f t="shared" si="8"/>
        <v>1</v>
      </c>
      <c r="AH383" s="202">
        <f t="shared" si="573"/>
        <v>0</v>
      </c>
      <c r="AI383" s="205"/>
      <c r="AJ383" s="173"/>
      <c r="AK383" s="173"/>
      <c r="AL383" s="173"/>
      <c r="AM383" s="173"/>
      <c r="AN383" s="173"/>
      <c r="AO383" s="173"/>
      <c r="AP383" s="173"/>
      <c r="AQ383" s="173"/>
      <c r="AR383" s="173"/>
      <c r="AS383" s="173"/>
      <c r="AT383" s="173"/>
      <c r="AU383" s="173"/>
      <c r="AV383" s="173"/>
    </row>
    <row r="384" spans="1:48" ht="14.25">
      <c r="A384" s="206"/>
      <c r="B384" s="371">
        <v>4</v>
      </c>
      <c r="C384" s="372" t="s">
        <v>922</v>
      </c>
      <c r="D384" s="373" t="s">
        <v>68</v>
      </c>
      <c r="E384" s="373" t="s">
        <v>77</v>
      </c>
      <c r="F384" s="373" t="s">
        <v>115</v>
      </c>
      <c r="G384" s="374">
        <v>2</v>
      </c>
      <c r="H384" s="374">
        <v>0</v>
      </c>
      <c r="I384" s="375">
        <v>1</v>
      </c>
      <c r="J384" s="375">
        <v>1</v>
      </c>
      <c r="K384" s="269" t="s">
        <v>182</v>
      </c>
      <c r="L384" s="269"/>
      <c r="M384" s="269">
        <v>2</v>
      </c>
      <c r="N384" s="269">
        <v>3</v>
      </c>
      <c r="O384" s="376" t="s">
        <v>923</v>
      </c>
      <c r="P384" s="313" t="s">
        <v>184</v>
      </c>
      <c r="Q384" s="373" t="s">
        <v>148</v>
      </c>
      <c r="R384" s="173"/>
      <c r="S384" s="195">
        <f>MATCH($D384,Reference!$J$5:$J$9,0)</f>
        <v>3</v>
      </c>
      <c r="T384" s="195">
        <f>MATCH($E384,Reference!$J$26:$J$32,0)</f>
        <v>2</v>
      </c>
      <c r="U384" s="195">
        <f>MATCH($F384,Reference!$J$45:$J$54,0)</f>
        <v>10</v>
      </c>
      <c r="V384" s="196">
        <f>MATCH($K384,Reference!$J$37:$J$39,0)</f>
        <v>3</v>
      </c>
      <c r="W384" s="197">
        <f t="shared" si="568"/>
        <v>2</v>
      </c>
      <c r="X384" s="197">
        <f t="shared" si="1"/>
        <v>1</v>
      </c>
      <c r="Y384" s="197">
        <f t="shared" si="569"/>
        <v>0</v>
      </c>
      <c r="Z384" s="197">
        <f t="shared" si="570"/>
        <v>2</v>
      </c>
      <c r="AA384" s="199" t="b">
        <f t="shared" si="3"/>
        <v>0</v>
      </c>
      <c r="AB384" s="199" t="b">
        <f t="shared" si="4"/>
        <v>0</v>
      </c>
      <c r="AC384" s="200">
        <f t="shared" ref="AC384:AD384" si="627">1-I384</f>
        <v>0</v>
      </c>
      <c r="AD384" s="200">
        <f t="shared" si="627"/>
        <v>0</v>
      </c>
      <c r="AE384" s="199">
        <f t="shared" si="6"/>
        <v>2</v>
      </c>
      <c r="AF384" s="201">
        <f t="shared" si="572"/>
        <v>0</v>
      </c>
      <c r="AG384" s="201">
        <f t="shared" si="8"/>
        <v>1</v>
      </c>
      <c r="AH384" s="202">
        <f t="shared" si="573"/>
        <v>0</v>
      </c>
      <c r="AI384" s="205"/>
      <c r="AJ384" s="173"/>
      <c r="AK384" s="173"/>
      <c r="AL384" s="173"/>
      <c r="AM384" s="173"/>
      <c r="AN384" s="173"/>
      <c r="AO384" s="173"/>
      <c r="AP384" s="173"/>
      <c r="AQ384" s="173"/>
      <c r="AR384" s="173"/>
      <c r="AS384" s="173"/>
      <c r="AT384" s="173"/>
      <c r="AU384" s="173"/>
      <c r="AV384" s="173"/>
    </row>
    <row r="385" spans="1:48" ht="14.25">
      <c r="A385" s="370"/>
      <c r="B385" s="371">
        <v>4</v>
      </c>
      <c r="C385" s="372" t="s">
        <v>924</v>
      </c>
      <c r="D385" s="373" t="s">
        <v>68</v>
      </c>
      <c r="E385" s="373" t="s">
        <v>77</v>
      </c>
      <c r="F385" s="373" t="s">
        <v>13</v>
      </c>
      <c r="G385" s="374">
        <v>2</v>
      </c>
      <c r="H385" s="374">
        <v>0</v>
      </c>
      <c r="I385" s="375">
        <v>0.33</v>
      </c>
      <c r="J385" s="375">
        <v>0.33</v>
      </c>
      <c r="K385" s="269" t="s">
        <v>182</v>
      </c>
      <c r="L385" s="269"/>
      <c r="M385" s="269">
        <v>3</v>
      </c>
      <c r="N385" s="269">
        <v>3</v>
      </c>
      <c r="O385" s="376" t="s">
        <v>925</v>
      </c>
      <c r="P385" s="313"/>
      <c r="Q385" s="373" t="s">
        <v>148</v>
      </c>
      <c r="R385" s="173"/>
      <c r="S385" s="195">
        <f>MATCH($D385,Reference!$J$5:$J$9,0)</f>
        <v>3</v>
      </c>
      <c r="T385" s="195">
        <f>MATCH($E385,Reference!$J$26:$J$32,0)</f>
        <v>2</v>
      </c>
      <c r="U385" s="195">
        <f>MATCH($F385,Reference!$J$45:$J$54,0)</f>
        <v>3</v>
      </c>
      <c r="V385" s="196">
        <f>MATCH($K385,Reference!$J$37:$J$39,0)</f>
        <v>3</v>
      </c>
      <c r="W385" s="197">
        <f t="shared" si="568"/>
        <v>2</v>
      </c>
      <c r="X385" s="197">
        <f t="shared" si="1"/>
        <v>1</v>
      </c>
      <c r="Y385" s="197">
        <f t="shared" si="569"/>
        <v>0</v>
      </c>
      <c r="Z385" s="197">
        <f t="shared" si="570"/>
        <v>2</v>
      </c>
      <c r="AA385" s="199" t="b">
        <f t="shared" si="3"/>
        <v>0</v>
      </c>
      <c r="AB385" s="199" t="b">
        <f t="shared" si="4"/>
        <v>0</v>
      </c>
      <c r="AC385" s="200">
        <f t="shared" ref="AC385:AD385" si="628">1-I385</f>
        <v>0.66999999999999993</v>
      </c>
      <c r="AD385" s="200">
        <f t="shared" si="628"/>
        <v>0.66999999999999993</v>
      </c>
      <c r="AE385" s="199">
        <f t="shared" si="6"/>
        <v>2</v>
      </c>
      <c r="AF385" s="201">
        <f t="shared" si="572"/>
        <v>0</v>
      </c>
      <c r="AG385" s="201">
        <f t="shared" si="8"/>
        <v>1</v>
      </c>
      <c r="AH385" s="202">
        <f t="shared" si="573"/>
        <v>0</v>
      </c>
      <c r="AI385" s="205"/>
      <c r="AJ385" s="173"/>
      <c r="AK385" s="173"/>
      <c r="AL385" s="173"/>
      <c r="AM385" s="173"/>
      <c r="AN385" s="173"/>
      <c r="AO385" s="173"/>
      <c r="AP385" s="173"/>
      <c r="AQ385" s="173"/>
      <c r="AR385" s="173"/>
      <c r="AS385" s="173"/>
      <c r="AT385" s="173"/>
      <c r="AU385" s="173"/>
      <c r="AV385" s="173"/>
    </row>
    <row r="386" spans="1:48" ht="14.25">
      <c r="A386" s="187"/>
      <c r="B386" s="371">
        <v>4</v>
      </c>
      <c r="C386" s="372" t="s">
        <v>926</v>
      </c>
      <c r="D386" s="373" t="s">
        <v>68</v>
      </c>
      <c r="E386" s="373" t="s">
        <v>77</v>
      </c>
      <c r="F386" s="373" t="s">
        <v>8</v>
      </c>
      <c r="G386" s="377">
        <v>2</v>
      </c>
      <c r="H386" s="374">
        <v>0</v>
      </c>
      <c r="I386" s="375">
        <v>1</v>
      </c>
      <c r="J386" s="375">
        <v>1</v>
      </c>
      <c r="K386" s="269" t="s">
        <v>182</v>
      </c>
      <c r="L386" s="269"/>
      <c r="M386" s="269">
        <v>2</v>
      </c>
      <c r="N386" s="338">
        <v>2</v>
      </c>
      <c r="O386" s="376" t="s">
        <v>927</v>
      </c>
      <c r="P386" s="313" t="s">
        <v>651</v>
      </c>
      <c r="Q386" s="373" t="s">
        <v>148</v>
      </c>
      <c r="R386" s="173"/>
      <c r="S386" s="195">
        <f>MATCH($D386,Reference!$J$5:$J$9,0)</f>
        <v>3</v>
      </c>
      <c r="T386" s="195">
        <f>MATCH($E386,Reference!$J$26:$J$32,0)</f>
        <v>2</v>
      </c>
      <c r="U386" s="195">
        <f>MATCH($F386,Reference!$J$45:$J$54,0)</f>
        <v>1</v>
      </c>
      <c r="V386" s="196">
        <f>MATCH($K386,Reference!$J$37:$J$39,0)</f>
        <v>3</v>
      </c>
      <c r="W386" s="197">
        <f t="shared" si="568"/>
        <v>2</v>
      </c>
      <c r="X386" s="197">
        <f t="shared" si="1"/>
        <v>1</v>
      </c>
      <c r="Y386" s="197">
        <f t="shared" si="569"/>
        <v>0</v>
      </c>
      <c r="Z386" s="197">
        <f t="shared" si="570"/>
        <v>2</v>
      </c>
      <c r="AA386" s="199" t="b">
        <f t="shared" si="3"/>
        <v>0</v>
      </c>
      <c r="AB386" s="199" t="b">
        <f t="shared" si="4"/>
        <v>0</v>
      </c>
      <c r="AC386" s="200">
        <f t="shared" ref="AC386:AD386" si="629">1-I386</f>
        <v>0</v>
      </c>
      <c r="AD386" s="200">
        <f t="shared" si="629"/>
        <v>0</v>
      </c>
      <c r="AE386" s="199">
        <f t="shared" si="6"/>
        <v>2</v>
      </c>
      <c r="AF386" s="201">
        <f t="shared" si="572"/>
        <v>0</v>
      </c>
      <c r="AG386" s="201">
        <f t="shared" si="8"/>
        <v>1</v>
      </c>
      <c r="AH386" s="202">
        <f t="shared" si="573"/>
        <v>0</v>
      </c>
      <c r="AI386" s="205"/>
      <c r="AJ386" s="173"/>
      <c r="AK386" s="173"/>
      <c r="AL386" s="173"/>
      <c r="AM386" s="173"/>
      <c r="AN386" s="173"/>
      <c r="AO386" s="173"/>
      <c r="AP386" s="173"/>
      <c r="AQ386" s="173"/>
      <c r="AR386" s="173"/>
      <c r="AS386" s="173"/>
      <c r="AT386" s="173"/>
      <c r="AU386" s="173"/>
      <c r="AV386" s="173"/>
    </row>
    <row r="387" spans="1:48" ht="14.25">
      <c r="A387" s="209"/>
      <c r="B387" s="371">
        <v>4</v>
      </c>
      <c r="C387" s="372" t="s">
        <v>928</v>
      </c>
      <c r="D387" s="373" t="s">
        <v>68</v>
      </c>
      <c r="E387" s="373" t="s">
        <v>77</v>
      </c>
      <c r="F387" s="373" t="s">
        <v>18</v>
      </c>
      <c r="G387" s="374">
        <v>2</v>
      </c>
      <c r="H387" s="374">
        <v>0</v>
      </c>
      <c r="I387" s="375">
        <v>0.33</v>
      </c>
      <c r="J387" s="375">
        <v>0</v>
      </c>
      <c r="K387" s="373" t="s">
        <v>146</v>
      </c>
      <c r="L387" s="373"/>
      <c r="M387" s="378"/>
      <c r="N387" s="379"/>
      <c r="O387" s="376" t="s">
        <v>929</v>
      </c>
      <c r="P387" s="313"/>
      <c r="Q387" s="373" t="s">
        <v>148</v>
      </c>
      <c r="R387" s="173"/>
      <c r="S387" s="195">
        <f>MATCH($D387,Reference!$J$5:$J$9,0)</f>
        <v>3</v>
      </c>
      <c r="T387" s="195">
        <f>MATCH($E387,Reference!$J$26:$J$32,0)</f>
        <v>2</v>
      </c>
      <c r="U387" s="195">
        <f>MATCH($F387,Reference!$J$45:$J$54,0)</f>
        <v>5</v>
      </c>
      <c r="V387" s="196">
        <f>MATCH($K387,Reference!$J$37:$J$39,0)</f>
        <v>2</v>
      </c>
      <c r="W387" s="197">
        <f t="shared" si="568"/>
        <v>2</v>
      </c>
      <c r="X387" s="197">
        <f t="shared" si="1"/>
        <v>1</v>
      </c>
      <c r="Y387" s="197">
        <f t="shared" si="569"/>
        <v>0</v>
      </c>
      <c r="Z387" s="197">
        <f t="shared" si="570"/>
        <v>2</v>
      </c>
      <c r="AA387" s="199" t="b">
        <f t="shared" si="3"/>
        <v>0</v>
      </c>
      <c r="AB387" s="199" t="b">
        <f t="shared" si="4"/>
        <v>0</v>
      </c>
      <c r="AC387" s="200">
        <f t="shared" ref="AC387:AD387" si="630">1-I387</f>
        <v>0.66999999999999993</v>
      </c>
      <c r="AD387" s="200">
        <f t="shared" si="630"/>
        <v>1</v>
      </c>
      <c r="AE387" s="199">
        <f t="shared" si="6"/>
        <v>2</v>
      </c>
      <c r="AF387" s="201">
        <f t="shared" si="572"/>
        <v>0</v>
      </c>
      <c r="AG387" s="201">
        <f t="shared" si="8"/>
        <v>1</v>
      </c>
      <c r="AH387" s="202">
        <f t="shared" si="573"/>
        <v>0</v>
      </c>
      <c r="AI387" s="205"/>
      <c r="AJ387" s="173"/>
      <c r="AK387" s="173"/>
      <c r="AL387" s="173"/>
      <c r="AM387" s="173"/>
      <c r="AN387" s="173"/>
      <c r="AO387" s="173"/>
      <c r="AP387" s="173"/>
      <c r="AQ387" s="173"/>
      <c r="AR387" s="173"/>
      <c r="AS387" s="173"/>
      <c r="AT387" s="173"/>
      <c r="AU387" s="173"/>
      <c r="AV387" s="173"/>
    </row>
    <row r="388" spans="1:48" ht="14.25">
      <c r="A388" s="279"/>
      <c r="B388" s="371">
        <v>4</v>
      </c>
      <c r="C388" s="387" t="s">
        <v>930</v>
      </c>
      <c r="D388" s="373" t="s">
        <v>68</v>
      </c>
      <c r="E388" s="373" t="s">
        <v>77</v>
      </c>
      <c r="F388" s="373" t="s">
        <v>20</v>
      </c>
      <c r="G388" s="377">
        <v>2</v>
      </c>
      <c r="H388" s="374">
        <v>0</v>
      </c>
      <c r="I388" s="375">
        <v>0.33</v>
      </c>
      <c r="J388" s="375">
        <v>0</v>
      </c>
      <c r="K388" s="373" t="s">
        <v>182</v>
      </c>
      <c r="L388" s="373"/>
      <c r="M388" s="378">
        <v>4</v>
      </c>
      <c r="N388" s="379">
        <v>4</v>
      </c>
      <c r="O388" s="385" t="s">
        <v>931</v>
      </c>
      <c r="P388" s="313" t="s">
        <v>184</v>
      </c>
      <c r="Q388" s="373" t="s">
        <v>148</v>
      </c>
      <c r="R388" s="173"/>
      <c r="S388" s="195">
        <f>MATCH($D388,Reference!$J$5:$J$9,0)</f>
        <v>3</v>
      </c>
      <c r="T388" s="195">
        <f>MATCH($E388,Reference!$J$26:$J$32,0)</f>
        <v>2</v>
      </c>
      <c r="U388" s="195">
        <f>MATCH($F388,Reference!$J$45:$J$54,0)</f>
        <v>6</v>
      </c>
      <c r="V388" s="196">
        <f>MATCH($K388,Reference!$J$37:$J$39,0)</f>
        <v>3</v>
      </c>
      <c r="W388" s="197">
        <f t="shared" si="568"/>
        <v>2</v>
      </c>
      <c r="X388" s="197">
        <f t="shared" si="1"/>
        <v>1</v>
      </c>
      <c r="Y388" s="197">
        <f t="shared" si="569"/>
        <v>0</v>
      </c>
      <c r="Z388" s="197">
        <f t="shared" si="570"/>
        <v>2</v>
      </c>
      <c r="AA388" s="199" t="b">
        <f t="shared" si="3"/>
        <v>0</v>
      </c>
      <c r="AB388" s="199" t="b">
        <f t="shared" si="4"/>
        <v>0</v>
      </c>
      <c r="AC388" s="200">
        <f t="shared" ref="AC388:AD388" si="631">1-I388</f>
        <v>0.66999999999999993</v>
      </c>
      <c r="AD388" s="200">
        <f t="shared" si="631"/>
        <v>1</v>
      </c>
      <c r="AE388" s="199">
        <f t="shared" si="6"/>
        <v>2</v>
      </c>
      <c r="AF388" s="201">
        <f t="shared" si="572"/>
        <v>0</v>
      </c>
      <c r="AG388" s="201">
        <f t="shared" si="8"/>
        <v>1</v>
      </c>
      <c r="AH388" s="202">
        <f t="shared" si="573"/>
        <v>0</v>
      </c>
      <c r="AI388" s="205"/>
      <c r="AJ388" s="173"/>
      <c r="AK388" s="173"/>
      <c r="AL388" s="173"/>
      <c r="AM388" s="173"/>
      <c r="AN388" s="173"/>
      <c r="AO388" s="173"/>
      <c r="AP388" s="173"/>
      <c r="AQ388" s="173"/>
      <c r="AR388" s="173"/>
      <c r="AS388" s="173"/>
      <c r="AT388" s="173"/>
      <c r="AU388" s="173"/>
      <c r="AV388" s="173"/>
    </row>
    <row r="389" spans="1:48" ht="14.25">
      <c r="A389" s="187"/>
      <c r="B389" s="371">
        <v>4</v>
      </c>
      <c r="C389" s="372" t="s">
        <v>932</v>
      </c>
      <c r="D389" s="373" t="s">
        <v>68</v>
      </c>
      <c r="E389" s="373" t="s">
        <v>77</v>
      </c>
      <c r="F389" s="373" t="s">
        <v>26</v>
      </c>
      <c r="G389" s="374">
        <v>2</v>
      </c>
      <c r="H389" s="374">
        <v>0</v>
      </c>
      <c r="I389" s="375">
        <v>0.66</v>
      </c>
      <c r="J389" s="375">
        <v>0.66</v>
      </c>
      <c r="K389" s="373" t="s">
        <v>146</v>
      </c>
      <c r="L389" s="373"/>
      <c r="M389" s="378"/>
      <c r="N389" s="379"/>
      <c r="O389" s="376" t="s">
        <v>933</v>
      </c>
      <c r="P389" s="313"/>
      <c r="Q389" s="373" t="s">
        <v>148</v>
      </c>
      <c r="R389" s="173"/>
      <c r="S389" s="195">
        <f>MATCH($D389,Reference!$J$5:$J$9,0)</f>
        <v>3</v>
      </c>
      <c r="T389" s="195">
        <f>MATCH($E389,Reference!$J$26:$J$32,0)</f>
        <v>2</v>
      </c>
      <c r="U389" s="195">
        <f>MATCH($F389,Reference!$J$45:$J$54,0)</f>
        <v>9</v>
      </c>
      <c r="V389" s="196">
        <f>MATCH($K389,Reference!$J$37:$J$39,0)</f>
        <v>2</v>
      </c>
      <c r="W389" s="197">
        <f t="shared" si="568"/>
        <v>2</v>
      </c>
      <c r="X389" s="197">
        <f t="shared" si="1"/>
        <v>1</v>
      </c>
      <c r="Y389" s="197">
        <f t="shared" si="569"/>
        <v>0</v>
      </c>
      <c r="Z389" s="197">
        <f t="shared" si="570"/>
        <v>2</v>
      </c>
      <c r="AA389" s="199" t="b">
        <f t="shared" si="3"/>
        <v>0</v>
      </c>
      <c r="AB389" s="199" t="b">
        <f t="shared" si="4"/>
        <v>0</v>
      </c>
      <c r="AC389" s="200">
        <f t="shared" ref="AC389:AD389" si="632">1-I389</f>
        <v>0.33999999999999997</v>
      </c>
      <c r="AD389" s="200">
        <f t="shared" si="632"/>
        <v>0.33999999999999997</v>
      </c>
      <c r="AE389" s="199">
        <f t="shared" si="6"/>
        <v>2</v>
      </c>
      <c r="AF389" s="201">
        <f t="shared" si="572"/>
        <v>0</v>
      </c>
      <c r="AG389" s="201">
        <f t="shared" si="8"/>
        <v>1</v>
      </c>
      <c r="AH389" s="202">
        <f t="shared" si="573"/>
        <v>0</v>
      </c>
      <c r="AI389" s="205"/>
      <c r="AJ389" s="173"/>
      <c r="AK389" s="173"/>
      <c r="AL389" s="173"/>
      <c r="AM389" s="173"/>
      <c r="AN389" s="173"/>
      <c r="AO389" s="173"/>
      <c r="AP389" s="173"/>
      <c r="AQ389" s="173"/>
      <c r="AR389" s="173"/>
      <c r="AS389" s="173"/>
      <c r="AT389" s="173"/>
      <c r="AU389" s="173"/>
      <c r="AV389" s="173"/>
    </row>
    <row r="390" spans="1:48" ht="14.25">
      <c r="A390" s="279"/>
      <c r="B390" s="371">
        <v>4</v>
      </c>
      <c r="C390" s="372" t="s">
        <v>934</v>
      </c>
      <c r="D390" s="373" t="s">
        <v>68</v>
      </c>
      <c r="E390" s="373" t="s">
        <v>77</v>
      </c>
      <c r="F390" s="373" t="s">
        <v>18</v>
      </c>
      <c r="G390" s="374">
        <v>2</v>
      </c>
      <c r="H390" s="374">
        <v>0</v>
      </c>
      <c r="I390" s="375">
        <v>1</v>
      </c>
      <c r="J390" s="375">
        <v>1</v>
      </c>
      <c r="K390" s="269" t="s">
        <v>146</v>
      </c>
      <c r="L390" s="269"/>
      <c r="M390" s="269"/>
      <c r="N390" s="269"/>
      <c r="O390" s="376" t="s">
        <v>935</v>
      </c>
      <c r="P390" s="313"/>
      <c r="Q390" s="373" t="s">
        <v>148</v>
      </c>
      <c r="R390" s="173"/>
      <c r="S390" s="195">
        <f>MATCH($D390,Reference!$J$5:$J$9,0)</f>
        <v>3</v>
      </c>
      <c r="T390" s="195">
        <f>MATCH($E390,Reference!$J$26:$J$32,0)</f>
        <v>2</v>
      </c>
      <c r="U390" s="195">
        <f>MATCH($F390,Reference!$J$45:$J$54,0)</f>
        <v>5</v>
      </c>
      <c r="V390" s="196">
        <f>MATCH($K390,Reference!$J$37:$J$39,0)</f>
        <v>2</v>
      </c>
      <c r="W390" s="197">
        <f t="shared" si="568"/>
        <v>2</v>
      </c>
      <c r="X390" s="197">
        <f t="shared" si="1"/>
        <v>1</v>
      </c>
      <c r="Y390" s="197">
        <f t="shared" si="569"/>
        <v>0</v>
      </c>
      <c r="Z390" s="197">
        <f t="shared" si="570"/>
        <v>2</v>
      </c>
      <c r="AA390" s="199" t="b">
        <f t="shared" si="3"/>
        <v>0</v>
      </c>
      <c r="AB390" s="199" t="b">
        <f t="shared" si="4"/>
        <v>0</v>
      </c>
      <c r="AC390" s="200">
        <f t="shared" ref="AC390:AD390" si="633">1-I390</f>
        <v>0</v>
      </c>
      <c r="AD390" s="200">
        <f t="shared" si="633"/>
        <v>0</v>
      </c>
      <c r="AE390" s="199">
        <f t="shared" si="6"/>
        <v>2</v>
      </c>
      <c r="AF390" s="201">
        <f t="shared" si="572"/>
        <v>0</v>
      </c>
      <c r="AG390" s="201">
        <f t="shared" si="8"/>
        <v>1</v>
      </c>
      <c r="AH390" s="202">
        <f t="shared" si="573"/>
        <v>0</v>
      </c>
      <c r="AI390" s="205"/>
      <c r="AJ390" s="173"/>
      <c r="AK390" s="173"/>
      <c r="AL390" s="173"/>
      <c r="AM390" s="173"/>
      <c r="AN390" s="173"/>
      <c r="AO390" s="173"/>
      <c r="AP390" s="173"/>
      <c r="AQ390" s="173"/>
      <c r="AR390" s="173"/>
      <c r="AS390" s="173"/>
      <c r="AT390" s="173"/>
      <c r="AU390" s="173"/>
      <c r="AV390" s="173"/>
    </row>
    <row r="391" spans="1:48" ht="14.25">
      <c r="A391" s="187"/>
      <c r="B391" s="371">
        <v>4</v>
      </c>
      <c r="C391" s="372" t="s">
        <v>936</v>
      </c>
      <c r="D391" s="373" t="s">
        <v>68</v>
      </c>
      <c r="E391" s="373" t="s">
        <v>77</v>
      </c>
      <c r="F391" s="373" t="s">
        <v>25</v>
      </c>
      <c r="G391" s="374">
        <v>2</v>
      </c>
      <c r="H391" s="374">
        <v>0</v>
      </c>
      <c r="I391" s="375">
        <v>1</v>
      </c>
      <c r="J391" s="375">
        <v>1</v>
      </c>
      <c r="K391" s="269" t="s">
        <v>146</v>
      </c>
      <c r="L391" s="269"/>
      <c r="M391" s="269"/>
      <c r="N391" s="269"/>
      <c r="O391" s="376" t="s">
        <v>937</v>
      </c>
      <c r="P391" s="313"/>
      <c r="Q391" s="373" t="s">
        <v>148</v>
      </c>
      <c r="R391" s="173"/>
      <c r="S391" s="195">
        <f>MATCH($D391,Reference!$J$5:$J$9,0)</f>
        <v>3</v>
      </c>
      <c r="T391" s="195">
        <f>MATCH($E391,Reference!$J$26:$J$32,0)</f>
        <v>2</v>
      </c>
      <c r="U391" s="195">
        <f>MATCH($F391,Reference!$J$45:$J$54,0)</f>
        <v>8</v>
      </c>
      <c r="V391" s="196">
        <f>MATCH($K391,Reference!$J$37:$J$39,0)</f>
        <v>2</v>
      </c>
      <c r="W391" s="197">
        <f t="shared" si="568"/>
        <v>2</v>
      </c>
      <c r="X391" s="197">
        <f t="shared" si="1"/>
        <v>1</v>
      </c>
      <c r="Y391" s="197">
        <f t="shared" si="569"/>
        <v>0</v>
      </c>
      <c r="Z391" s="197">
        <f t="shared" si="570"/>
        <v>2</v>
      </c>
      <c r="AA391" s="199" t="b">
        <f t="shared" si="3"/>
        <v>0</v>
      </c>
      <c r="AB391" s="199" t="b">
        <f t="shared" si="4"/>
        <v>0</v>
      </c>
      <c r="AC391" s="200">
        <f t="shared" ref="AC391:AD391" si="634">1-I391</f>
        <v>0</v>
      </c>
      <c r="AD391" s="200">
        <f t="shared" si="634"/>
        <v>0</v>
      </c>
      <c r="AE391" s="199">
        <f t="shared" si="6"/>
        <v>2</v>
      </c>
      <c r="AF391" s="201">
        <f t="shared" si="572"/>
        <v>0</v>
      </c>
      <c r="AG391" s="201">
        <f t="shared" si="8"/>
        <v>1</v>
      </c>
      <c r="AH391" s="202">
        <f t="shared" si="573"/>
        <v>0</v>
      </c>
      <c r="AI391" s="205"/>
      <c r="AJ391" s="173"/>
      <c r="AK391" s="173"/>
      <c r="AL391" s="173"/>
      <c r="AM391" s="173"/>
      <c r="AN391" s="173"/>
      <c r="AO391" s="173"/>
      <c r="AP391" s="173"/>
      <c r="AQ391" s="173"/>
      <c r="AR391" s="173"/>
      <c r="AS391" s="173"/>
      <c r="AT391" s="173"/>
      <c r="AU391" s="173"/>
      <c r="AV391" s="173"/>
    </row>
    <row r="392" spans="1:48" ht="14.25">
      <c r="A392" s="279"/>
      <c r="B392" s="371">
        <v>4</v>
      </c>
      <c r="C392" s="372" t="s">
        <v>938</v>
      </c>
      <c r="D392" s="373" t="s">
        <v>68</v>
      </c>
      <c r="E392" s="373" t="s">
        <v>77</v>
      </c>
      <c r="F392" s="373" t="s">
        <v>115</v>
      </c>
      <c r="G392" s="374">
        <v>2</v>
      </c>
      <c r="H392" s="377">
        <v>0</v>
      </c>
      <c r="I392" s="375">
        <v>1</v>
      </c>
      <c r="J392" s="375">
        <v>1</v>
      </c>
      <c r="K392" s="269" t="s">
        <v>182</v>
      </c>
      <c r="L392" s="269" t="s">
        <v>415</v>
      </c>
      <c r="M392" s="269">
        <v>4</v>
      </c>
      <c r="N392" s="269" t="s">
        <v>939</v>
      </c>
      <c r="O392" s="376" t="s">
        <v>940</v>
      </c>
      <c r="P392" s="313" t="s">
        <v>184</v>
      </c>
      <c r="Q392" s="373" t="s">
        <v>148</v>
      </c>
      <c r="R392" s="173"/>
      <c r="S392" s="195">
        <f>MATCH($D392,Reference!$J$5:$J$9,0)</f>
        <v>3</v>
      </c>
      <c r="T392" s="195">
        <f>MATCH($E392,Reference!$J$26:$J$32,0)</f>
        <v>2</v>
      </c>
      <c r="U392" s="195">
        <f>MATCH($F392,Reference!$J$45:$J$54,0)</f>
        <v>10</v>
      </c>
      <c r="V392" s="196">
        <f>MATCH($K392,Reference!$J$37:$J$39,0)</f>
        <v>3</v>
      </c>
      <c r="W392" s="197">
        <f t="shared" si="568"/>
        <v>2</v>
      </c>
      <c r="X392" s="197">
        <f t="shared" si="1"/>
        <v>1</v>
      </c>
      <c r="Y392" s="197">
        <f t="shared" si="569"/>
        <v>0</v>
      </c>
      <c r="Z392" s="197">
        <f t="shared" si="570"/>
        <v>2</v>
      </c>
      <c r="AA392" s="199" t="b">
        <f t="shared" si="3"/>
        <v>0</v>
      </c>
      <c r="AB392" s="199" t="b">
        <f t="shared" si="4"/>
        <v>0</v>
      </c>
      <c r="AC392" s="200">
        <f t="shared" ref="AC392:AD392" si="635">1-I392</f>
        <v>0</v>
      </c>
      <c r="AD392" s="200">
        <f t="shared" si="635"/>
        <v>0</v>
      </c>
      <c r="AE392" s="199">
        <f t="shared" si="6"/>
        <v>2</v>
      </c>
      <c r="AF392" s="201">
        <f t="shared" si="572"/>
        <v>0</v>
      </c>
      <c r="AG392" s="201">
        <f t="shared" si="8"/>
        <v>1</v>
      </c>
      <c r="AH392" s="202">
        <f t="shared" si="573"/>
        <v>0</v>
      </c>
      <c r="AI392" s="205"/>
      <c r="AJ392" s="173"/>
      <c r="AK392" s="173"/>
      <c r="AL392" s="173"/>
      <c r="AM392" s="173"/>
      <c r="AN392" s="173"/>
      <c r="AO392" s="173"/>
      <c r="AP392" s="173"/>
      <c r="AQ392" s="173"/>
      <c r="AR392" s="173"/>
      <c r="AS392" s="173"/>
      <c r="AT392" s="173"/>
      <c r="AU392" s="173"/>
      <c r="AV392" s="173"/>
    </row>
    <row r="393" spans="1:48" ht="14.25">
      <c r="A393" s="279"/>
      <c r="B393" s="371">
        <v>4</v>
      </c>
      <c r="C393" s="372" t="s">
        <v>941</v>
      </c>
      <c r="D393" s="373" t="s">
        <v>68</v>
      </c>
      <c r="E393" s="373" t="s">
        <v>77</v>
      </c>
      <c r="F393" s="373" t="s">
        <v>115</v>
      </c>
      <c r="G393" s="374">
        <v>2</v>
      </c>
      <c r="H393" s="374">
        <v>0</v>
      </c>
      <c r="I393" s="375">
        <v>0.66</v>
      </c>
      <c r="J393" s="375">
        <v>0.66</v>
      </c>
      <c r="K393" s="269" t="s">
        <v>182</v>
      </c>
      <c r="L393" s="269"/>
      <c r="M393" s="269">
        <v>3</v>
      </c>
      <c r="N393" s="269">
        <v>5</v>
      </c>
      <c r="O393" s="376" t="s">
        <v>942</v>
      </c>
      <c r="P393" s="313"/>
      <c r="Q393" s="373" t="s">
        <v>148</v>
      </c>
      <c r="R393" s="173"/>
      <c r="S393" s="195">
        <f>MATCH($D393,Reference!$J$5:$J$9,0)</f>
        <v>3</v>
      </c>
      <c r="T393" s="195">
        <f>MATCH($E393,Reference!$J$26:$J$32,0)</f>
        <v>2</v>
      </c>
      <c r="U393" s="195">
        <f>MATCH($F393,Reference!$J$45:$J$54,0)</f>
        <v>10</v>
      </c>
      <c r="V393" s="196">
        <f>MATCH($K393,Reference!$J$37:$J$39,0)</f>
        <v>3</v>
      </c>
      <c r="W393" s="197">
        <f t="shared" si="568"/>
        <v>2</v>
      </c>
      <c r="X393" s="197">
        <f t="shared" si="1"/>
        <v>1</v>
      </c>
      <c r="Y393" s="197">
        <f t="shared" si="569"/>
        <v>0</v>
      </c>
      <c r="Z393" s="197">
        <f t="shared" si="570"/>
        <v>2</v>
      </c>
      <c r="AA393" s="199" t="b">
        <f t="shared" si="3"/>
        <v>0</v>
      </c>
      <c r="AB393" s="199" t="b">
        <f t="shared" si="4"/>
        <v>0</v>
      </c>
      <c r="AC393" s="200">
        <f t="shared" ref="AC393:AD393" si="636">1-I393</f>
        <v>0.33999999999999997</v>
      </c>
      <c r="AD393" s="200">
        <f t="shared" si="636"/>
        <v>0.33999999999999997</v>
      </c>
      <c r="AE393" s="199">
        <f t="shared" si="6"/>
        <v>2</v>
      </c>
      <c r="AF393" s="201">
        <f t="shared" si="572"/>
        <v>0</v>
      </c>
      <c r="AG393" s="201">
        <f t="shared" si="8"/>
        <v>1</v>
      </c>
      <c r="AH393" s="202">
        <f t="shared" si="573"/>
        <v>0</v>
      </c>
      <c r="AI393" s="205"/>
      <c r="AJ393" s="173"/>
      <c r="AK393" s="173"/>
      <c r="AL393" s="173"/>
      <c r="AM393" s="173"/>
      <c r="AN393" s="173"/>
      <c r="AO393" s="173"/>
      <c r="AP393" s="173"/>
      <c r="AQ393" s="173"/>
      <c r="AR393" s="173"/>
      <c r="AS393" s="173"/>
      <c r="AT393" s="173"/>
      <c r="AU393" s="173"/>
      <c r="AV393" s="173"/>
    </row>
    <row r="394" spans="1:48" ht="14.25">
      <c r="A394" s="206"/>
      <c r="B394" s="371">
        <v>5</v>
      </c>
      <c r="C394" s="372" t="s">
        <v>943</v>
      </c>
      <c r="D394" s="373" t="s">
        <v>68</v>
      </c>
      <c r="E394" s="373" t="s">
        <v>77</v>
      </c>
      <c r="F394" s="373" t="s">
        <v>115</v>
      </c>
      <c r="G394" s="374">
        <v>0</v>
      </c>
      <c r="H394" s="374">
        <v>0</v>
      </c>
      <c r="I394" s="375">
        <v>0</v>
      </c>
      <c r="J394" s="375">
        <v>0</v>
      </c>
      <c r="K394" s="269" t="s">
        <v>182</v>
      </c>
      <c r="L394" s="269"/>
      <c r="M394" s="269">
        <v>4</v>
      </c>
      <c r="N394" s="269">
        <v>4</v>
      </c>
      <c r="O394" s="376" t="s">
        <v>944</v>
      </c>
      <c r="P394" s="388" t="s">
        <v>945</v>
      </c>
      <c r="Q394" s="373" t="s">
        <v>148</v>
      </c>
      <c r="R394" s="173"/>
      <c r="S394" s="195">
        <f>MATCH($D394,Reference!$J$5:$J$9,0)</f>
        <v>3</v>
      </c>
      <c r="T394" s="195">
        <f>MATCH($E394,Reference!$J$26:$J$32,0)</f>
        <v>2</v>
      </c>
      <c r="U394" s="195">
        <f>MATCH($F394,Reference!$J$45:$J$54,0)</f>
        <v>10</v>
      </c>
      <c r="V394" s="196">
        <f>MATCH($K394,Reference!$J$37:$J$39,0)</f>
        <v>3</v>
      </c>
      <c r="W394" s="197">
        <f t="shared" si="568"/>
        <v>0</v>
      </c>
      <c r="X394" s="197">
        <f t="shared" si="1"/>
        <v>0</v>
      </c>
      <c r="Y394" s="197">
        <f t="shared" si="569"/>
        <v>0</v>
      </c>
      <c r="Z394" s="197">
        <f t="shared" si="570"/>
        <v>0</v>
      </c>
      <c r="AA394" s="199" t="b">
        <f t="shared" si="3"/>
        <v>1</v>
      </c>
      <c r="AB394" s="199" t="b">
        <f t="shared" si="4"/>
        <v>1</v>
      </c>
      <c r="AC394" s="200">
        <f t="shared" ref="AC394:AD394" si="637">1-I394</f>
        <v>1</v>
      </c>
      <c r="AD394" s="200">
        <f t="shared" si="637"/>
        <v>1</v>
      </c>
      <c r="AE394" s="199">
        <f t="shared" si="6"/>
        <v>2</v>
      </c>
      <c r="AF394" s="201">
        <f t="shared" si="572"/>
        <v>0</v>
      </c>
      <c r="AG394" s="201">
        <f t="shared" si="8"/>
        <v>0</v>
      </c>
      <c r="AH394" s="202">
        <f t="shared" si="573"/>
        <v>0</v>
      </c>
      <c r="AI394" s="205"/>
      <c r="AJ394" s="173"/>
      <c r="AK394" s="173"/>
      <c r="AL394" s="173"/>
      <c r="AM394" s="173"/>
      <c r="AN394" s="173"/>
      <c r="AO394" s="173"/>
      <c r="AP394" s="173"/>
      <c r="AQ394" s="173"/>
      <c r="AR394" s="173"/>
      <c r="AS394" s="173"/>
      <c r="AT394" s="173"/>
      <c r="AU394" s="173"/>
      <c r="AV394" s="173"/>
    </row>
    <row r="395" spans="1:48" ht="14.25">
      <c r="A395" s="187"/>
      <c r="B395" s="371">
        <v>5</v>
      </c>
      <c r="C395" s="372" t="s">
        <v>946</v>
      </c>
      <c r="D395" s="373" t="s">
        <v>68</v>
      </c>
      <c r="E395" s="373" t="s">
        <v>77</v>
      </c>
      <c r="F395" s="373" t="s">
        <v>115</v>
      </c>
      <c r="G395" s="374">
        <v>2</v>
      </c>
      <c r="H395" s="374">
        <v>0</v>
      </c>
      <c r="I395" s="375">
        <v>1</v>
      </c>
      <c r="J395" s="375">
        <v>1</v>
      </c>
      <c r="K395" s="269" t="s">
        <v>182</v>
      </c>
      <c r="L395" s="269" t="s">
        <v>415</v>
      </c>
      <c r="M395" s="269">
        <v>4</v>
      </c>
      <c r="N395" s="269">
        <v>4</v>
      </c>
      <c r="O395" s="376" t="s">
        <v>947</v>
      </c>
      <c r="P395" s="313" t="s">
        <v>268</v>
      </c>
      <c r="Q395" s="373" t="s">
        <v>148</v>
      </c>
      <c r="R395" s="173"/>
      <c r="S395" s="195">
        <f>MATCH($D395,Reference!$J$5:$J$9,0)</f>
        <v>3</v>
      </c>
      <c r="T395" s="195">
        <f>MATCH($E395,Reference!$J$26:$J$32,0)</f>
        <v>2</v>
      </c>
      <c r="U395" s="195">
        <f>MATCH($F395,Reference!$J$45:$J$54,0)</f>
        <v>10</v>
      </c>
      <c r="V395" s="196">
        <f>MATCH($K395,Reference!$J$37:$J$39,0)</f>
        <v>3</v>
      </c>
      <c r="W395" s="197">
        <f t="shared" si="568"/>
        <v>2</v>
      </c>
      <c r="X395" s="197">
        <f t="shared" si="1"/>
        <v>1</v>
      </c>
      <c r="Y395" s="197">
        <f t="shared" si="569"/>
        <v>0</v>
      </c>
      <c r="Z395" s="197">
        <f t="shared" si="570"/>
        <v>2</v>
      </c>
      <c r="AA395" s="199" t="b">
        <f t="shared" si="3"/>
        <v>0</v>
      </c>
      <c r="AB395" s="199" t="b">
        <f t="shared" si="4"/>
        <v>0</v>
      </c>
      <c r="AC395" s="200">
        <f t="shared" ref="AC395:AD395" si="638">1-I395</f>
        <v>0</v>
      </c>
      <c r="AD395" s="200">
        <f t="shared" si="638"/>
        <v>0</v>
      </c>
      <c r="AE395" s="199">
        <f t="shared" si="6"/>
        <v>2</v>
      </c>
      <c r="AF395" s="201">
        <f t="shared" si="572"/>
        <v>0</v>
      </c>
      <c r="AG395" s="201">
        <f t="shared" si="8"/>
        <v>1</v>
      </c>
      <c r="AH395" s="202">
        <f t="shared" si="573"/>
        <v>0</v>
      </c>
      <c r="AI395" s="205"/>
      <c r="AJ395" s="173"/>
      <c r="AK395" s="173"/>
      <c r="AL395" s="173"/>
      <c r="AM395" s="173"/>
      <c r="AN395" s="173"/>
      <c r="AO395" s="173"/>
      <c r="AP395" s="173"/>
      <c r="AQ395" s="173"/>
      <c r="AR395" s="173"/>
      <c r="AS395" s="173"/>
      <c r="AT395" s="173"/>
      <c r="AU395" s="173"/>
      <c r="AV395" s="173"/>
    </row>
    <row r="396" spans="1:48" ht="14.25">
      <c r="A396" s="206"/>
      <c r="B396" s="371">
        <v>5</v>
      </c>
      <c r="C396" s="372" t="s">
        <v>948</v>
      </c>
      <c r="D396" s="373" t="s">
        <v>68</v>
      </c>
      <c r="E396" s="373" t="s">
        <v>77</v>
      </c>
      <c r="F396" s="373" t="s">
        <v>16</v>
      </c>
      <c r="G396" s="377">
        <v>1</v>
      </c>
      <c r="H396" s="374">
        <v>0</v>
      </c>
      <c r="I396" s="375">
        <v>1</v>
      </c>
      <c r="J396" s="375">
        <v>1</v>
      </c>
      <c r="K396" s="242" t="s">
        <v>146</v>
      </c>
      <c r="L396" s="269"/>
      <c r="M396" s="242"/>
      <c r="N396" s="242"/>
      <c r="O396" s="376" t="s">
        <v>949</v>
      </c>
      <c r="P396" s="313"/>
      <c r="Q396" s="373" t="s">
        <v>148</v>
      </c>
      <c r="R396" s="173"/>
      <c r="S396" s="195">
        <f>MATCH($D396,Reference!$J$5:$J$9,0)</f>
        <v>3</v>
      </c>
      <c r="T396" s="195">
        <f>MATCH($E396,Reference!$J$26:$J$32,0)</f>
        <v>2</v>
      </c>
      <c r="U396" s="195">
        <f>MATCH($F396,Reference!$J$45:$J$54,0)</f>
        <v>4</v>
      </c>
      <c r="V396" s="196">
        <f>MATCH($K396,Reference!$J$37:$J$39,0)</f>
        <v>2</v>
      </c>
      <c r="W396" s="197">
        <f t="shared" si="568"/>
        <v>1</v>
      </c>
      <c r="X396" s="197">
        <f t="shared" si="1"/>
        <v>1</v>
      </c>
      <c r="Y396" s="197">
        <f t="shared" si="569"/>
        <v>0</v>
      </c>
      <c r="Z396" s="197">
        <f t="shared" si="570"/>
        <v>1</v>
      </c>
      <c r="AA396" s="199" t="b">
        <f t="shared" si="3"/>
        <v>0</v>
      </c>
      <c r="AB396" s="199" t="b">
        <f t="shared" si="4"/>
        <v>1</v>
      </c>
      <c r="AC396" s="200">
        <f t="shared" ref="AC396:AD396" si="639">1-I396</f>
        <v>0</v>
      </c>
      <c r="AD396" s="200">
        <f t="shared" si="639"/>
        <v>0</v>
      </c>
      <c r="AE396" s="199">
        <f t="shared" si="6"/>
        <v>1</v>
      </c>
      <c r="AF396" s="201">
        <f t="shared" si="572"/>
        <v>0</v>
      </c>
      <c r="AG396" s="201">
        <f t="shared" si="8"/>
        <v>1</v>
      </c>
      <c r="AH396" s="202">
        <f t="shared" si="573"/>
        <v>0</v>
      </c>
      <c r="AI396" s="205"/>
      <c r="AJ396" s="173"/>
      <c r="AK396" s="173"/>
      <c r="AL396" s="173"/>
      <c r="AM396" s="173"/>
      <c r="AN396" s="173"/>
      <c r="AO396" s="173"/>
      <c r="AP396" s="173"/>
      <c r="AQ396" s="173"/>
      <c r="AR396" s="173"/>
      <c r="AS396" s="173"/>
      <c r="AT396" s="173"/>
      <c r="AU396" s="173"/>
      <c r="AV396" s="173"/>
    </row>
    <row r="397" spans="1:48" ht="14.25">
      <c r="A397" s="187"/>
      <c r="B397" s="371">
        <v>5</v>
      </c>
      <c r="C397" s="372" t="s">
        <v>950</v>
      </c>
      <c r="D397" s="373" t="s">
        <v>68</v>
      </c>
      <c r="E397" s="373" t="s">
        <v>77</v>
      </c>
      <c r="F397" s="373" t="s">
        <v>25</v>
      </c>
      <c r="G397" s="374">
        <v>2</v>
      </c>
      <c r="H397" s="374">
        <v>0</v>
      </c>
      <c r="I397" s="375">
        <v>1</v>
      </c>
      <c r="J397" s="375">
        <v>1</v>
      </c>
      <c r="K397" s="269" t="s">
        <v>182</v>
      </c>
      <c r="L397" s="269" t="s">
        <v>239</v>
      </c>
      <c r="M397" s="269">
        <v>5</v>
      </c>
      <c r="N397" s="269">
        <v>7</v>
      </c>
      <c r="O397" s="376" t="s">
        <v>951</v>
      </c>
      <c r="P397" s="313" t="s">
        <v>396</v>
      </c>
      <c r="Q397" s="373" t="s">
        <v>148</v>
      </c>
      <c r="R397" s="173"/>
      <c r="S397" s="195">
        <f>MATCH($D397,Reference!$J$5:$J$9,0)</f>
        <v>3</v>
      </c>
      <c r="T397" s="195">
        <f>MATCH($E397,Reference!$J$26:$J$32,0)</f>
        <v>2</v>
      </c>
      <c r="U397" s="195">
        <f>MATCH($F397,Reference!$J$45:$J$54,0)</f>
        <v>8</v>
      </c>
      <c r="V397" s="196">
        <f>MATCH($K397,Reference!$J$37:$J$39,0)</f>
        <v>3</v>
      </c>
      <c r="W397" s="197">
        <f t="shared" si="568"/>
        <v>2</v>
      </c>
      <c r="X397" s="197">
        <f t="shared" si="1"/>
        <v>1</v>
      </c>
      <c r="Y397" s="197">
        <f t="shared" si="569"/>
        <v>0</v>
      </c>
      <c r="Z397" s="197">
        <f t="shared" si="570"/>
        <v>2</v>
      </c>
      <c r="AA397" s="199" t="b">
        <f t="shared" si="3"/>
        <v>0</v>
      </c>
      <c r="AB397" s="199" t="b">
        <f t="shared" si="4"/>
        <v>0</v>
      </c>
      <c r="AC397" s="200">
        <f t="shared" ref="AC397:AD397" si="640">1-I397</f>
        <v>0</v>
      </c>
      <c r="AD397" s="200">
        <f t="shared" si="640"/>
        <v>0</v>
      </c>
      <c r="AE397" s="199">
        <f t="shared" si="6"/>
        <v>2</v>
      </c>
      <c r="AF397" s="201">
        <f t="shared" si="572"/>
        <v>0</v>
      </c>
      <c r="AG397" s="201">
        <f t="shared" si="8"/>
        <v>1</v>
      </c>
      <c r="AH397" s="202">
        <f t="shared" si="573"/>
        <v>0</v>
      </c>
      <c r="AI397" s="205"/>
      <c r="AJ397" s="173"/>
      <c r="AK397" s="173"/>
      <c r="AL397" s="173"/>
      <c r="AM397" s="173"/>
      <c r="AN397" s="173"/>
      <c r="AO397" s="173"/>
      <c r="AP397" s="173"/>
      <c r="AQ397" s="173"/>
      <c r="AR397" s="173"/>
      <c r="AS397" s="173"/>
      <c r="AT397" s="173"/>
      <c r="AU397" s="173"/>
      <c r="AV397" s="173"/>
    </row>
    <row r="398" spans="1:48" ht="14.25">
      <c r="A398" s="279"/>
      <c r="B398" s="371">
        <v>5</v>
      </c>
      <c r="C398" s="372" t="s">
        <v>952</v>
      </c>
      <c r="D398" s="373" t="s">
        <v>68</v>
      </c>
      <c r="E398" s="373" t="s">
        <v>77</v>
      </c>
      <c r="F398" s="373" t="s">
        <v>11</v>
      </c>
      <c r="G398" s="374">
        <v>2</v>
      </c>
      <c r="H398" s="374">
        <v>0</v>
      </c>
      <c r="I398" s="375">
        <v>0.66</v>
      </c>
      <c r="J398" s="375">
        <v>0.66</v>
      </c>
      <c r="K398" s="269" t="s">
        <v>146</v>
      </c>
      <c r="L398" s="269"/>
      <c r="M398" s="269"/>
      <c r="N398" s="269"/>
      <c r="O398" s="376" t="s">
        <v>953</v>
      </c>
      <c r="P398" s="313"/>
      <c r="Q398" s="373" t="s">
        <v>148</v>
      </c>
      <c r="R398" s="173"/>
      <c r="S398" s="195">
        <f>MATCH($D398,Reference!$J$5:$J$9,0)</f>
        <v>3</v>
      </c>
      <c r="T398" s="195">
        <f>MATCH($E398,Reference!$J$26:$J$32,0)</f>
        <v>2</v>
      </c>
      <c r="U398" s="195">
        <f>MATCH($F398,Reference!$J$45:$J$54,0)</f>
        <v>2</v>
      </c>
      <c r="V398" s="196">
        <f>MATCH($K398,Reference!$J$37:$J$39,0)</f>
        <v>2</v>
      </c>
      <c r="W398" s="197">
        <f t="shared" si="568"/>
        <v>2</v>
      </c>
      <c r="X398" s="197">
        <f t="shared" si="1"/>
        <v>1</v>
      </c>
      <c r="Y398" s="197">
        <f t="shared" si="569"/>
        <v>0</v>
      </c>
      <c r="Z398" s="197">
        <f t="shared" si="570"/>
        <v>2</v>
      </c>
      <c r="AA398" s="199" t="b">
        <f t="shared" si="3"/>
        <v>0</v>
      </c>
      <c r="AB398" s="199" t="b">
        <f t="shared" si="4"/>
        <v>0</v>
      </c>
      <c r="AC398" s="200">
        <f t="shared" ref="AC398:AD398" si="641">1-I398</f>
        <v>0.33999999999999997</v>
      </c>
      <c r="AD398" s="200">
        <f t="shared" si="641"/>
        <v>0.33999999999999997</v>
      </c>
      <c r="AE398" s="199">
        <f t="shared" si="6"/>
        <v>2</v>
      </c>
      <c r="AF398" s="201">
        <f t="shared" si="572"/>
        <v>0</v>
      </c>
      <c r="AG398" s="201">
        <f t="shared" si="8"/>
        <v>1</v>
      </c>
      <c r="AH398" s="202">
        <f t="shared" si="573"/>
        <v>0</v>
      </c>
      <c r="AI398" s="205"/>
      <c r="AJ398" s="173"/>
      <c r="AK398" s="173"/>
      <c r="AL398" s="173"/>
      <c r="AM398" s="173"/>
      <c r="AN398" s="173"/>
      <c r="AO398" s="173"/>
      <c r="AP398" s="173"/>
      <c r="AQ398" s="173"/>
      <c r="AR398" s="173"/>
      <c r="AS398" s="173"/>
      <c r="AT398" s="173"/>
      <c r="AU398" s="173"/>
      <c r="AV398" s="173"/>
    </row>
    <row r="399" spans="1:48" ht="14.25">
      <c r="A399" s="240"/>
      <c r="B399" s="371">
        <v>5</v>
      </c>
      <c r="C399" s="372" t="s">
        <v>954</v>
      </c>
      <c r="D399" s="373" t="s">
        <v>68</v>
      </c>
      <c r="E399" s="373" t="s">
        <v>77</v>
      </c>
      <c r="F399" s="373" t="s">
        <v>16</v>
      </c>
      <c r="G399" s="374">
        <v>2</v>
      </c>
      <c r="H399" s="374">
        <v>0</v>
      </c>
      <c r="I399" s="375">
        <v>0.33</v>
      </c>
      <c r="J399" s="375">
        <v>0.33</v>
      </c>
      <c r="K399" s="269" t="s">
        <v>146</v>
      </c>
      <c r="L399" s="269"/>
      <c r="M399" s="269"/>
      <c r="N399" s="269"/>
      <c r="O399" s="376" t="s">
        <v>955</v>
      </c>
      <c r="P399" s="313"/>
      <c r="Q399" s="373" t="s">
        <v>148</v>
      </c>
      <c r="R399" s="173"/>
      <c r="S399" s="195">
        <f>MATCH($D399,Reference!$J$5:$J$9,0)</f>
        <v>3</v>
      </c>
      <c r="T399" s="195">
        <f>MATCH($E399,Reference!$J$26:$J$32,0)</f>
        <v>2</v>
      </c>
      <c r="U399" s="195">
        <f>MATCH($F399,Reference!$J$45:$J$54,0)</f>
        <v>4</v>
      </c>
      <c r="V399" s="196">
        <f>MATCH($K399,Reference!$J$37:$J$39,0)</f>
        <v>2</v>
      </c>
      <c r="W399" s="197">
        <f t="shared" si="568"/>
        <v>2</v>
      </c>
      <c r="X399" s="197">
        <f t="shared" si="1"/>
        <v>1</v>
      </c>
      <c r="Y399" s="197">
        <f t="shared" si="569"/>
        <v>0</v>
      </c>
      <c r="Z399" s="197">
        <f t="shared" si="570"/>
        <v>2</v>
      </c>
      <c r="AA399" s="199" t="b">
        <f t="shared" si="3"/>
        <v>0</v>
      </c>
      <c r="AB399" s="199" t="b">
        <f t="shared" si="4"/>
        <v>0</v>
      </c>
      <c r="AC399" s="200">
        <f t="shared" ref="AC399:AD399" si="642">1-I399</f>
        <v>0.66999999999999993</v>
      </c>
      <c r="AD399" s="200">
        <f t="shared" si="642"/>
        <v>0.66999999999999993</v>
      </c>
      <c r="AE399" s="199">
        <f t="shared" si="6"/>
        <v>2</v>
      </c>
      <c r="AF399" s="201">
        <f t="shared" si="572"/>
        <v>0</v>
      </c>
      <c r="AG399" s="201">
        <f t="shared" si="8"/>
        <v>1</v>
      </c>
      <c r="AH399" s="202">
        <f t="shared" si="573"/>
        <v>0</v>
      </c>
      <c r="AI399" s="205"/>
      <c r="AJ399" s="173"/>
      <c r="AK399" s="173"/>
      <c r="AL399" s="173"/>
      <c r="AM399" s="173"/>
      <c r="AN399" s="173"/>
      <c r="AO399" s="173"/>
      <c r="AP399" s="173"/>
      <c r="AQ399" s="173"/>
      <c r="AR399" s="173"/>
      <c r="AS399" s="173"/>
      <c r="AT399" s="173"/>
      <c r="AU399" s="173"/>
      <c r="AV399" s="173"/>
    </row>
    <row r="400" spans="1:48" ht="14.25">
      <c r="A400" s="187"/>
      <c r="B400" s="371">
        <v>5</v>
      </c>
      <c r="C400" s="372" t="s">
        <v>956</v>
      </c>
      <c r="D400" s="373" t="s">
        <v>68</v>
      </c>
      <c r="E400" s="373" t="s">
        <v>77</v>
      </c>
      <c r="F400" s="373" t="s">
        <v>8</v>
      </c>
      <c r="G400" s="374">
        <v>2</v>
      </c>
      <c r="H400" s="374">
        <v>0</v>
      </c>
      <c r="I400" s="375">
        <v>1</v>
      </c>
      <c r="J400" s="375">
        <v>0.33</v>
      </c>
      <c r="K400" s="269" t="s">
        <v>146</v>
      </c>
      <c r="L400" s="269"/>
      <c r="M400" s="269"/>
      <c r="N400" s="269"/>
      <c r="O400" s="376" t="s">
        <v>957</v>
      </c>
      <c r="P400" s="313"/>
      <c r="Q400" s="373" t="s">
        <v>148</v>
      </c>
      <c r="R400" s="173"/>
      <c r="S400" s="195">
        <f>MATCH($D400,Reference!$J$5:$J$9,0)</f>
        <v>3</v>
      </c>
      <c r="T400" s="195">
        <f>MATCH($E400,Reference!$J$26:$J$32,0)</f>
        <v>2</v>
      </c>
      <c r="U400" s="195">
        <f>MATCH($F400,Reference!$J$45:$J$54,0)</f>
        <v>1</v>
      </c>
      <c r="V400" s="196">
        <f>MATCH($K400,Reference!$J$37:$J$39,0)</f>
        <v>2</v>
      </c>
      <c r="W400" s="197">
        <f t="shared" si="568"/>
        <v>2</v>
      </c>
      <c r="X400" s="197">
        <f t="shared" si="1"/>
        <v>1</v>
      </c>
      <c r="Y400" s="197">
        <f t="shared" si="569"/>
        <v>0</v>
      </c>
      <c r="Z400" s="197">
        <f t="shared" si="570"/>
        <v>2</v>
      </c>
      <c r="AA400" s="199" t="b">
        <f t="shared" si="3"/>
        <v>0</v>
      </c>
      <c r="AB400" s="199" t="b">
        <f t="shared" si="4"/>
        <v>0</v>
      </c>
      <c r="AC400" s="200">
        <f t="shared" ref="AC400:AD400" si="643">1-I400</f>
        <v>0</v>
      </c>
      <c r="AD400" s="200">
        <f t="shared" si="643"/>
        <v>0.66999999999999993</v>
      </c>
      <c r="AE400" s="199">
        <f t="shared" si="6"/>
        <v>2</v>
      </c>
      <c r="AF400" s="201">
        <f t="shared" si="572"/>
        <v>0</v>
      </c>
      <c r="AG400" s="201">
        <f t="shared" si="8"/>
        <v>1</v>
      </c>
      <c r="AH400" s="202">
        <f t="shared" si="573"/>
        <v>0</v>
      </c>
      <c r="AI400" s="205"/>
      <c r="AJ400" s="173"/>
      <c r="AK400" s="173"/>
      <c r="AL400" s="173"/>
      <c r="AM400" s="173"/>
      <c r="AN400" s="173"/>
      <c r="AO400" s="173"/>
      <c r="AP400" s="173"/>
      <c r="AQ400" s="173"/>
      <c r="AR400" s="173"/>
      <c r="AS400" s="173"/>
      <c r="AT400" s="173"/>
      <c r="AU400" s="173"/>
      <c r="AV400" s="173"/>
    </row>
    <row r="401" spans="1:48" ht="14.25">
      <c r="A401" s="187"/>
      <c r="B401" s="371">
        <v>5</v>
      </c>
      <c r="C401" s="372" t="s">
        <v>958</v>
      </c>
      <c r="D401" s="373" t="s">
        <v>68</v>
      </c>
      <c r="E401" s="373" t="s">
        <v>77</v>
      </c>
      <c r="F401" s="373" t="s">
        <v>115</v>
      </c>
      <c r="G401" s="374">
        <v>2</v>
      </c>
      <c r="H401" s="374">
        <v>0</v>
      </c>
      <c r="I401" s="375">
        <v>0.33</v>
      </c>
      <c r="J401" s="375">
        <v>0.33</v>
      </c>
      <c r="K401" s="269" t="s">
        <v>182</v>
      </c>
      <c r="L401" s="269" t="s">
        <v>230</v>
      </c>
      <c r="M401" s="269">
        <v>3</v>
      </c>
      <c r="N401" s="269">
        <v>5</v>
      </c>
      <c r="O401" s="376" t="s">
        <v>959</v>
      </c>
      <c r="P401" s="313" t="s">
        <v>184</v>
      </c>
      <c r="Q401" s="373" t="s">
        <v>148</v>
      </c>
      <c r="R401" s="173"/>
      <c r="S401" s="195">
        <f>MATCH($D401,Reference!$J$5:$J$9,0)</f>
        <v>3</v>
      </c>
      <c r="T401" s="195">
        <f>MATCH($E401,Reference!$J$26:$J$32,0)</f>
        <v>2</v>
      </c>
      <c r="U401" s="195">
        <f>MATCH($F401,Reference!$J$45:$J$54,0)</f>
        <v>10</v>
      </c>
      <c r="V401" s="196">
        <f>MATCH($K401,Reference!$J$37:$J$39,0)</f>
        <v>3</v>
      </c>
      <c r="W401" s="197">
        <f t="shared" si="568"/>
        <v>2</v>
      </c>
      <c r="X401" s="197">
        <f t="shared" si="1"/>
        <v>1</v>
      </c>
      <c r="Y401" s="197">
        <f t="shared" si="569"/>
        <v>0</v>
      </c>
      <c r="Z401" s="197">
        <f t="shared" si="570"/>
        <v>2</v>
      </c>
      <c r="AA401" s="199" t="b">
        <f t="shared" si="3"/>
        <v>0</v>
      </c>
      <c r="AB401" s="199" t="b">
        <f t="shared" si="4"/>
        <v>0</v>
      </c>
      <c r="AC401" s="200">
        <f t="shared" ref="AC401:AD401" si="644">1-I401</f>
        <v>0.66999999999999993</v>
      </c>
      <c r="AD401" s="200">
        <f t="shared" si="644"/>
        <v>0.66999999999999993</v>
      </c>
      <c r="AE401" s="199">
        <f t="shared" si="6"/>
        <v>2</v>
      </c>
      <c r="AF401" s="201">
        <f t="shared" si="572"/>
        <v>0</v>
      </c>
      <c r="AG401" s="201">
        <f t="shared" si="8"/>
        <v>1</v>
      </c>
      <c r="AH401" s="202">
        <f t="shared" si="573"/>
        <v>0</v>
      </c>
      <c r="AI401" s="205"/>
      <c r="AJ401" s="173"/>
      <c r="AK401" s="173"/>
      <c r="AL401" s="173"/>
      <c r="AM401" s="173"/>
      <c r="AN401" s="173"/>
      <c r="AO401" s="173"/>
      <c r="AP401" s="173"/>
      <c r="AQ401" s="173"/>
      <c r="AR401" s="173"/>
      <c r="AS401" s="173"/>
      <c r="AT401" s="173"/>
      <c r="AU401" s="173"/>
      <c r="AV401" s="173"/>
    </row>
    <row r="402" spans="1:48" ht="14.25">
      <c r="A402" s="240"/>
      <c r="B402" s="371">
        <v>5</v>
      </c>
      <c r="C402" s="372" t="s">
        <v>960</v>
      </c>
      <c r="D402" s="373" t="s">
        <v>68</v>
      </c>
      <c r="E402" s="373" t="s">
        <v>77</v>
      </c>
      <c r="F402" s="373" t="s">
        <v>8</v>
      </c>
      <c r="G402" s="374">
        <v>2</v>
      </c>
      <c r="H402" s="374">
        <v>0</v>
      </c>
      <c r="I402" s="375">
        <v>0.66</v>
      </c>
      <c r="J402" s="375">
        <v>0.33</v>
      </c>
      <c r="K402" s="269" t="s">
        <v>146</v>
      </c>
      <c r="L402" s="269"/>
      <c r="M402" s="269"/>
      <c r="N402" s="269"/>
      <c r="O402" s="376" t="s">
        <v>961</v>
      </c>
      <c r="P402" s="313"/>
      <c r="Q402" s="373" t="s">
        <v>148</v>
      </c>
      <c r="R402" s="173"/>
      <c r="S402" s="195">
        <f>MATCH($D402,Reference!$J$5:$J$9,0)</f>
        <v>3</v>
      </c>
      <c r="T402" s="195">
        <f>MATCH($E402,Reference!$J$26:$J$32,0)</f>
        <v>2</v>
      </c>
      <c r="U402" s="195">
        <f>MATCH($F402,Reference!$J$45:$J$54,0)</f>
        <v>1</v>
      </c>
      <c r="V402" s="196">
        <f>MATCH($K402,Reference!$J$37:$J$39,0)</f>
        <v>2</v>
      </c>
      <c r="W402" s="197">
        <f t="shared" si="568"/>
        <v>2</v>
      </c>
      <c r="X402" s="197">
        <f t="shared" si="1"/>
        <v>1</v>
      </c>
      <c r="Y402" s="197">
        <f t="shared" si="569"/>
        <v>0</v>
      </c>
      <c r="Z402" s="197">
        <f t="shared" si="570"/>
        <v>2</v>
      </c>
      <c r="AA402" s="199" t="b">
        <f t="shared" si="3"/>
        <v>0</v>
      </c>
      <c r="AB402" s="199" t="b">
        <f t="shared" si="4"/>
        <v>0</v>
      </c>
      <c r="AC402" s="200">
        <f t="shared" ref="AC402:AD402" si="645">1-I402</f>
        <v>0.33999999999999997</v>
      </c>
      <c r="AD402" s="200">
        <f t="shared" si="645"/>
        <v>0.66999999999999993</v>
      </c>
      <c r="AE402" s="199">
        <f t="shared" si="6"/>
        <v>2</v>
      </c>
      <c r="AF402" s="201">
        <f t="shared" si="572"/>
        <v>0</v>
      </c>
      <c r="AG402" s="201">
        <f t="shared" si="8"/>
        <v>1</v>
      </c>
      <c r="AH402" s="202">
        <f t="shared" si="573"/>
        <v>0</v>
      </c>
      <c r="AI402" s="205"/>
      <c r="AJ402" s="173"/>
      <c r="AK402" s="173"/>
      <c r="AL402" s="173"/>
      <c r="AM402" s="173"/>
      <c r="AN402" s="173"/>
      <c r="AO402" s="173"/>
      <c r="AP402" s="173"/>
      <c r="AQ402" s="173"/>
      <c r="AR402" s="173"/>
      <c r="AS402" s="173"/>
      <c r="AT402" s="173"/>
      <c r="AU402" s="173"/>
      <c r="AV402" s="173"/>
    </row>
    <row r="403" spans="1:48" ht="14.25">
      <c r="A403" s="187"/>
      <c r="B403" s="371">
        <v>6</v>
      </c>
      <c r="C403" s="372" t="s">
        <v>962</v>
      </c>
      <c r="D403" s="373" t="s">
        <v>68</v>
      </c>
      <c r="E403" s="373" t="s">
        <v>77</v>
      </c>
      <c r="F403" s="373" t="s">
        <v>115</v>
      </c>
      <c r="G403" s="374">
        <v>2</v>
      </c>
      <c r="H403" s="374">
        <v>0</v>
      </c>
      <c r="I403" s="375">
        <v>0.33</v>
      </c>
      <c r="J403" s="375">
        <v>0.33</v>
      </c>
      <c r="K403" s="269" t="s">
        <v>182</v>
      </c>
      <c r="L403" s="269"/>
      <c r="M403" s="269">
        <v>4</v>
      </c>
      <c r="N403" s="269">
        <v>2</v>
      </c>
      <c r="O403" s="376" t="s">
        <v>963</v>
      </c>
      <c r="P403" s="313" t="s">
        <v>396</v>
      </c>
      <c r="Q403" s="373" t="s">
        <v>148</v>
      </c>
      <c r="R403" s="173"/>
      <c r="S403" s="195">
        <f>MATCH($D403,Reference!$J$5:$J$9,0)</f>
        <v>3</v>
      </c>
      <c r="T403" s="195">
        <f>MATCH($E403,Reference!$J$26:$J$32,0)</f>
        <v>2</v>
      </c>
      <c r="U403" s="195">
        <f>MATCH($F403,Reference!$J$45:$J$54,0)</f>
        <v>10</v>
      </c>
      <c r="V403" s="196">
        <f>MATCH($K403,Reference!$J$37:$J$39,0)</f>
        <v>3</v>
      </c>
      <c r="W403" s="197">
        <f t="shared" si="568"/>
        <v>2</v>
      </c>
      <c r="X403" s="197">
        <f t="shared" si="1"/>
        <v>1</v>
      </c>
      <c r="Y403" s="197">
        <f t="shared" si="569"/>
        <v>0</v>
      </c>
      <c r="Z403" s="197">
        <f t="shared" si="570"/>
        <v>2</v>
      </c>
      <c r="AA403" s="199" t="b">
        <f t="shared" si="3"/>
        <v>0</v>
      </c>
      <c r="AB403" s="199" t="b">
        <f t="shared" si="4"/>
        <v>0</v>
      </c>
      <c r="AC403" s="200">
        <f t="shared" ref="AC403:AD403" si="646">1-I403</f>
        <v>0.66999999999999993</v>
      </c>
      <c r="AD403" s="200">
        <f t="shared" si="646"/>
        <v>0.66999999999999993</v>
      </c>
      <c r="AE403" s="199">
        <f t="shared" si="6"/>
        <v>2</v>
      </c>
      <c r="AF403" s="201">
        <f t="shared" si="572"/>
        <v>0</v>
      </c>
      <c r="AG403" s="201">
        <f t="shared" si="8"/>
        <v>1</v>
      </c>
      <c r="AH403" s="202">
        <f t="shared" si="573"/>
        <v>0</v>
      </c>
      <c r="AI403" s="205"/>
      <c r="AJ403" s="173"/>
      <c r="AK403" s="173"/>
      <c r="AL403" s="173"/>
      <c r="AM403" s="173"/>
      <c r="AN403" s="173"/>
      <c r="AO403" s="173"/>
      <c r="AP403" s="173"/>
      <c r="AQ403" s="173"/>
      <c r="AR403" s="173"/>
      <c r="AS403" s="173"/>
      <c r="AT403" s="173"/>
      <c r="AU403" s="173"/>
      <c r="AV403" s="173"/>
    </row>
    <row r="404" spans="1:48" ht="14.25">
      <c r="A404" s="209"/>
      <c r="B404" s="371">
        <v>6</v>
      </c>
      <c r="C404" s="372" t="s">
        <v>964</v>
      </c>
      <c r="D404" s="373" t="s">
        <v>68</v>
      </c>
      <c r="E404" s="373" t="s">
        <v>77</v>
      </c>
      <c r="F404" s="373" t="s">
        <v>13</v>
      </c>
      <c r="G404" s="374">
        <v>2</v>
      </c>
      <c r="H404" s="377">
        <v>1</v>
      </c>
      <c r="I404" s="375">
        <v>1</v>
      </c>
      <c r="J404" s="375">
        <v>1</v>
      </c>
      <c r="K404" s="269" t="s">
        <v>146</v>
      </c>
      <c r="L404" s="242"/>
      <c r="M404" s="269"/>
      <c r="N404" s="269"/>
      <c r="O404" s="389" t="s">
        <v>965</v>
      </c>
      <c r="P404" s="318"/>
      <c r="Q404" s="373" t="s">
        <v>148</v>
      </c>
      <c r="R404" s="173"/>
      <c r="S404" s="195">
        <f>MATCH($D404,Reference!$J$5:$J$9,0)</f>
        <v>3</v>
      </c>
      <c r="T404" s="195">
        <f>MATCH($E404,Reference!$J$26:$J$32,0)</f>
        <v>2</v>
      </c>
      <c r="U404" s="195">
        <f>MATCH($F404,Reference!$J$45:$J$54,0)</f>
        <v>3</v>
      </c>
      <c r="V404" s="196">
        <f>MATCH($K404,Reference!$J$37:$J$39,0)</f>
        <v>2</v>
      </c>
      <c r="W404" s="197">
        <f t="shared" si="568"/>
        <v>2</v>
      </c>
      <c r="X404" s="197">
        <f t="shared" si="1"/>
        <v>1</v>
      </c>
      <c r="Y404" s="197">
        <f t="shared" si="569"/>
        <v>100</v>
      </c>
      <c r="Z404" s="197">
        <f t="shared" si="570"/>
        <v>2</v>
      </c>
      <c r="AA404" s="199" t="b">
        <f t="shared" si="3"/>
        <v>0</v>
      </c>
      <c r="AB404" s="199" t="b">
        <f t="shared" si="4"/>
        <v>0</v>
      </c>
      <c r="AC404" s="200">
        <f t="shared" ref="AC404:AD404" si="647">1-I404</f>
        <v>0</v>
      </c>
      <c r="AD404" s="200">
        <f t="shared" si="647"/>
        <v>0</v>
      </c>
      <c r="AE404" s="199">
        <f t="shared" si="6"/>
        <v>2</v>
      </c>
      <c r="AF404" s="201">
        <f t="shared" si="572"/>
        <v>1</v>
      </c>
      <c r="AG404" s="201">
        <f t="shared" si="8"/>
        <v>1</v>
      </c>
      <c r="AH404" s="202">
        <f t="shared" si="573"/>
        <v>20</v>
      </c>
      <c r="AI404" s="205"/>
      <c r="AJ404" s="173"/>
      <c r="AK404" s="173"/>
      <c r="AL404" s="173"/>
      <c r="AM404" s="173"/>
      <c r="AN404" s="173"/>
      <c r="AO404" s="173"/>
      <c r="AP404" s="173"/>
      <c r="AQ404" s="173"/>
      <c r="AR404" s="173"/>
      <c r="AS404" s="173"/>
      <c r="AT404" s="173"/>
      <c r="AU404" s="173"/>
      <c r="AV404" s="173"/>
    </row>
    <row r="405" spans="1:48" ht="14.25">
      <c r="A405" s="209"/>
      <c r="B405" s="371">
        <v>6</v>
      </c>
      <c r="C405" s="372" t="s">
        <v>966</v>
      </c>
      <c r="D405" s="373" t="s">
        <v>68</v>
      </c>
      <c r="E405" s="373" t="s">
        <v>77</v>
      </c>
      <c r="F405" s="373" t="s">
        <v>115</v>
      </c>
      <c r="G405" s="377">
        <v>2</v>
      </c>
      <c r="H405" s="374">
        <v>0</v>
      </c>
      <c r="I405" s="375">
        <v>0.33</v>
      </c>
      <c r="J405" s="375">
        <v>0</v>
      </c>
      <c r="K405" s="242" t="s">
        <v>182</v>
      </c>
      <c r="L405" s="269"/>
      <c r="M405" s="242">
        <v>4</v>
      </c>
      <c r="N405" s="242">
        <v>4</v>
      </c>
      <c r="O405" s="376" t="s">
        <v>967</v>
      </c>
      <c r="P405" s="313"/>
      <c r="Q405" s="373" t="s">
        <v>148</v>
      </c>
      <c r="R405" s="173"/>
      <c r="S405" s="195">
        <f>MATCH($D405,Reference!$J$5:$J$9,0)</f>
        <v>3</v>
      </c>
      <c r="T405" s="195">
        <f>MATCH($E405,Reference!$J$26:$J$32,0)</f>
        <v>2</v>
      </c>
      <c r="U405" s="195">
        <f>MATCH($F405,Reference!$J$45:$J$54,0)</f>
        <v>10</v>
      </c>
      <c r="V405" s="196">
        <f>MATCH($K405,Reference!$J$37:$J$39,0)</f>
        <v>3</v>
      </c>
      <c r="W405" s="197">
        <f t="shared" si="568"/>
        <v>2</v>
      </c>
      <c r="X405" s="197">
        <f t="shared" si="1"/>
        <v>1</v>
      </c>
      <c r="Y405" s="197">
        <f t="shared" si="569"/>
        <v>0</v>
      </c>
      <c r="Z405" s="197">
        <f t="shared" si="570"/>
        <v>2</v>
      </c>
      <c r="AA405" s="199" t="b">
        <f t="shared" si="3"/>
        <v>0</v>
      </c>
      <c r="AB405" s="199" t="b">
        <f t="shared" si="4"/>
        <v>0</v>
      </c>
      <c r="AC405" s="200">
        <f t="shared" ref="AC405:AD405" si="648">1-I405</f>
        <v>0.66999999999999993</v>
      </c>
      <c r="AD405" s="200">
        <f t="shared" si="648"/>
        <v>1</v>
      </c>
      <c r="AE405" s="199">
        <f t="shared" si="6"/>
        <v>2</v>
      </c>
      <c r="AF405" s="201">
        <f t="shared" si="572"/>
        <v>0</v>
      </c>
      <c r="AG405" s="201">
        <f t="shared" si="8"/>
        <v>1</v>
      </c>
      <c r="AH405" s="202">
        <f t="shared" si="573"/>
        <v>0</v>
      </c>
      <c r="AI405" s="205"/>
      <c r="AJ405" s="173"/>
      <c r="AK405" s="173"/>
      <c r="AL405" s="173"/>
      <c r="AM405" s="173"/>
      <c r="AN405" s="173"/>
      <c r="AO405" s="173"/>
      <c r="AP405" s="173"/>
      <c r="AQ405" s="173"/>
      <c r="AR405" s="173"/>
      <c r="AS405" s="173"/>
      <c r="AT405" s="173"/>
      <c r="AU405" s="173"/>
      <c r="AV405" s="173"/>
    </row>
    <row r="406" spans="1:48" ht="14.25">
      <c r="A406" s="187"/>
      <c r="B406" s="371">
        <v>6</v>
      </c>
      <c r="C406" s="372" t="s">
        <v>968</v>
      </c>
      <c r="D406" s="373" t="s">
        <v>68</v>
      </c>
      <c r="E406" s="373" t="s">
        <v>77</v>
      </c>
      <c r="F406" s="373" t="s">
        <v>18</v>
      </c>
      <c r="G406" s="374">
        <v>2</v>
      </c>
      <c r="H406" s="374">
        <v>0</v>
      </c>
      <c r="I406" s="375">
        <v>1</v>
      </c>
      <c r="J406" s="375">
        <v>1</v>
      </c>
      <c r="K406" s="269" t="s">
        <v>146</v>
      </c>
      <c r="L406" s="269"/>
      <c r="M406" s="269"/>
      <c r="N406" s="269"/>
      <c r="O406" s="376" t="s">
        <v>969</v>
      </c>
      <c r="P406" s="313"/>
      <c r="Q406" s="373" t="s">
        <v>148</v>
      </c>
      <c r="R406" s="173"/>
      <c r="S406" s="195">
        <f>MATCH($D406,Reference!$J$5:$J$9,0)</f>
        <v>3</v>
      </c>
      <c r="T406" s="195">
        <f>MATCH($E406,Reference!$J$26:$J$32,0)</f>
        <v>2</v>
      </c>
      <c r="U406" s="195">
        <f>MATCH($F406,Reference!$J$45:$J$54,0)</f>
        <v>5</v>
      </c>
      <c r="V406" s="196">
        <f>MATCH($K406,Reference!$J$37:$J$39,0)</f>
        <v>2</v>
      </c>
      <c r="W406" s="197">
        <f t="shared" si="568"/>
        <v>2</v>
      </c>
      <c r="X406" s="197">
        <f t="shared" si="1"/>
        <v>1</v>
      </c>
      <c r="Y406" s="197">
        <f t="shared" si="569"/>
        <v>0</v>
      </c>
      <c r="Z406" s="197">
        <f t="shared" si="570"/>
        <v>2</v>
      </c>
      <c r="AA406" s="199" t="b">
        <f t="shared" si="3"/>
        <v>0</v>
      </c>
      <c r="AB406" s="199" t="b">
        <f t="shared" si="4"/>
        <v>0</v>
      </c>
      <c r="AC406" s="200">
        <f t="shared" ref="AC406:AD406" si="649">1-I406</f>
        <v>0</v>
      </c>
      <c r="AD406" s="200">
        <f t="shared" si="649"/>
        <v>0</v>
      </c>
      <c r="AE406" s="199">
        <f t="shared" si="6"/>
        <v>2</v>
      </c>
      <c r="AF406" s="201">
        <f t="shared" si="572"/>
        <v>0</v>
      </c>
      <c r="AG406" s="201">
        <f t="shared" si="8"/>
        <v>1</v>
      </c>
      <c r="AH406" s="202">
        <f t="shared" si="573"/>
        <v>0</v>
      </c>
      <c r="AI406" s="205"/>
      <c r="AJ406" s="173"/>
      <c r="AK406" s="173"/>
      <c r="AL406" s="173"/>
      <c r="AM406" s="173"/>
      <c r="AN406" s="173"/>
      <c r="AO406" s="173"/>
      <c r="AP406" s="173"/>
      <c r="AQ406" s="173"/>
      <c r="AR406" s="173"/>
      <c r="AS406" s="173"/>
      <c r="AT406" s="173"/>
      <c r="AU406" s="173"/>
      <c r="AV406" s="173"/>
    </row>
    <row r="407" spans="1:48" ht="14.25">
      <c r="A407" s="240"/>
      <c r="B407" s="371">
        <v>6</v>
      </c>
      <c r="C407" s="372" t="s">
        <v>970</v>
      </c>
      <c r="D407" s="373" t="s">
        <v>68</v>
      </c>
      <c r="E407" s="373" t="s">
        <v>77</v>
      </c>
      <c r="F407" s="373" t="s">
        <v>11</v>
      </c>
      <c r="G407" s="374">
        <v>2</v>
      </c>
      <c r="H407" s="374">
        <v>0</v>
      </c>
      <c r="I407" s="375">
        <v>1</v>
      </c>
      <c r="J407" s="375">
        <v>1</v>
      </c>
      <c r="K407" s="269" t="s">
        <v>182</v>
      </c>
      <c r="L407" s="269" t="s">
        <v>230</v>
      </c>
      <c r="M407" s="269">
        <v>6</v>
      </c>
      <c r="N407" s="269">
        <v>5</v>
      </c>
      <c r="O407" s="376" t="s">
        <v>971</v>
      </c>
      <c r="P407" s="313" t="s">
        <v>454</v>
      </c>
      <c r="Q407" s="373" t="s">
        <v>148</v>
      </c>
      <c r="R407" s="173"/>
      <c r="S407" s="195">
        <f>MATCH($D407,Reference!$J$5:$J$9,0)</f>
        <v>3</v>
      </c>
      <c r="T407" s="195">
        <f>MATCH($E407,Reference!$J$26:$J$32,0)</f>
        <v>2</v>
      </c>
      <c r="U407" s="195">
        <f>MATCH($F407,Reference!$J$45:$J$54,0)</f>
        <v>2</v>
      </c>
      <c r="V407" s="196">
        <f>MATCH($K407,Reference!$J$37:$J$39,0)</f>
        <v>3</v>
      </c>
      <c r="W407" s="197">
        <f t="shared" si="568"/>
        <v>2</v>
      </c>
      <c r="X407" s="197">
        <f t="shared" si="1"/>
        <v>1</v>
      </c>
      <c r="Y407" s="197">
        <f t="shared" si="569"/>
        <v>0</v>
      </c>
      <c r="Z407" s="197">
        <f t="shared" si="570"/>
        <v>2</v>
      </c>
      <c r="AA407" s="199" t="b">
        <f t="shared" si="3"/>
        <v>0</v>
      </c>
      <c r="AB407" s="199" t="b">
        <f t="shared" si="4"/>
        <v>0</v>
      </c>
      <c r="AC407" s="200">
        <f t="shared" ref="AC407:AD407" si="650">1-I407</f>
        <v>0</v>
      </c>
      <c r="AD407" s="200">
        <f t="shared" si="650"/>
        <v>0</v>
      </c>
      <c r="AE407" s="199">
        <f t="shared" si="6"/>
        <v>2</v>
      </c>
      <c r="AF407" s="201">
        <f t="shared" si="572"/>
        <v>0</v>
      </c>
      <c r="AG407" s="201">
        <f t="shared" si="8"/>
        <v>1</v>
      </c>
      <c r="AH407" s="202">
        <f t="shared" si="573"/>
        <v>0</v>
      </c>
      <c r="AI407" s="205"/>
      <c r="AJ407" s="173"/>
      <c r="AK407" s="173"/>
      <c r="AL407" s="173"/>
      <c r="AM407" s="173"/>
      <c r="AN407" s="173"/>
      <c r="AO407" s="173"/>
      <c r="AP407" s="173"/>
      <c r="AQ407" s="173"/>
      <c r="AR407" s="173"/>
      <c r="AS407" s="173"/>
      <c r="AT407" s="173"/>
      <c r="AU407" s="173"/>
      <c r="AV407" s="173"/>
    </row>
    <row r="408" spans="1:48" ht="14.25">
      <c r="A408" s="209"/>
      <c r="B408" s="371">
        <v>6</v>
      </c>
      <c r="C408" s="372" t="s">
        <v>972</v>
      </c>
      <c r="D408" s="373" t="s">
        <v>68</v>
      </c>
      <c r="E408" s="373" t="s">
        <v>77</v>
      </c>
      <c r="F408" s="373" t="s">
        <v>25</v>
      </c>
      <c r="G408" s="374">
        <v>2</v>
      </c>
      <c r="H408" s="374">
        <v>0</v>
      </c>
      <c r="I408" s="375">
        <v>1</v>
      </c>
      <c r="J408" s="375">
        <v>1</v>
      </c>
      <c r="K408" s="269" t="s">
        <v>146</v>
      </c>
      <c r="L408" s="269"/>
      <c r="M408" s="269"/>
      <c r="N408" s="269"/>
      <c r="O408" s="376" t="s">
        <v>973</v>
      </c>
      <c r="P408" s="313"/>
      <c r="Q408" s="373" t="s">
        <v>148</v>
      </c>
      <c r="R408" s="173"/>
      <c r="S408" s="195">
        <f>MATCH($D408,Reference!$J$5:$J$9,0)</f>
        <v>3</v>
      </c>
      <c r="T408" s="195">
        <f>MATCH($E408,Reference!$J$26:$J$32,0)</f>
        <v>2</v>
      </c>
      <c r="U408" s="195">
        <f>MATCH($F408,Reference!$J$45:$J$54,0)</f>
        <v>8</v>
      </c>
      <c r="V408" s="196">
        <f>MATCH($K408,Reference!$J$37:$J$39,0)</f>
        <v>2</v>
      </c>
      <c r="W408" s="197">
        <f t="shared" si="568"/>
        <v>2</v>
      </c>
      <c r="X408" s="197">
        <f t="shared" si="1"/>
        <v>1</v>
      </c>
      <c r="Y408" s="197">
        <f t="shared" si="569"/>
        <v>0</v>
      </c>
      <c r="Z408" s="197">
        <f t="shared" si="570"/>
        <v>2</v>
      </c>
      <c r="AA408" s="199" t="b">
        <f t="shared" si="3"/>
        <v>0</v>
      </c>
      <c r="AB408" s="199" t="b">
        <f t="shared" si="4"/>
        <v>0</v>
      </c>
      <c r="AC408" s="200">
        <f t="shared" ref="AC408:AD408" si="651">1-I408</f>
        <v>0</v>
      </c>
      <c r="AD408" s="200">
        <f t="shared" si="651"/>
        <v>0</v>
      </c>
      <c r="AE408" s="199">
        <f t="shared" si="6"/>
        <v>2</v>
      </c>
      <c r="AF408" s="201">
        <f t="shared" si="572"/>
        <v>0</v>
      </c>
      <c r="AG408" s="201">
        <f t="shared" si="8"/>
        <v>1</v>
      </c>
      <c r="AH408" s="202">
        <f t="shared" si="573"/>
        <v>0</v>
      </c>
      <c r="AI408" s="205"/>
      <c r="AJ408" s="173"/>
      <c r="AK408" s="173"/>
      <c r="AL408" s="173"/>
      <c r="AM408" s="173"/>
      <c r="AN408" s="173"/>
      <c r="AO408" s="173"/>
      <c r="AP408" s="173"/>
      <c r="AQ408" s="173"/>
      <c r="AR408" s="173"/>
      <c r="AS408" s="173"/>
      <c r="AT408" s="173"/>
      <c r="AU408" s="173"/>
      <c r="AV408" s="173"/>
    </row>
    <row r="409" spans="1:48" ht="14.25">
      <c r="A409" s="187"/>
      <c r="B409" s="371">
        <v>6</v>
      </c>
      <c r="C409" s="372" t="s">
        <v>974</v>
      </c>
      <c r="D409" s="373" t="s">
        <v>68</v>
      </c>
      <c r="E409" s="373" t="s">
        <v>77</v>
      </c>
      <c r="F409" s="373" t="s">
        <v>115</v>
      </c>
      <c r="G409" s="377">
        <v>2</v>
      </c>
      <c r="H409" s="374">
        <v>0</v>
      </c>
      <c r="I409" s="375">
        <v>0.66</v>
      </c>
      <c r="J409" s="375">
        <v>0.66</v>
      </c>
      <c r="K409" s="242" t="s">
        <v>182</v>
      </c>
      <c r="L409" s="269"/>
      <c r="M409" s="242">
        <v>4</v>
      </c>
      <c r="N409" s="242">
        <v>5</v>
      </c>
      <c r="O409" s="376" t="s">
        <v>975</v>
      </c>
      <c r="P409" s="313" t="s">
        <v>795</v>
      </c>
      <c r="Q409" s="373" t="s">
        <v>148</v>
      </c>
      <c r="R409" s="173"/>
      <c r="S409" s="195">
        <f>MATCH($D409,Reference!$J$5:$J$9,0)</f>
        <v>3</v>
      </c>
      <c r="T409" s="195">
        <f>MATCH($E409,Reference!$J$26:$J$32,0)</f>
        <v>2</v>
      </c>
      <c r="U409" s="195">
        <f>MATCH($F409,Reference!$J$45:$J$54,0)</f>
        <v>10</v>
      </c>
      <c r="V409" s="196">
        <f>MATCH($K409,Reference!$J$37:$J$39,0)</f>
        <v>3</v>
      </c>
      <c r="W409" s="197">
        <f t="shared" si="568"/>
        <v>2</v>
      </c>
      <c r="X409" s="197">
        <f t="shared" si="1"/>
        <v>1</v>
      </c>
      <c r="Y409" s="197">
        <f t="shared" si="569"/>
        <v>0</v>
      </c>
      <c r="Z409" s="197">
        <f t="shared" si="570"/>
        <v>2</v>
      </c>
      <c r="AA409" s="199" t="b">
        <f t="shared" si="3"/>
        <v>0</v>
      </c>
      <c r="AB409" s="199" t="b">
        <f t="shared" si="4"/>
        <v>0</v>
      </c>
      <c r="AC409" s="200">
        <f t="shared" ref="AC409:AD409" si="652">1-I409</f>
        <v>0.33999999999999997</v>
      </c>
      <c r="AD409" s="200">
        <f t="shared" si="652"/>
        <v>0.33999999999999997</v>
      </c>
      <c r="AE409" s="199">
        <f t="shared" si="6"/>
        <v>2</v>
      </c>
      <c r="AF409" s="201">
        <f t="shared" si="572"/>
        <v>0</v>
      </c>
      <c r="AG409" s="201">
        <f t="shared" si="8"/>
        <v>1</v>
      </c>
      <c r="AH409" s="202">
        <f t="shared" si="573"/>
        <v>0</v>
      </c>
      <c r="AI409" s="205"/>
      <c r="AJ409" s="173"/>
      <c r="AK409" s="173"/>
      <c r="AL409" s="173"/>
      <c r="AM409" s="173"/>
      <c r="AN409" s="173"/>
      <c r="AO409" s="173"/>
      <c r="AP409" s="173"/>
      <c r="AQ409" s="173"/>
      <c r="AR409" s="173"/>
      <c r="AS409" s="173"/>
      <c r="AT409" s="173"/>
      <c r="AU409" s="173"/>
      <c r="AV409" s="173"/>
    </row>
    <row r="410" spans="1:48" ht="14.25">
      <c r="A410" s="209"/>
      <c r="B410" s="371">
        <v>7</v>
      </c>
      <c r="C410" s="372" t="s">
        <v>976</v>
      </c>
      <c r="D410" s="373" t="s">
        <v>68</v>
      </c>
      <c r="E410" s="373" t="s">
        <v>77</v>
      </c>
      <c r="F410" s="373" t="s">
        <v>115</v>
      </c>
      <c r="G410" s="374">
        <v>2</v>
      </c>
      <c r="H410" s="374">
        <v>0</v>
      </c>
      <c r="I410" s="375">
        <v>0.33</v>
      </c>
      <c r="J410" s="375">
        <v>0.33</v>
      </c>
      <c r="K410" s="269" t="s">
        <v>182</v>
      </c>
      <c r="L410" s="269"/>
      <c r="M410" s="269">
        <v>7</v>
      </c>
      <c r="N410" s="269">
        <v>5</v>
      </c>
      <c r="O410" s="376" t="s">
        <v>539</v>
      </c>
      <c r="P410" s="313" t="s">
        <v>497</v>
      </c>
      <c r="Q410" s="373" t="s">
        <v>148</v>
      </c>
      <c r="R410" s="173"/>
      <c r="S410" s="195">
        <f>MATCH($D410,Reference!$J$5:$J$9,0)</f>
        <v>3</v>
      </c>
      <c r="T410" s="195">
        <f>MATCH($E410,Reference!$J$26:$J$32,0)</f>
        <v>2</v>
      </c>
      <c r="U410" s="195">
        <f>MATCH($F410,Reference!$J$45:$J$54,0)</f>
        <v>10</v>
      </c>
      <c r="V410" s="196">
        <f>MATCH($K410,Reference!$J$37:$J$39,0)</f>
        <v>3</v>
      </c>
      <c r="W410" s="197">
        <f t="shared" si="568"/>
        <v>2</v>
      </c>
      <c r="X410" s="197">
        <f t="shared" si="1"/>
        <v>1</v>
      </c>
      <c r="Y410" s="197">
        <f t="shared" si="569"/>
        <v>0</v>
      </c>
      <c r="Z410" s="197">
        <f t="shared" si="570"/>
        <v>2</v>
      </c>
      <c r="AA410" s="199" t="b">
        <f t="shared" si="3"/>
        <v>0</v>
      </c>
      <c r="AB410" s="199" t="b">
        <f t="shared" si="4"/>
        <v>0</v>
      </c>
      <c r="AC410" s="200">
        <f t="shared" ref="AC410:AD410" si="653">1-I410</f>
        <v>0.66999999999999993</v>
      </c>
      <c r="AD410" s="200">
        <f t="shared" si="653"/>
        <v>0.66999999999999993</v>
      </c>
      <c r="AE410" s="199">
        <f t="shared" si="6"/>
        <v>2</v>
      </c>
      <c r="AF410" s="201">
        <f t="shared" si="572"/>
        <v>0</v>
      </c>
      <c r="AG410" s="201">
        <f t="shared" si="8"/>
        <v>1</v>
      </c>
      <c r="AH410" s="202">
        <f t="shared" si="573"/>
        <v>0</v>
      </c>
      <c r="AI410" s="205"/>
      <c r="AJ410" s="173"/>
      <c r="AK410" s="173"/>
      <c r="AL410" s="173"/>
      <c r="AM410" s="173"/>
      <c r="AN410" s="173"/>
      <c r="AO410" s="173"/>
      <c r="AP410" s="173"/>
      <c r="AQ410" s="173"/>
      <c r="AR410" s="173"/>
      <c r="AS410" s="173"/>
      <c r="AT410" s="173"/>
      <c r="AU410" s="173"/>
      <c r="AV410" s="173"/>
    </row>
    <row r="411" spans="1:48" ht="14.25">
      <c r="A411" s="209"/>
      <c r="B411" s="206">
        <v>1</v>
      </c>
      <c r="C411" s="390" t="s">
        <v>977</v>
      </c>
      <c r="D411" s="391" t="s">
        <v>63</v>
      </c>
      <c r="E411" s="391" t="s">
        <v>80</v>
      </c>
      <c r="F411" s="391" t="s">
        <v>115</v>
      </c>
      <c r="G411" s="392">
        <v>2</v>
      </c>
      <c r="H411" s="392">
        <v>0</v>
      </c>
      <c r="I411" s="393">
        <v>1</v>
      </c>
      <c r="J411" s="393">
        <v>1</v>
      </c>
      <c r="K411" s="394" t="s">
        <v>182</v>
      </c>
      <c r="L411" s="394" t="s">
        <v>602</v>
      </c>
      <c r="M411" s="394">
        <v>2</v>
      </c>
      <c r="N411" s="394">
        <v>1</v>
      </c>
      <c r="O411" s="395" t="s">
        <v>978</v>
      </c>
      <c r="P411" s="396" t="s">
        <v>454</v>
      </c>
      <c r="Q411" s="391" t="s">
        <v>979</v>
      </c>
      <c r="R411" s="173"/>
      <c r="S411" s="195">
        <f>MATCH($D411,Reference!$J$5:$J$9,0)</f>
        <v>2</v>
      </c>
      <c r="T411" s="195">
        <f>MATCH($E411,Reference!$J$26:$J$32,0)</f>
        <v>5</v>
      </c>
      <c r="U411" s="195">
        <f>MATCH($F411,Reference!$J$45:$J$54,0)</f>
        <v>10</v>
      </c>
      <c r="V411" s="196">
        <f>MATCH($K411,Reference!$J$37:$J$39,0)</f>
        <v>3</v>
      </c>
      <c r="W411" s="197">
        <f t="shared" si="568"/>
        <v>2</v>
      </c>
      <c r="X411" s="197">
        <f t="shared" si="1"/>
        <v>1</v>
      </c>
      <c r="Y411" s="197">
        <f t="shared" ref="Y411:Y450" si="654">(MIN(G411,2)+H411-W411)*50</f>
        <v>0</v>
      </c>
      <c r="Z411" s="197">
        <f t="shared" si="570"/>
        <v>2</v>
      </c>
      <c r="AA411" s="199" t="b">
        <f t="shared" si="3"/>
        <v>0</v>
      </c>
      <c r="AB411" s="199" t="b">
        <f t="shared" si="4"/>
        <v>0</v>
      </c>
      <c r="AC411" s="200">
        <f t="shared" ref="AC411:AD411" si="655">1-I411</f>
        <v>0</v>
      </c>
      <c r="AD411" s="200">
        <f t="shared" si="655"/>
        <v>0</v>
      </c>
      <c r="AE411" s="199">
        <f t="shared" si="6"/>
        <v>2</v>
      </c>
      <c r="AF411" s="201">
        <f t="shared" si="572"/>
        <v>0</v>
      </c>
      <c r="AG411" s="201">
        <f t="shared" si="8"/>
        <v>1</v>
      </c>
      <c r="AH411" s="202">
        <f t="shared" ref="AH411:AH450" si="656">(MIN(H411,2)+G411-W411)*5</f>
        <v>0</v>
      </c>
      <c r="AI411" s="205"/>
      <c r="AJ411" s="173"/>
      <c r="AK411" s="173"/>
      <c r="AL411" s="173"/>
      <c r="AM411" s="173"/>
      <c r="AN411" s="173"/>
      <c r="AO411" s="173"/>
      <c r="AP411" s="173"/>
      <c r="AQ411" s="173"/>
      <c r="AR411" s="173"/>
      <c r="AS411" s="173"/>
      <c r="AT411" s="173"/>
      <c r="AU411" s="173"/>
      <c r="AV411" s="173"/>
    </row>
    <row r="412" spans="1:48" ht="14.25">
      <c r="A412" s="187"/>
      <c r="B412" s="206">
        <v>1</v>
      </c>
      <c r="C412" s="390" t="s">
        <v>980</v>
      </c>
      <c r="D412" s="391" t="s">
        <v>63</v>
      </c>
      <c r="E412" s="391" t="s">
        <v>80</v>
      </c>
      <c r="F412" s="391" t="s">
        <v>115</v>
      </c>
      <c r="G412" s="392">
        <v>2</v>
      </c>
      <c r="H412" s="392">
        <v>0</v>
      </c>
      <c r="I412" s="393">
        <v>1</v>
      </c>
      <c r="J412" s="393">
        <v>1</v>
      </c>
      <c r="K412" s="394" t="s">
        <v>182</v>
      </c>
      <c r="L412" s="394"/>
      <c r="M412" s="394">
        <v>1</v>
      </c>
      <c r="N412" s="394">
        <v>2</v>
      </c>
      <c r="O412" s="395" t="s">
        <v>981</v>
      </c>
      <c r="P412" s="289"/>
      <c r="Q412" s="391" t="s">
        <v>979</v>
      </c>
      <c r="R412" s="173"/>
      <c r="S412" s="195">
        <f>MATCH($D412,Reference!$J$5:$J$9,0)</f>
        <v>2</v>
      </c>
      <c r="T412" s="195">
        <f>MATCH($E412,Reference!$J$26:$J$32,0)</f>
        <v>5</v>
      </c>
      <c r="U412" s="195">
        <f>MATCH($F412,Reference!$J$45:$J$54,0)</f>
        <v>10</v>
      </c>
      <c r="V412" s="196">
        <f>MATCH($K412,Reference!$J$37:$J$39,0)</f>
        <v>3</v>
      </c>
      <c r="W412" s="197">
        <f t="shared" si="568"/>
        <v>2</v>
      </c>
      <c r="X412" s="197">
        <f t="shared" si="1"/>
        <v>1</v>
      </c>
      <c r="Y412" s="197">
        <f t="shared" si="654"/>
        <v>0</v>
      </c>
      <c r="Z412" s="197">
        <f t="shared" si="570"/>
        <v>2</v>
      </c>
      <c r="AA412" s="199" t="b">
        <f t="shared" si="3"/>
        <v>0</v>
      </c>
      <c r="AB412" s="199" t="b">
        <f t="shared" si="4"/>
        <v>0</v>
      </c>
      <c r="AC412" s="200">
        <f t="shared" ref="AC412:AD412" si="657">1-I412</f>
        <v>0</v>
      </c>
      <c r="AD412" s="200">
        <f t="shared" si="657"/>
        <v>0</v>
      </c>
      <c r="AE412" s="199">
        <f t="shared" si="6"/>
        <v>2</v>
      </c>
      <c r="AF412" s="201">
        <f t="shared" si="572"/>
        <v>0</v>
      </c>
      <c r="AG412" s="201">
        <f t="shared" si="8"/>
        <v>1</v>
      </c>
      <c r="AH412" s="202">
        <f t="shared" si="656"/>
        <v>0</v>
      </c>
      <c r="AI412" s="205"/>
      <c r="AJ412" s="173"/>
      <c r="AK412" s="173"/>
      <c r="AL412" s="173"/>
      <c r="AM412" s="173"/>
      <c r="AN412" s="173"/>
      <c r="AO412" s="173"/>
      <c r="AP412" s="173"/>
      <c r="AQ412" s="173"/>
      <c r="AR412" s="173"/>
      <c r="AS412" s="173"/>
      <c r="AT412" s="173"/>
      <c r="AU412" s="173"/>
      <c r="AV412" s="173"/>
    </row>
    <row r="413" spans="1:48" ht="14.25">
      <c r="A413" s="209"/>
      <c r="B413" s="213">
        <v>1</v>
      </c>
      <c r="C413" s="397" t="s">
        <v>982</v>
      </c>
      <c r="D413" s="398" t="s">
        <v>63</v>
      </c>
      <c r="E413" s="398" t="s">
        <v>80</v>
      </c>
      <c r="F413" s="398" t="s">
        <v>26</v>
      </c>
      <c r="G413" s="399">
        <v>2</v>
      </c>
      <c r="H413" s="399">
        <v>0</v>
      </c>
      <c r="I413" s="393">
        <v>0</v>
      </c>
      <c r="J413" s="393">
        <v>0</v>
      </c>
      <c r="K413" s="400" t="s">
        <v>182</v>
      </c>
      <c r="L413" s="400" t="s">
        <v>602</v>
      </c>
      <c r="M413" s="400">
        <v>1</v>
      </c>
      <c r="N413" s="400">
        <v>3</v>
      </c>
      <c r="O413" s="401" t="s">
        <v>983</v>
      </c>
      <c r="P413" s="402" t="s">
        <v>545</v>
      </c>
      <c r="Q413" s="398" t="s">
        <v>979</v>
      </c>
      <c r="R413" s="173"/>
      <c r="S413" s="195">
        <f>MATCH($D413,Reference!$J$5:$J$9,0)</f>
        <v>2</v>
      </c>
      <c r="T413" s="195">
        <f>MATCH($E413,Reference!$J$26:$J$32,0)</f>
        <v>5</v>
      </c>
      <c r="U413" s="195">
        <f>MATCH($F413,Reference!$J$45:$J$54,0)</f>
        <v>9</v>
      </c>
      <c r="V413" s="196">
        <f>MATCH($K413,Reference!$J$37:$J$39,0)</f>
        <v>3</v>
      </c>
      <c r="W413" s="197">
        <f t="shared" si="568"/>
        <v>2</v>
      </c>
      <c r="X413" s="197">
        <f t="shared" si="1"/>
        <v>1</v>
      </c>
      <c r="Y413" s="197">
        <f t="shared" si="654"/>
        <v>0</v>
      </c>
      <c r="Z413" s="197">
        <f t="shared" si="570"/>
        <v>2</v>
      </c>
      <c r="AA413" s="199" t="b">
        <f t="shared" si="3"/>
        <v>0</v>
      </c>
      <c r="AB413" s="199" t="b">
        <f t="shared" si="4"/>
        <v>0</v>
      </c>
      <c r="AC413" s="200">
        <f t="shared" ref="AC413:AD413" si="658">1-I413</f>
        <v>1</v>
      </c>
      <c r="AD413" s="200">
        <f t="shared" si="658"/>
        <v>1</v>
      </c>
      <c r="AE413" s="199">
        <f t="shared" si="6"/>
        <v>2</v>
      </c>
      <c r="AF413" s="201">
        <f t="shared" si="572"/>
        <v>0</v>
      </c>
      <c r="AG413" s="201">
        <f t="shared" si="8"/>
        <v>1</v>
      </c>
      <c r="AH413" s="202">
        <f t="shared" si="656"/>
        <v>0</v>
      </c>
      <c r="AI413" s="205"/>
      <c r="AJ413" s="173"/>
      <c r="AK413" s="173"/>
      <c r="AL413" s="173"/>
      <c r="AM413" s="173"/>
      <c r="AN413" s="173"/>
      <c r="AO413" s="173"/>
      <c r="AP413" s="173"/>
      <c r="AQ413" s="173"/>
      <c r="AR413" s="173"/>
      <c r="AS413" s="173"/>
      <c r="AT413" s="173"/>
      <c r="AU413" s="173"/>
      <c r="AV413" s="173"/>
    </row>
    <row r="414" spans="1:48" ht="14.25">
      <c r="A414" s="206"/>
      <c r="B414" s="206">
        <v>2</v>
      </c>
      <c r="C414" s="403" t="s">
        <v>984</v>
      </c>
      <c r="D414" s="391" t="s">
        <v>63</v>
      </c>
      <c r="E414" s="391" t="s">
        <v>80</v>
      </c>
      <c r="F414" s="391" t="s">
        <v>115</v>
      </c>
      <c r="G414" s="392">
        <v>2</v>
      </c>
      <c r="H414" s="392">
        <v>0</v>
      </c>
      <c r="I414" s="393">
        <v>1</v>
      </c>
      <c r="J414" s="393">
        <v>1</v>
      </c>
      <c r="K414" s="394" t="s">
        <v>182</v>
      </c>
      <c r="L414" s="394" t="s">
        <v>602</v>
      </c>
      <c r="M414" s="394">
        <v>1</v>
      </c>
      <c r="N414" s="394">
        <v>2</v>
      </c>
      <c r="O414" s="395" t="s">
        <v>975</v>
      </c>
      <c r="P414" s="396" t="s">
        <v>795</v>
      </c>
      <c r="Q414" s="391" t="s">
        <v>979</v>
      </c>
      <c r="R414" s="173"/>
      <c r="S414" s="195">
        <f>MATCH($D414,Reference!$J$5:$J$9,0)</f>
        <v>2</v>
      </c>
      <c r="T414" s="195">
        <f>MATCH($E414,Reference!$J$26:$J$32,0)</f>
        <v>5</v>
      </c>
      <c r="U414" s="195">
        <f>MATCH($F414,Reference!$J$45:$J$54,0)</f>
        <v>10</v>
      </c>
      <c r="V414" s="196">
        <f>MATCH($K414,Reference!$J$37:$J$39,0)</f>
        <v>3</v>
      </c>
      <c r="W414" s="197">
        <f t="shared" si="568"/>
        <v>2</v>
      </c>
      <c r="X414" s="197">
        <f t="shared" si="1"/>
        <v>1</v>
      </c>
      <c r="Y414" s="197">
        <f t="shared" si="654"/>
        <v>0</v>
      </c>
      <c r="Z414" s="197">
        <f t="shared" si="570"/>
        <v>2</v>
      </c>
      <c r="AA414" s="199" t="b">
        <f t="shared" si="3"/>
        <v>0</v>
      </c>
      <c r="AB414" s="199" t="b">
        <f t="shared" si="4"/>
        <v>0</v>
      </c>
      <c r="AC414" s="200">
        <f t="shared" ref="AC414:AD414" si="659">1-I414</f>
        <v>0</v>
      </c>
      <c r="AD414" s="200">
        <f t="shared" si="659"/>
        <v>0</v>
      </c>
      <c r="AE414" s="199">
        <f t="shared" si="6"/>
        <v>2</v>
      </c>
      <c r="AF414" s="201">
        <f t="shared" si="572"/>
        <v>0</v>
      </c>
      <c r="AG414" s="201">
        <f t="shared" si="8"/>
        <v>1</v>
      </c>
      <c r="AH414" s="202">
        <f t="shared" si="656"/>
        <v>0</v>
      </c>
      <c r="AI414" s="205"/>
      <c r="AJ414" s="173"/>
      <c r="AK414" s="173"/>
      <c r="AL414" s="173"/>
      <c r="AM414" s="173"/>
      <c r="AN414" s="173"/>
      <c r="AO414" s="173"/>
      <c r="AP414" s="173"/>
      <c r="AQ414" s="173"/>
      <c r="AR414" s="173"/>
      <c r="AS414" s="173"/>
      <c r="AT414" s="173"/>
      <c r="AU414" s="173"/>
      <c r="AV414" s="173"/>
    </row>
    <row r="415" spans="1:48" ht="14.25">
      <c r="A415" s="187"/>
      <c r="B415" s="213">
        <v>2</v>
      </c>
      <c r="C415" s="397" t="s">
        <v>985</v>
      </c>
      <c r="D415" s="398" t="s">
        <v>63</v>
      </c>
      <c r="E415" s="398" t="s">
        <v>80</v>
      </c>
      <c r="F415" s="398" t="s">
        <v>8</v>
      </c>
      <c r="G415" s="399">
        <v>2</v>
      </c>
      <c r="H415" s="399">
        <v>0</v>
      </c>
      <c r="I415" s="393">
        <v>0.33</v>
      </c>
      <c r="J415" s="393">
        <v>0.33</v>
      </c>
      <c r="K415" s="400" t="s">
        <v>182</v>
      </c>
      <c r="L415" s="400" t="s">
        <v>602</v>
      </c>
      <c r="M415" s="400">
        <v>2</v>
      </c>
      <c r="N415" s="400">
        <v>2</v>
      </c>
      <c r="O415" s="401" t="s">
        <v>986</v>
      </c>
      <c r="P415" s="402" t="s">
        <v>987</v>
      </c>
      <c r="Q415" s="398" t="s">
        <v>979</v>
      </c>
      <c r="R415" s="173"/>
      <c r="S415" s="195">
        <f>MATCH($D415,Reference!$J$5:$J$9,0)</f>
        <v>2</v>
      </c>
      <c r="T415" s="195">
        <f>MATCH($E415,Reference!$J$26:$J$32,0)</f>
        <v>5</v>
      </c>
      <c r="U415" s="195">
        <f>MATCH($F415,Reference!$J$45:$J$54,0)</f>
        <v>1</v>
      </c>
      <c r="V415" s="196">
        <f>MATCH($K415,Reference!$J$37:$J$39,0)</f>
        <v>3</v>
      </c>
      <c r="W415" s="197">
        <f t="shared" si="568"/>
        <v>2</v>
      </c>
      <c r="X415" s="197">
        <f t="shared" si="1"/>
        <v>1</v>
      </c>
      <c r="Y415" s="197">
        <f t="shared" si="654"/>
        <v>0</v>
      </c>
      <c r="Z415" s="197">
        <f t="shared" si="570"/>
        <v>2</v>
      </c>
      <c r="AA415" s="199" t="b">
        <f t="shared" si="3"/>
        <v>0</v>
      </c>
      <c r="AB415" s="199" t="b">
        <f t="shared" si="4"/>
        <v>0</v>
      </c>
      <c r="AC415" s="200">
        <f t="shared" ref="AC415:AD415" si="660">1-I415</f>
        <v>0.66999999999999993</v>
      </c>
      <c r="AD415" s="200">
        <f t="shared" si="660"/>
        <v>0.66999999999999993</v>
      </c>
      <c r="AE415" s="199">
        <f t="shared" si="6"/>
        <v>2</v>
      </c>
      <c r="AF415" s="201">
        <f t="shared" si="572"/>
        <v>0</v>
      </c>
      <c r="AG415" s="201">
        <f t="shared" si="8"/>
        <v>1</v>
      </c>
      <c r="AH415" s="202">
        <f t="shared" si="656"/>
        <v>0</v>
      </c>
      <c r="AI415" s="205"/>
      <c r="AJ415" s="173"/>
      <c r="AK415" s="173"/>
      <c r="AL415" s="173"/>
      <c r="AM415" s="173"/>
      <c r="AN415" s="173"/>
      <c r="AO415" s="173"/>
      <c r="AP415" s="173"/>
      <c r="AQ415" s="173"/>
      <c r="AR415" s="173"/>
      <c r="AS415" s="173"/>
      <c r="AT415" s="173"/>
      <c r="AU415" s="173"/>
      <c r="AV415" s="173"/>
    </row>
    <row r="416" spans="1:48" ht="14.25">
      <c r="A416" s="187"/>
      <c r="B416" s="206">
        <v>2</v>
      </c>
      <c r="C416" s="390" t="s">
        <v>988</v>
      </c>
      <c r="D416" s="391" t="s">
        <v>63</v>
      </c>
      <c r="E416" s="391" t="s">
        <v>80</v>
      </c>
      <c r="F416" s="391" t="s">
        <v>21</v>
      </c>
      <c r="G416" s="392">
        <v>2</v>
      </c>
      <c r="H416" s="392">
        <v>0</v>
      </c>
      <c r="I416" s="393">
        <v>1</v>
      </c>
      <c r="J416" s="393">
        <v>1</v>
      </c>
      <c r="K416" s="394" t="s">
        <v>146</v>
      </c>
      <c r="L416" s="394"/>
      <c r="M416" s="394"/>
      <c r="N416" s="394"/>
      <c r="O416" s="395" t="s">
        <v>989</v>
      </c>
      <c r="P416" s="289"/>
      <c r="Q416" s="391" t="s">
        <v>979</v>
      </c>
      <c r="R416" s="173"/>
      <c r="S416" s="195">
        <f>MATCH($D416,Reference!$J$5:$J$9,0)</f>
        <v>2</v>
      </c>
      <c r="T416" s="195">
        <f>MATCH($E416,Reference!$J$26:$J$32,0)</f>
        <v>5</v>
      </c>
      <c r="U416" s="195">
        <f>MATCH($F416,Reference!$J$45:$J$54,0)</f>
        <v>7</v>
      </c>
      <c r="V416" s="196">
        <f>MATCH($K416,Reference!$J$37:$J$39,0)</f>
        <v>2</v>
      </c>
      <c r="W416" s="197">
        <f t="shared" si="568"/>
        <v>2</v>
      </c>
      <c r="X416" s="197">
        <f t="shared" si="1"/>
        <v>1</v>
      </c>
      <c r="Y416" s="197">
        <f t="shared" si="654"/>
        <v>0</v>
      </c>
      <c r="Z416" s="197">
        <f t="shared" si="570"/>
        <v>2</v>
      </c>
      <c r="AA416" s="199" t="b">
        <f t="shared" si="3"/>
        <v>0</v>
      </c>
      <c r="AB416" s="199" t="b">
        <f t="shared" si="4"/>
        <v>0</v>
      </c>
      <c r="AC416" s="200">
        <f t="shared" ref="AC416:AD416" si="661">1-I416</f>
        <v>0</v>
      </c>
      <c r="AD416" s="200">
        <f t="shared" si="661"/>
        <v>0</v>
      </c>
      <c r="AE416" s="199">
        <f t="shared" si="6"/>
        <v>2</v>
      </c>
      <c r="AF416" s="201">
        <f t="shared" si="572"/>
        <v>0</v>
      </c>
      <c r="AG416" s="201">
        <f t="shared" si="8"/>
        <v>1</v>
      </c>
      <c r="AH416" s="202">
        <f t="shared" si="656"/>
        <v>0</v>
      </c>
      <c r="AI416" s="205"/>
      <c r="AJ416" s="173"/>
      <c r="AK416" s="173"/>
      <c r="AL416" s="173"/>
      <c r="AM416" s="173"/>
      <c r="AN416" s="173"/>
      <c r="AO416" s="173"/>
      <c r="AP416" s="173"/>
      <c r="AQ416" s="173"/>
      <c r="AR416" s="173"/>
      <c r="AS416" s="173"/>
      <c r="AT416" s="173"/>
      <c r="AU416" s="173"/>
      <c r="AV416" s="173"/>
    </row>
    <row r="417" spans="1:48" ht="14.25">
      <c r="A417" s="209"/>
      <c r="B417" s="213">
        <v>2</v>
      </c>
      <c r="C417" s="397" t="s">
        <v>990</v>
      </c>
      <c r="D417" s="398" t="s">
        <v>63</v>
      </c>
      <c r="E417" s="398" t="s">
        <v>80</v>
      </c>
      <c r="F417" s="398" t="s">
        <v>25</v>
      </c>
      <c r="G417" s="399">
        <v>2</v>
      </c>
      <c r="H417" s="399">
        <v>0</v>
      </c>
      <c r="I417" s="393">
        <v>1</v>
      </c>
      <c r="J417" s="393">
        <v>1</v>
      </c>
      <c r="K417" s="400" t="s">
        <v>146</v>
      </c>
      <c r="L417" s="400"/>
      <c r="M417" s="400"/>
      <c r="N417" s="400"/>
      <c r="O417" s="401" t="s">
        <v>991</v>
      </c>
      <c r="P417" s="292"/>
      <c r="Q417" s="398" t="s">
        <v>979</v>
      </c>
      <c r="R417" s="173"/>
      <c r="S417" s="195">
        <f>MATCH($D417,Reference!$J$5:$J$9,0)</f>
        <v>2</v>
      </c>
      <c r="T417" s="195">
        <f>MATCH($E417,Reference!$J$26:$J$32,0)</f>
        <v>5</v>
      </c>
      <c r="U417" s="195">
        <f>MATCH($F417,Reference!$J$45:$J$54,0)</f>
        <v>8</v>
      </c>
      <c r="V417" s="196">
        <f>MATCH($K417,Reference!$J$37:$J$39,0)</f>
        <v>2</v>
      </c>
      <c r="W417" s="197">
        <f t="shared" si="568"/>
        <v>2</v>
      </c>
      <c r="X417" s="197">
        <f t="shared" si="1"/>
        <v>1</v>
      </c>
      <c r="Y417" s="197">
        <f t="shared" si="654"/>
        <v>0</v>
      </c>
      <c r="Z417" s="197">
        <f t="shared" si="570"/>
        <v>2</v>
      </c>
      <c r="AA417" s="199" t="b">
        <f t="shared" si="3"/>
        <v>0</v>
      </c>
      <c r="AB417" s="199" t="b">
        <f t="shared" si="4"/>
        <v>0</v>
      </c>
      <c r="AC417" s="200">
        <f t="shared" ref="AC417:AD417" si="662">1-I417</f>
        <v>0</v>
      </c>
      <c r="AD417" s="200">
        <f t="shared" si="662"/>
        <v>0</v>
      </c>
      <c r="AE417" s="199">
        <f t="shared" si="6"/>
        <v>2</v>
      </c>
      <c r="AF417" s="201">
        <f t="shared" si="572"/>
        <v>0</v>
      </c>
      <c r="AG417" s="201">
        <f t="shared" si="8"/>
        <v>1</v>
      </c>
      <c r="AH417" s="202">
        <f t="shared" si="656"/>
        <v>0</v>
      </c>
      <c r="AI417" s="205"/>
      <c r="AJ417" s="173"/>
      <c r="AK417" s="173"/>
      <c r="AL417" s="173"/>
      <c r="AM417" s="173"/>
      <c r="AN417" s="173"/>
      <c r="AO417" s="173"/>
      <c r="AP417" s="173"/>
      <c r="AQ417" s="173"/>
      <c r="AR417" s="173"/>
      <c r="AS417" s="173"/>
      <c r="AT417" s="173"/>
      <c r="AU417" s="173"/>
      <c r="AV417" s="173"/>
    </row>
    <row r="418" spans="1:48" ht="14.25">
      <c r="A418" s="209"/>
      <c r="B418" s="206">
        <v>2</v>
      </c>
      <c r="C418" s="390" t="s">
        <v>992</v>
      </c>
      <c r="D418" s="391" t="s">
        <v>63</v>
      </c>
      <c r="E418" s="391" t="s">
        <v>80</v>
      </c>
      <c r="F418" s="391" t="s">
        <v>115</v>
      </c>
      <c r="G418" s="392">
        <v>2</v>
      </c>
      <c r="H418" s="392">
        <v>0</v>
      </c>
      <c r="I418" s="393">
        <v>0.66</v>
      </c>
      <c r="J418" s="393">
        <v>0.66</v>
      </c>
      <c r="K418" s="394" t="s">
        <v>182</v>
      </c>
      <c r="L418" s="394" t="s">
        <v>602</v>
      </c>
      <c r="M418" s="394">
        <v>1</v>
      </c>
      <c r="N418" s="394">
        <v>1</v>
      </c>
      <c r="O418" s="395" t="s">
        <v>993</v>
      </c>
      <c r="P418" s="396" t="s">
        <v>454</v>
      </c>
      <c r="Q418" s="391" t="s">
        <v>979</v>
      </c>
      <c r="R418" s="173"/>
      <c r="S418" s="195">
        <f>MATCH($D418,Reference!$J$5:$J$9,0)</f>
        <v>2</v>
      </c>
      <c r="T418" s="195">
        <f>MATCH($E418,Reference!$J$26:$J$32,0)</f>
        <v>5</v>
      </c>
      <c r="U418" s="195">
        <f>MATCH($F418,Reference!$J$45:$J$54,0)</f>
        <v>10</v>
      </c>
      <c r="V418" s="196">
        <f>MATCH($K418,Reference!$J$37:$J$39,0)</f>
        <v>3</v>
      </c>
      <c r="W418" s="197">
        <f t="shared" si="568"/>
        <v>2</v>
      </c>
      <c r="X418" s="197">
        <f t="shared" si="1"/>
        <v>1</v>
      </c>
      <c r="Y418" s="197">
        <f t="shared" si="654"/>
        <v>0</v>
      </c>
      <c r="Z418" s="197">
        <f t="shared" si="570"/>
        <v>2</v>
      </c>
      <c r="AA418" s="199" t="b">
        <f t="shared" si="3"/>
        <v>0</v>
      </c>
      <c r="AB418" s="199" t="b">
        <f t="shared" si="4"/>
        <v>0</v>
      </c>
      <c r="AC418" s="200">
        <f t="shared" ref="AC418:AD418" si="663">1-I418</f>
        <v>0.33999999999999997</v>
      </c>
      <c r="AD418" s="200">
        <f t="shared" si="663"/>
        <v>0.33999999999999997</v>
      </c>
      <c r="AE418" s="199">
        <f t="shared" si="6"/>
        <v>2</v>
      </c>
      <c r="AF418" s="201">
        <f t="shared" si="572"/>
        <v>0</v>
      </c>
      <c r="AG418" s="201">
        <f t="shared" si="8"/>
        <v>1</v>
      </c>
      <c r="AH418" s="202">
        <f t="shared" si="656"/>
        <v>0</v>
      </c>
      <c r="AI418" s="205"/>
      <c r="AJ418" s="173"/>
      <c r="AK418" s="173"/>
      <c r="AL418" s="173"/>
      <c r="AM418" s="173"/>
      <c r="AN418" s="173"/>
      <c r="AO418" s="173"/>
      <c r="AP418" s="173"/>
      <c r="AQ418" s="173"/>
      <c r="AR418" s="173"/>
      <c r="AS418" s="173"/>
      <c r="AT418" s="173"/>
      <c r="AU418" s="173"/>
      <c r="AV418" s="173"/>
    </row>
    <row r="419" spans="1:48" ht="14.25">
      <c r="A419" s="187"/>
      <c r="B419" s="213">
        <v>2</v>
      </c>
      <c r="C419" s="397" t="s">
        <v>994</v>
      </c>
      <c r="D419" s="398" t="s">
        <v>63</v>
      </c>
      <c r="E419" s="398" t="s">
        <v>80</v>
      </c>
      <c r="F419" s="398" t="s">
        <v>13</v>
      </c>
      <c r="G419" s="399">
        <v>2</v>
      </c>
      <c r="H419" s="399">
        <v>0</v>
      </c>
      <c r="I419" s="393">
        <v>1</v>
      </c>
      <c r="J419" s="393">
        <v>1</v>
      </c>
      <c r="K419" s="400" t="s">
        <v>146</v>
      </c>
      <c r="L419" s="400"/>
      <c r="M419" s="400"/>
      <c r="N419" s="400"/>
      <c r="O419" s="401" t="s">
        <v>995</v>
      </c>
      <c r="P419" s="292"/>
      <c r="Q419" s="398" t="s">
        <v>979</v>
      </c>
      <c r="R419" s="173"/>
      <c r="S419" s="195">
        <f>MATCH($D419,Reference!$J$5:$J$9,0)</f>
        <v>2</v>
      </c>
      <c r="T419" s="195">
        <f>MATCH($E419,Reference!$J$26:$J$32,0)</f>
        <v>5</v>
      </c>
      <c r="U419" s="195">
        <f>MATCH($F419,Reference!$J$45:$J$54,0)</f>
        <v>3</v>
      </c>
      <c r="V419" s="196">
        <f>MATCH($K419,Reference!$J$37:$J$39,0)</f>
        <v>2</v>
      </c>
      <c r="W419" s="197">
        <f t="shared" si="568"/>
        <v>2</v>
      </c>
      <c r="X419" s="197">
        <f t="shared" si="1"/>
        <v>1</v>
      </c>
      <c r="Y419" s="197">
        <f t="shared" si="654"/>
        <v>0</v>
      </c>
      <c r="Z419" s="197">
        <f t="shared" si="570"/>
        <v>2</v>
      </c>
      <c r="AA419" s="199" t="b">
        <f t="shared" si="3"/>
        <v>0</v>
      </c>
      <c r="AB419" s="199" t="b">
        <f t="shared" si="4"/>
        <v>0</v>
      </c>
      <c r="AC419" s="200">
        <f t="shared" ref="AC419:AD419" si="664">1-I419</f>
        <v>0</v>
      </c>
      <c r="AD419" s="200">
        <f t="shared" si="664"/>
        <v>0</v>
      </c>
      <c r="AE419" s="199">
        <f t="shared" si="6"/>
        <v>2</v>
      </c>
      <c r="AF419" s="201">
        <f t="shared" si="572"/>
        <v>0</v>
      </c>
      <c r="AG419" s="201">
        <f t="shared" si="8"/>
        <v>1</v>
      </c>
      <c r="AH419" s="202">
        <f t="shared" si="656"/>
        <v>0</v>
      </c>
      <c r="AI419" s="205"/>
      <c r="AJ419" s="173"/>
      <c r="AK419" s="173"/>
      <c r="AL419" s="173"/>
      <c r="AM419" s="173"/>
      <c r="AN419" s="173"/>
      <c r="AO419" s="173"/>
      <c r="AP419" s="173"/>
      <c r="AQ419" s="173"/>
      <c r="AR419" s="173"/>
      <c r="AS419" s="173"/>
      <c r="AT419" s="173"/>
      <c r="AU419" s="173"/>
      <c r="AV419" s="173"/>
    </row>
    <row r="420" spans="1:48" ht="14.25">
      <c r="A420" s="222"/>
      <c r="B420" s="206">
        <v>2</v>
      </c>
      <c r="C420" s="390" t="s">
        <v>996</v>
      </c>
      <c r="D420" s="391" t="s">
        <v>63</v>
      </c>
      <c r="E420" s="391" t="s">
        <v>80</v>
      </c>
      <c r="F420" s="391" t="s">
        <v>115</v>
      </c>
      <c r="G420" s="392">
        <v>2</v>
      </c>
      <c r="H420" s="392">
        <v>0</v>
      </c>
      <c r="I420" s="393">
        <v>1</v>
      </c>
      <c r="J420" s="393">
        <v>1</v>
      </c>
      <c r="K420" s="394" t="s">
        <v>182</v>
      </c>
      <c r="L420" s="394"/>
      <c r="M420" s="394">
        <v>2</v>
      </c>
      <c r="N420" s="394">
        <v>3</v>
      </c>
      <c r="O420" s="395" t="s">
        <v>539</v>
      </c>
      <c r="P420" s="396" t="s">
        <v>997</v>
      </c>
      <c r="Q420" s="391" t="s">
        <v>979</v>
      </c>
      <c r="R420" s="173"/>
      <c r="S420" s="195">
        <f>MATCH($D420,Reference!$J$5:$J$9,0)</f>
        <v>2</v>
      </c>
      <c r="T420" s="195">
        <f>MATCH($E420,Reference!$J$26:$J$32,0)</f>
        <v>5</v>
      </c>
      <c r="U420" s="195">
        <f>MATCH($F420,Reference!$J$45:$J$54,0)</f>
        <v>10</v>
      </c>
      <c r="V420" s="196">
        <f>MATCH($K420,Reference!$J$37:$J$39,0)</f>
        <v>3</v>
      </c>
      <c r="W420" s="197">
        <f t="shared" si="568"/>
        <v>2</v>
      </c>
      <c r="X420" s="197">
        <f t="shared" si="1"/>
        <v>1</v>
      </c>
      <c r="Y420" s="197">
        <f t="shared" si="654"/>
        <v>0</v>
      </c>
      <c r="Z420" s="197">
        <f t="shared" si="570"/>
        <v>2</v>
      </c>
      <c r="AA420" s="199" t="b">
        <f t="shared" si="3"/>
        <v>0</v>
      </c>
      <c r="AB420" s="199" t="b">
        <f t="shared" si="4"/>
        <v>0</v>
      </c>
      <c r="AC420" s="200">
        <f t="shared" ref="AC420:AD420" si="665">1-I420</f>
        <v>0</v>
      </c>
      <c r="AD420" s="200">
        <f t="shared" si="665"/>
        <v>0</v>
      </c>
      <c r="AE420" s="199">
        <f t="shared" si="6"/>
        <v>2</v>
      </c>
      <c r="AF420" s="201">
        <f t="shared" si="572"/>
        <v>0</v>
      </c>
      <c r="AG420" s="201">
        <f t="shared" si="8"/>
        <v>1</v>
      </c>
      <c r="AH420" s="202">
        <f t="shared" si="656"/>
        <v>0</v>
      </c>
      <c r="AI420" s="205"/>
      <c r="AJ420" s="173"/>
      <c r="AK420" s="173"/>
      <c r="AL420" s="173"/>
      <c r="AM420" s="173"/>
      <c r="AN420" s="173"/>
      <c r="AO420" s="173"/>
      <c r="AP420" s="173"/>
      <c r="AQ420" s="173"/>
      <c r="AR420" s="173"/>
      <c r="AS420" s="173"/>
      <c r="AT420" s="173"/>
      <c r="AU420" s="173"/>
      <c r="AV420" s="173"/>
    </row>
    <row r="421" spans="1:48" ht="14.25">
      <c r="A421" s="187"/>
      <c r="B421" s="213">
        <v>2</v>
      </c>
      <c r="C421" s="397" t="s">
        <v>998</v>
      </c>
      <c r="D421" s="398" t="s">
        <v>63</v>
      </c>
      <c r="E421" s="398" t="s">
        <v>80</v>
      </c>
      <c r="F421" s="398" t="s">
        <v>11</v>
      </c>
      <c r="G421" s="399">
        <v>2</v>
      </c>
      <c r="H421" s="399">
        <v>0</v>
      </c>
      <c r="I421" s="393">
        <v>1</v>
      </c>
      <c r="J421" s="393">
        <v>1</v>
      </c>
      <c r="K421" s="400" t="s">
        <v>207</v>
      </c>
      <c r="L421" s="400"/>
      <c r="M421" s="400">
        <v>2</v>
      </c>
      <c r="N421" s="400">
        <v>2</v>
      </c>
      <c r="O421" s="401" t="s">
        <v>999</v>
      </c>
      <c r="P421" s="292"/>
      <c r="Q421" s="398" t="s">
        <v>979</v>
      </c>
      <c r="R421" s="173"/>
      <c r="S421" s="195">
        <f>MATCH($D421,Reference!$J$5:$J$9,0)</f>
        <v>2</v>
      </c>
      <c r="T421" s="195">
        <f>MATCH($E421,Reference!$J$26:$J$32,0)</f>
        <v>5</v>
      </c>
      <c r="U421" s="195">
        <f>MATCH($F421,Reference!$J$45:$J$54,0)</f>
        <v>2</v>
      </c>
      <c r="V421" s="196">
        <f>MATCH($K421,Reference!$J$37:$J$39,0)</f>
        <v>1</v>
      </c>
      <c r="W421" s="197">
        <f t="shared" si="568"/>
        <v>2</v>
      </c>
      <c r="X421" s="197">
        <f t="shared" si="1"/>
        <v>1</v>
      </c>
      <c r="Y421" s="197">
        <f t="shared" si="654"/>
        <v>0</v>
      </c>
      <c r="Z421" s="197">
        <f t="shared" si="570"/>
        <v>2</v>
      </c>
      <c r="AA421" s="199" t="b">
        <f t="shared" si="3"/>
        <v>0</v>
      </c>
      <c r="AB421" s="199" t="b">
        <f t="shared" si="4"/>
        <v>0</v>
      </c>
      <c r="AC421" s="200">
        <f t="shared" ref="AC421:AD421" si="666">1-I421</f>
        <v>0</v>
      </c>
      <c r="AD421" s="200">
        <f t="shared" si="666"/>
        <v>0</v>
      </c>
      <c r="AE421" s="199">
        <f t="shared" si="6"/>
        <v>2</v>
      </c>
      <c r="AF421" s="201">
        <f t="shared" si="572"/>
        <v>0</v>
      </c>
      <c r="AG421" s="201">
        <f t="shared" si="8"/>
        <v>1</v>
      </c>
      <c r="AH421" s="202">
        <f t="shared" si="656"/>
        <v>0</v>
      </c>
      <c r="AI421" s="205"/>
      <c r="AJ421" s="173"/>
      <c r="AK421" s="173"/>
      <c r="AL421" s="173"/>
      <c r="AM421" s="173"/>
      <c r="AN421" s="173"/>
      <c r="AO421" s="173"/>
      <c r="AP421" s="173"/>
      <c r="AQ421" s="173"/>
      <c r="AR421" s="173"/>
      <c r="AS421" s="173"/>
      <c r="AT421" s="173"/>
      <c r="AU421" s="173"/>
      <c r="AV421" s="173"/>
    </row>
    <row r="422" spans="1:48" ht="14.25">
      <c r="A422" s="240"/>
      <c r="B422" s="213">
        <v>2</v>
      </c>
      <c r="C422" s="397" t="s">
        <v>1000</v>
      </c>
      <c r="D422" s="398" t="s">
        <v>63</v>
      </c>
      <c r="E422" s="398" t="s">
        <v>80</v>
      </c>
      <c r="F422" s="398" t="s">
        <v>20</v>
      </c>
      <c r="G422" s="399">
        <v>2</v>
      </c>
      <c r="H422" s="399">
        <v>0</v>
      </c>
      <c r="I422" s="393">
        <v>0.66</v>
      </c>
      <c r="J422" s="393">
        <v>0.66</v>
      </c>
      <c r="K422" s="400" t="s">
        <v>182</v>
      </c>
      <c r="L422" s="400" t="s">
        <v>602</v>
      </c>
      <c r="M422" s="400">
        <v>3</v>
      </c>
      <c r="N422" s="400">
        <v>2</v>
      </c>
      <c r="O422" s="401" t="s">
        <v>1001</v>
      </c>
      <c r="P422" s="402" t="s">
        <v>184</v>
      </c>
      <c r="Q422" s="398" t="s">
        <v>979</v>
      </c>
      <c r="R422" s="34"/>
      <c r="S422" s="195">
        <f>MATCH($D422,Reference!$J$5:$J$9,0)</f>
        <v>2</v>
      </c>
      <c r="T422" s="195">
        <f>MATCH($E422,Reference!$J$26:$J$32,0)</f>
        <v>5</v>
      </c>
      <c r="U422" s="195">
        <f>MATCH($F422,Reference!$J$45:$J$54,0)</f>
        <v>6</v>
      </c>
      <c r="V422" s="196">
        <f>MATCH($K422,Reference!$J$37:$J$39,0)</f>
        <v>3</v>
      </c>
      <c r="W422" s="197">
        <f t="shared" si="568"/>
        <v>2</v>
      </c>
      <c r="X422" s="197">
        <f t="shared" si="1"/>
        <v>1</v>
      </c>
      <c r="Y422" s="197">
        <f t="shared" si="654"/>
        <v>0</v>
      </c>
      <c r="Z422" s="197">
        <f t="shared" si="570"/>
        <v>2</v>
      </c>
      <c r="AA422" s="199" t="b">
        <f t="shared" si="3"/>
        <v>0</v>
      </c>
      <c r="AB422" s="199" t="b">
        <f t="shared" si="4"/>
        <v>0</v>
      </c>
      <c r="AC422" s="200">
        <f t="shared" ref="AC422:AD422" si="667">1-I422</f>
        <v>0.33999999999999997</v>
      </c>
      <c r="AD422" s="200">
        <f t="shared" si="667"/>
        <v>0.33999999999999997</v>
      </c>
      <c r="AE422" s="199">
        <f t="shared" si="6"/>
        <v>2</v>
      </c>
      <c r="AF422" s="201">
        <f t="shared" si="572"/>
        <v>0</v>
      </c>
      <c r="AG422" s="201">
        <f t="shared" si="8"/>
        <v>1</v>
      </c>
      <c r="AH422" s="202">
        <f t="shared" si="656"/>
        <v>0</v>
      </c>
      <c r="AI422" s="205"/>
      <c r="AJ422" s="173"/>
      <c r="AK422" s="173"/>
      <c r="AL422" s="173"/>
      <c r="AM422" s="173"/>
      <c r="AN422" s="173"/>
      <c r="AO422" s="173"/>
      <c r="AP422" s="173"/>
      <c r="AQ422" s="173"/>
      <c r="AR422" s="173"/>
      <c r="AS422" s="173"/>
      <c r="AT422" s="173"/>
      <c r="AU422" s="173"/>
      <c r="AV422" s="173"/>
    </row>
    <row r="423" spans="1:48" ht="14.25">
      <c r="A423" s="206"/>
      <c r="B423" s="206">
        <v>2</v>
      </c>
      <c r="C423" s="390" t="s">
        <v>1002</v>
      </c>
      <c r="D423" s="391" t="s">
        <v>63</v>
      </c>
      <c r="E423" s="391" t="s">
        <v>80</v>
      </c>
      <c r="F423" s="391" t="s">
        <v>115</v>
      </c>
      <c r="G423" s="392">
        <v>2</v>
      </c>
      <c r="H423" s="399">
        <v>0</v>
      </c>
      <c r="I423" s="393">
        <v>1</v>
      </c>
      <c r="J423" s="393">
        <v>1</v>
      </c>
      <c r="K423" s="391" t="s">
        <v>182</v>
      </c>
      <c r="L423" s="391" t="s">
        <v>602</v>
      </c>
      <c r="M423" s="404">
        <v>2</v>
      </c>
      <c r="N423" s="405">
        <v>3</v>
      </c>
      <c r="O423" s="395" t="s">
        <v>1003</v>
      </c>
      <c r="P423" s="289"/>
      <c r="Q423" s="391" t="s">
        <v>979</v>
      </c>
      <c r="R423" s="173"/>
      <c r="S423" s="195">
        <f>MATCH($D423,Reference!$J$5:$J$9,0)</f>
        <v>2</v>
      </c>
      <c r="T423" s="195">
        <f>MATCH($E423,Reference!$J$26:$J$32,0)</f>
        <v>5</v>
      </c>
      <c r="U423" s="195">
        <f>MATCH($F423,Reference!$J$45:$J$54,0)</f>
        <v>10</v>
      </c>
      <c r="V423" s="196">
        <f>MATCH($K423,Reference!$J$37:$J$39,0)</f>
        <v>3</v>
      </c>
      <c r="W423" s="197">
        <f t="shared" si="568"/>
        <v>2</v>
      </c>
      <c r="X423" s="197">
        <f t="shared" si="1"/>
        <v>1</v>
      </c>
      <c r="Y423" s="197">
        <f t="shared" si="654"/>
        <v>0</v>
      </c>
      <c r="Z423" s="197">
        <f t="shared" si="570"/>
        <v>2</v>
      </c>
      <c r="AA423" s="199" t="b">
        <f t="shared" si="3"/>
        <v>0</v>
      </c>
      <c r="AB423" s="199" t="b">
        <f t="shared" si="4"/>
        <v>0</v>
      </c>
      <c r="AC423" s="200">
        <f t="shared" ref="AC423:AD423" si="668">1-I423</f>
        <v>0</v>
      </c>
      <c r="AD423" s="200">
        <f t="shared" si="668"/>
        <v>0</v>
      </c>
      <c r="AE423" s="199">
        <f t="shared" si="6"/>
        <v>2</v>
      </c>
      <c r="AF423" s="201">
        <f t="shared" si="572"/>
        <v>0</v>
      </c>
      <c r="AG423" s="201">
        <f t="shared" si="8"/>
        <v>1</v>
      </c>
      <c r="AH423" s="202">
        <f t="shared" si="656"/>
        <v>0</v>
      </c>
      <c r="AI423" s="205"/>
      <c r="AJ423" s="173"/>
      <c r="AK423" s="173"/>
      <c r="AL423" s="173"/>
      <c r="AM423" s="173"/>
      <c r="AN423" s="173"/>
      <c r="AO423" s="173"/>
      <c r="AP423" s="173"/>
      <c r="AQ423" s="173"/>
      <c r="AR423" s="173"/>
      <c r="AS423" s="173"/>
      <c r="AT423" s="173"/>
      <c r="AU423" s="173"/>
      <c r="AV423" s="173"/>
    </row>
    <row r="424" spans="1:48" ht="14.25">
      <c r="A424" s="240"/>
      <c r="B424" s="206">
        <v>2</v>
      </c>
      <c r="C424" s="390" t="s">
        <v>1004</v>
      </c>
      <c r="D424" s="391" t="s">
        <v>63</v>
      </c>
      <c r="E424" s="391" t="s">
        <v>80</v>
      </c>
      <c r="F424" s="391" t="s">
        <v>115</v>
      </c>
      <c r="G424" s="392">
        <v>2</v>
      </c>
      <c r="H424" s="392">
        <v>0</v>
      </c>
      <c r="I424" s="393">
        <v>0.66</v>
      </c>
      <c r="J424" s="393">
        <v>0.66</v>
      </c>
      <c r="K424" s="391" t="s">
        <v>182</v>
      </c>
      <c r="L424" s="391" t="s">
        <v>602</v>
      </c>
      <c r="M424" s="404">
        <v>1</v>
      </c>
      <c r="N424" s="405">
        <v>2</v>
      </c>
      <c r="O424" s="395" t="s">
        <v>1005</v>
      </c>
      <c r="P424" s="289"/>
      <c r="Q424" s="391" t="s">
        <v>979</v>
      </c>
      <c r="R424" s="173"/>
      <c r="S424" s="195">
        <f>MATCH($D424,Reference!$J$5:$J$9,0)</f>
        <v>2</v>
      </c>
      <c r="T424" s="195">
        <f>MATCH($E424,Reference!$J$26:$J$32,0)</f>
        <v>5</v>
      </c>
      <c r="U424" s="195">
        <f>MATCH($F424,Reference!$J$45:$J$54,0)</f>
        <v>10</v>
      </c>
      <c r="V424" s="196">
        <f>MATCH($K424,Reference!$J$37:$J$39,0)</f>
        <v>3</v>
      </c>
      <c r="W424" s="197">
        <f t="shared" si="568"/>
        <v>2</v>
      </c>
      <c r="X424" s="197">
        <f t="shared" si="1"/>
        <v>1</v>
      </c>
      <c r="Y424" s="197">
        <f t="shared" si="654"/>
        <v>0</v>
      </c>
      <c r="Z424" s="197">
        <f t="shared" si="570"/>
        <v>2</v>
      </c>
      <c r="AA424" s="199" t="b">
        <f t="shared" si="3"/>
        <v>0</v>
      </c>
      <c r="AB424" s="199" t="b">
        <f t="shared" si="4"/>
        <v>0</v>
      </c>
      <c r="AC424" s="200">
        <f t="shared" ref="AC424:AD424" si="669">1-I424</f>
        <v>0.33999999999999997</v>
      </c>
      <c r="AD424" s="200">
        <f t="shared" si="669"/>
        <v>0.33999999999999997</v>
      </c>
      <c r="AE424" s="199">
        <f t="shared" si="6"/>
        <v>2</v>
      </c>
      <c r="AF424" s="201">
        <f t="shared" si="572"/>
        <v>0</v>
      </c>
      <c r="AG424" s="201">
        <f t="shared" si="8"/>
        <v>1</v>
      </c>
      <c r="AH424" s="202">
        <f t="shared" si="656"/>
        <v>0</v>
      </c>
      <c r="AI424" s="205"/>
      <c r="AJ424" s="173"/>
      <c r="AK424" s="173"/>
      <c r="AL424" s="173"/>
      <c r="AM424" s="173"/>
      <c r="AN424" s="173"/>
      <c r="AO424" s="173"/>
      <c r="AP424" s="173"/>
      <c r="AQ424" s="173"/>
      <c r="AR424" s="173"/>
      <c r="AS424" s="173"/>
      <c r="AT424" s="173"/>
      <c r="AU424" s="173"/>
      <c r="AV424" s="173"/>
    </row>
    <row r="425" spans="1:48" ht="14.25">
      <c r="A425" s="211"/>
      <c r="B425" s="206">
        <v>2</v>
      </c>
      <c r="C425" s="390" t="s">
        <v>1006</v>
      </c>
      <c r="D425" s="391" t="s">
        <v>63</v>
      </c>
      <c r="E425" s="391" t="s">
        <v>80</v>
      </c>
      <c r="F425" s="391" t="s">
        <v>115</v>
      </c>
      <c r="G425" s="392">
        <v>2</v>
      </c>
      <c r="H425" s="392">
        <v>0</v>
      </c>
      <c r="I425" s="393">
        <v>0.33</v>
      </c>
      <c r="J425" s="393">
        <v>0.33</v>
      </c>
      <c r="K425" s="394" t="s">
        <v>182</v>
      </c>
      <c r="L425" s="394" t="s">
        <v>195</v>
      </c>
      <c r="M425" s="394">
        <v>3</v>
      </c>
      <c r="N425" s="394">
        <v>2</v>
      </c>
      <c r="O425" s="395"/>
      <c r="P425" s="289"/>
      <c r="Q425" s="391" t="s">
        <v>979</v>
      </c>
      <c r="R425" s="173"/>
      <c r="S425" s="195">
        <f>MATCH($D425,Reference!$J$5:$J$9,0)</f>
        <v>2</v>
      </c>
      <c r="T425" s="195">
        <f>MATCH($E425,Reference!$J$26:$J$32,0)</f>
        <v>5</v>
      </c>
      <c r="U425" s="195">
        <f>MATCH($F425,Reference!$J$45:$J$54,0)</f>
        <v>10</v>
      </c>
      <c r="V425" s="196">
        <f>MATCH($K425,Reference!$J$37:$J$39,0)</f>
        <v>3</v>
      </c>
      <c r="W425" s="197">
        <f t="shared" si="568"/>
        <v>2</v>
      </c>
      <c r="X425" s="197">
        <f t="shared" si="1"/>
        <v>1</v>
      </c>
      <c r="Y425" s="197">
        <f t="shared" si="654"/>
        <v>0</v>
      </c>
      <c r="Z425" s="197">
        <f t="shared" si="570"/>
        <v>2</v>
      </c>
      <c r="AA425" s="199" t="b">
        <f t="shared" si="3"/>
        <v>0</v>
      </c>
      <c r="AB425" s="199" t="b">
        <f t="shared" si="4"/>
        <v>0</v>
      </c>
      <c r="AC425" s="200">
        <f t="shared" ref="AC425:AD425" si="670">1-I425</f>
        <v>0.66999999999999993</v>
      </c>
      <c r="AD425" s="200">
        <f t="shared" si="670"/>
        <v>0.66999999999999993</v>
      </c>
      <c r="AE425" s="199">
        <f t="shared" si="6"/>
        <v>2</v>
      </c>
      <c r="AF425" s="201">
        <f t="shared" si="572"/>
        <v>0</v>
      </c>
      <c r="AG425" s="201">
        <f t="shared" si="8"/>
        <v>1</v>
      </c>
      <c r="AH425" s="202">
        <f t="shared" si="656"/>
        <v>0</v>
      </c>
      <c r="AI425" s="205"/>
      <c r="AJ425" s="173"/>
      <c r="AK425" s="173"/>
      <c r="AL425" s="173"/>
      <c r="AM425" s="173"/>
      <c r="AN425" s="173"/>
      <c r="AO425" s="173"/>
      <c r="AP425" s="173"/>
      <c r="AQ425" s="173"/>
      <c r="AR425" s="173"/>
      <c r="AS425" s="173"/>
      <c r="AT425" s="173"/>
      <c r="AU425" s="173"/>
      <c r="AV425" s="173"/>
    </row>
    <row r="426" spans="1:48" ht="14.25">
      <c r="A426" s="209"/>
      <c r="B426" s="213">
        <v>2</v>
      </c>
      <c r="C426" s="397" t="s">
        <v>1007</v>
      </c>
      <c r="D426" s="398" t="s">
        <v>63</v>
      </c>
      <c r="E426" s="398" t="s">
        <v>80</v>
      </c>
      <c r="F426" s="398" t="s">
        <v>16</v>
      </c>
      <c r="G426" s="399">
        <v>2</v>
      </c>
      <c r="H426" s="399">
        <v>0</v>
      </c>
      <c r="I426" s="393">
        <v>0.66</v>
      </c>
      <c r="J426" s="393">
        <v>0.66</v>
      </c>
      <c r="K426" s="400" t="s">
        <v>146</v>
      </c>
      <c r="L426" s="400"/>
      <c r="M426" s="400"/>
      <c r="N426" s="400"/>
      <c r="O426" s="401" t="s">
        <v>1008</v>
      </c>
      <c r="P426" s="292"/>
      <c r="Q426" s="398" t="s">
        <v>979</v>
      </c>
      <c r="R426" s="173"/>
      <c r="S426" s="195">
        <f>MATCH($D426,Reference!$J$5:$J$9,0)</f>
        <v>2</v>
      </c>
      <c r="T426" s="195">
        <f>MATCH($E426,Reference!$J$26:$J$32,0)</f>
        <v>5</v>
      </c>
      <c r="U426" s="195">
        <f>MATCH($F426,Reference!$J$45:$J$54,0)</f>
        <v>4</v>
      </c>
      <c r="V426" s="196">
        <f>MATCH($K426,Reference!$J$37:$J$39,0)</f>
        <v>2</v>
      </c>
      <c r="W426" s="197">
        <f t="shared" si="568"/>
        <v>2</v>
      </c>
      <c r="X426" s="197">
        <f t="shared" si="1"/>
        <v>1</v>
      </c>
      <c r="Y426" s="197">
        <f t="shared" si="654"/>
        <v>0</v>
      </c>
      <c r="Z426" s="197">
        <f t="shared" si="570"/>
        <v>2</v>
      </c>
      <c r="AA426" s="199" t="b">
        <f t="shared" si="3"/>
        <v>0</v>
      </c>
      <c r="AB426" s="199" t="b">
        <f t="shared" si="4"/>
        <v>0</v>
      </c>
      <c r="AC426" s="200">
        <f t="shared" ref="AC426:AD426" si="671">1-I426</f>
        <v>0.33999999999999997</v>
      </c>
      <c r="AD426" s="200">
        <f t="shared" si="671"/>
        <v>0.33999999999999997</v>
      </c>
      <c r="AE426" s="199">
        <f t="shared" si="6"/>
        <v>2</v>
      </c>
      <c r="AF426" s="201">
        <f t="shared" si="572"/>
        <v>0</v>
      </c>
      <c r="AG426" s="201">
        <f t="shared" si="8"/>
        <v>1</v>
      </c>
      <c r="AH426" s="202">
        <f t="shared" si="656"/>
        <v>0</v>
      </c>
      <c r="AI426" s="205"/>
      <c r="AJ426" s="173"/>
      <c r="AK426" s="173"/>
      <c r="AL426" s="173"/>
      <c r="AM426" s="173"/>
      <c r="AN426" s="173"/>
      <c r="AO426" s="173"/>
      <c r="AP426" s="173"/>
      <c r="AQ426" s="173"/>
      <c r="AR426" s="173"/>
      <c r="AS426" s="173"/>
      <c r="AT426" s="173"/>
      <c r="AU426" s="173"/>
      <c r="AV426" s="173"/>
    </row>
    <row r="427" spans="1:48" ht="14.25">
      <c r="A427" s="209"/>
      <c r="B427" s="206">
        <v>2</v>
      </c>
      <c r="C427" s="390" t="s">
        <v>1009</v>
      </c>
      <c r="D427" s="391" t="s">
        <v>63</v>
      </c>
      <c r="E427" s="391" t="s">
        <v>80</v>
      </c>
      <c r="F427" s="391" t="s">
        <v>16</v>
      </c>
      <c r="G427" s="392">
        <v>2</v>
      </c>
      <c r="H427" s="392">
        <v>0</v>
      </c>
      <c r="I427" s="393">
        <v>1</v>
      </c>
      <c r="J427" s="393">
        <v>1</v>
      </c>
      <c r="K427" s="394" t="s">
        <v>182</v>
      </c>
      <c r="L427" s="394" t="s">
        <v>602</v>
      </c>
      <c r="M427" s="394">
        <v>2</v>
      </c>
      <c r="N427" s="394">
        <v>2</v>
      </c>
      <c r="O427" s="395" t="s">
        <v>491</v>
      </c>
      <c r="P427" s="396" t="s">
        <v>1010</v>
      </c>
      <c r="Q427" s="391" t="s">
        <v>979</v>
      </c>
      <c r="R427" s="173"/>
      <c r="S427" s="195">
        <f>MATCH($D427,Reference!$J$5:$J$9,0)</f>
        <v>2</v>
      </c>
      <c r="T427" s="195">
        <f>MATCH($E427,Reference!$J$26:$J$32,0)</f>
        <v>5</v>
      </c>
      <c r="U427" s="195">
        <f>MATCH($F427,Reference!$J$45:$J$54,0)</f>
        <v>4</v>
      </c>
      <c r="V427" s="196">
        <f>MATCH($K427,Reference!$J$37:$J$39,0)</f>
        <v>3</v>
      </c>
      <c r="W427" s="197">
        <f t="shared" si="568"/>
        <v>2</v>
      </c>
      <c r="X427" s="197">
        <f t="shared" si="1"/>
        <v>1</v>
      </c>
      <c r="Y427" s="197">
        <f t="shared" si="654"/>
        <v>0</v>
      </c>
      <c r="Z427" s="197">
        <f t="shared" si="570"/>
        <v>2</v>
      </c>
      <c r="AA427" s="199" t="b">
        <f t="shared" si="3"/>
        <v>0</v>
      </c>
      <c r="AB427" s="199" t="b">
        <f t="shared" si="4"/>
        <v>0</v>
      </c>
      <c r="AC427" s="200">
        <f t="shared" ref="AC427:AD427" si="672">1-I427</f>
        <v>0</v>
      </c>
      <c r="AD427" s="200">
        <f t="shared" si="672"/>
        <v>0</v>
      </c>
      <c r="AE427" s="199">
        <f t="shared" si="6"/>
        <v>2</v>
      </c>
      <c r="AF427" s="201">
        <f t="shared" si="572"/>
        <v>0</v>
      </c>
      <c r="AG427" s="201">
        <f t="shared" si="8"/>
        <v>1</v>
      </c>
      <c r="AH427" s="202">
        <f t="shared" si="656"/>
        <v>0</v>
      </c>
      <c r="AI427" s="205"/>
      <c r="AJ427" s="173"/>
      <c r="AK427" s="173"/>
      <c r="AL427" s="173"/>
      <c r="AM427" s="173"/>
      <c r="AN427" s="173"/>
      <c r="AO427" s="173"/>
      <c r="AP427" s="173"/>
      <c r="AQ427" s="173"/>
      <c r="AR427" s="173"/>
      <c r="AS427" s="173"/>
      <c r="AT427" s="173"/>
      <c r="AU427" s="173"/>
      <c r="AV427" s="173"/>
    </row>
    <row r="428" spans="1:48" ht="14.25">
      <c r="A428" s="213"/>
      <c r="B428" s="206">
        <v>2</v>
      </c>
      <c r="C428" s="390" t="s">
        <v>1011</v>
      </c>
      <c r="D428" s="391" t="s">
        <v>63</v>
      </c>
      <c r="E428" s="391" t="s">
        <v>80</v>
      </c>
      <c r="F428" s="391" t="s">
        <v>115</v>
      </c>
      <c r="G428" s="392">
        <v>2</v>
      </c>
      <c r="H428" s="392">
        <v>0</v>
      </c>
      <c r="I428" s="393">
        <v>0.33</v>
      </c>
      <c r="J428" s="393">
        <v>0.33</v>
      </c>
      <c r="K428" s="394" t="s">
        <v>182</v>
      </c>
      <c r="L428" s="394"/>
      <c r="M428" s="394">
        <v>2</v>
      </c>
      <c r="N428" s="394">
        <v>3</v>
      </c>
      <c r="O428" s="395" t="s">
        <v>1012</v>
      </c>
      <c r="P428" s="289"/>
      <c r="Q428" s="391" t="s">
        <v>979</v>
      </c>
      <c r="R428" s="173"/>
      <c r="S428" s="195">
        <f>MATCH($D428,Reference!$J$5:$J$9,0)</f>
        <v>2</v>
      </c>
      <c r="T428" s="195">
        <f>MATCH($E428,Reference!$J$26:$J$32,0)</f>
        <v>5</v>
      </c>
      <c r="U428" s="195">
        <f>MATCH($F428,Reference!$J$45:$J$54,0)</f>
        <v>10</v>
      </c>
      <c r="V428" s="196">
        <f>MATCH($K428,Reference!$J$37:$J$39,0)</f>
        <v>3</v>
      </c>
      <c r="W428" s="197">
        <f t="shared" si="568"/>
        <v>2</v>
      </c>
      <c r="X428" s="197">
        <f t="shared" si="1"/>
        <v>1</v>
      </c>
      <c r="Y428" s="197">
        <f t="shared" si="654"/>
        <v>0</v>
      </c>
      <c r="Z428" s="197">
        <f t="shared" si="570"/>
        <v>2</v>
      </c>
      <c r="AA428" s="199" t="b">
        <f t="shared" si="3"/>
        <v>0</v>
      </c>
      <c r="AB428" s="199" t="b">
        <f t="shared" si="4"/>
        <v>0</v>
      </c>
      <c r="AC428" s="200">
        <f t="shared" ref="AC428:AD428" si="673">1-I428</f>
        <v>0.66999999999999993</v>
      </c>
      <c r="AD428" s="200">
        <f t="shared" si="673"/>
        <v>0.66999999999999993</v>
      </c>
      <c r="AE428" s="199">
        <f t="shared" si="6"/>
        <v>2</v>
      </c>
      <c r="AF428" s="201">
        <f t="shared" si="572"/>
        <v>0</v>
      </c>
      <c r="AG428" s="201">
        <f t="shared" si="8"/>
        <v>1</v>
      </c>
      <c r="AH428" s="202">
        <f t="shared" si="656"/>
        <v>0</v>
      </c>
      <c r="AI428" s="205"/>
      <c r="AJ428" s="173"/>
      <c r="AK428" s="173"/>
      <c r="AL428" s="173"/>
      <c r="AM428" s="173"/>
      <c r="AN428" s="173"/>
      <c r="AO428" s="173"/>
      <c r="AP428" s="173"/>
      <c r="AQ428" s="173"/>
      <c r="AR428" s="173"/>
      <c r="AS428" s="173"/>
      <c r="AT428" s="173"/>
      <c r="AU428" s="173"/>
      <c r="AV428" s="173"/>
    </row>
    <row r="429" spans="1:48" ht="14.25">
      <c r="A429" s="209"/>
      <c r="B429" s="213">
        <v>2</v>
      </c>
      <c r="C429" s="397" t="s">
        <v>1013</v>
      </c>
      <c r="D429" s="398" t="s">
        <v>63</v>
      </c>
      <c r="E429" s="398" t="s">
        <v>80</v>
      </c>
      <c r="F429" s="398" t="s">
        <v>18</v>
      </c>
      <c r="G429" s="399">
        <v>2</v>
      </c>
      <c r="H429" s="399">
        <v>0</v>
      </c>
      <c r="I429" s="393">
        <v>1</v>
      </c>
      <c r="J429" s="393">
        <v>1</v>
      </c>
      <c r="K429" s="400" t="s">
        <v>182</v>
      </c>
      <c r="L429" s="400"/>
      <c r="M429" s="400">
        <v>3</v>
      </c>
      <c r="N429" s="400">
        <v>2</v>
      </c>
      <c r="O429" s="401" t="s">
        <v>1014</v>
      </c>
      <c r="P429" s="402" t="s">
        <v>184</v>
      </c>
      <c r="Q429" s="398" t="s">
        <v>979</v>
      </c>
      <c r="R429" s="173"/>
      <c r="S429" s="195">
        <f>MATCH($D429,Reference!$J$5:$J$9,0)</f>
        <v>2</v>
      </c>
      <c r="T429" s="195">
        <f>MATCH($E429,Reference!$J$26:$J$32,0)</f>
        <v>5</v>
      </c>
      <c r="U429" s="195">
        <f>MATCH($F429,Reference!$J$45:$J$54,0)</f>
        <v>5</v>
      </c>
      <c r="V429" s="196">
        <f>MATCH($K429,Reference!$J$37:$J$39,0)</f>
        <v>3</v>
      </c>
      <c r="W429" s="197">
        <f t="shared" si="568"/>
        <v>2</v>
      </c>
      <c r="X429" s="197">
        <f t="shared" si="1"/>
        <v>1</v>
      </c>
      <c r="Y429" s="197">
        <f t="shared" si="654"/>
        <v>0</v>
      </c>
      <c r="Z429" s="197">
        <f t="shared" si="570"/>
        <v>2</v>
      </c>
      <c r="AA429" s="199" t="b">
        <f t="shared" si="3"/>
        <v>0</v>
      </c>
      <c r="AB429" s="199" t="b">
        <f t="shared" si="4"/>
        <v>0</v>
      </c>
      <c r="AC429" s="200">
        <f t="shared" ref="AC429:AD429" si="674">1-I429</f>
        <v>0</v>
      </c>
      <c r="AD429" s="200">
        <f t="shared" si="674"/>
        <v>0</v>
      </c>
      <c r="AE429" s="199">
        <f t="shared" si="6"/>
        <v>2</v>
      </c>
      <c r="AF429" s="201">
        <f t="shared" si="572"/>
        <v>0</v>
      </c>
      <c r="AG429" s="201">
        <f t="shared" si="8"/>
        <v>1</v>
      </c>
      <c r="AH429" s="202">
        <f t="shared" si="656"/>
        <v>0</v>
      </c>
      <c r="AI429" s="205"/>
      <c r="AJ429" s="173"/>
      <c r="AK429" s="173"/>
      <c r="AL429" s="173"/>
      <c r="AM429" s="173"/>
      <c r="AN429" s="173"/>
      <c r="AO429" s="173"/>
      <c r="AP429" s="173"/>
      <c r="AQ429" s="173"/>
      <c r="AR429" s="173"/>
      <c r="AS429" s="173"/>
      <c r="AT429" s="173"/>
      <c r="AU429" s="173"/>
      <c r="AV429" s="173"/>
    </row>
    <row r="430" spans="1:48" ht="14.25">
      <c r="A430" s="209"/>
      <c r="B430" s="213">
        <v>2</v>
      </c>
      <c r="C430" s="397" t="s">
        <v>1015</v>
      </c>
      <c r="D430" s="398" t="s">
        <v>63</v>
      </c>
      <c r="E430" s="398" t="s">
        <v>80</v>
      </c>
      <c r="F430" s="398" t="s">
        <v>13</v>
      </c>
      <c r="G430" s="399">
        <v>2</v>
      </c>
      <c r="H430" s="399">
        <v>0</v>
      </c>
      <c r="I430" s="393">
        <v>1</v>
      </c>
      <c r="J430" s="393">
        <v>1</v>
      </c>
      <c r="K430" s="400" t="s">
        <v>182</v>
      </c>
      <c r="L430" s="400" t="s">
        <v>602</v>
      </c>
      <c r="M430" s="400">
        <v>2</v>
      </c>
      <c r="N430" s="400">
        <v>3</v>
      </c>
      <c r="O430" s="401" t="s">
        <v>361</v>
      </c>
      <c r="P430" s="292"/>
      <c r="Q430" s="398" t="s">
        <v>979</v>
      </c>
      <c r="R430" s="173"/>
      <c r="S430" s="195">
        <f>MATCH($D430,Reference!$J$5:$J$9,0)</f>
        <v>2</v>
      </c>
      <c r="T430" s="195">
        <f>MATCH($E430,Reference!$J$26:$J$32,0)</f>
        <v>5</v>
      </c>
      <c r="U430" s="195">
        <f>MATCH($F430,Reference!$J$45:$J$54,0)</f>
        <v>3</v>
      </c>
      <c r="V430" s="196">
        <f>MATCH($K430,Reference!$J$37:$J$39,0)</f>
        <v>3</v>
      </c>
      <c r="W430" s="197">
        <f t="shared" si="568"/>
        <v>2</v>
      </c>
      <c r="X430" s="197">
        <f t="shared" si="1"/>
        <v>1</v>
      </c>
      <c r="Y430" s="197">
        <f t="shared" si="654"/>
        <v>0</v>
      </c>
      <c r="Z430" s="197">
        <f t="shared" si="570"/>
        <v>2</v>
      </c>
      <c r="AA430" s="199" t="b">
        <f t="shared" si="3"/>
        <v>0</v>
      </c>
      <c r="AB430" s="199" t="b">
        <f t="shared" si="4"/>
        <v>0</v>
      </c>
      <c r="AC430" s="200">
        <f t="shared" ref="AC430:AD430" si="675">1-I430</f>
        <v>0</v>
      </c>
      <c r="AD430" s="200">
        <f t="shared" si="675"/>
        <v>0</v>
      </c>
      <c r="AE430" s="199">
        <f t="shared" si="6"/>
        <v>2</v>
      </c>
      <c r="AF430" s="201">
        <f t="shared" si="572"/>
        <v>0</v>
      </c>
      <c r="AG430" s="201">
        <f t="shared" si="8"/>
        <v>1</v>
      </c>
      <c r="AH430" s="202">
        <f t="shared" si="656"/>
        <v>0</v>
      </c>
      <c r="AI430" s="205"/>
      <c r="AJ430" s="173"/>
      <c r="AK430" s="173"/>
      <c r="AL430" s="173"/>
      <c r="AM430" s="173"/>
      <c r="AN430" s="173"/>
      <c r="AO430" s="173"/>
      <c r="AP430" s="173"/>
      <c r="AQ430" s="173"/>
      <c r="AR430" s="173"/>
      <c r="AS430" s="173"/>
      <c r="AT430" s="173"/>
      <c r="AU430" s="173"/>
      <c r="AV430" s="173"/>
    </row>
    <row r="431" spans="1:48" ht="14.25">
      <c r="A431" s="206"/>
      <c r="B431" s="206">
        <v>2</v>
      </c>
      <c r="C431" s="390" t="s">
        <v>1016</v>
      </c>
      <c r="D431" s="391" t="s">
        <v>63</v>
      </c>
      <c r="E431" s="391" t="s">
        <v>80</v>
      </c>
      <c r="F431" s="391" t="s">
        <v>115</v>
      </c>
      <c r="G431" s="392">
        <v>2</v>
      </c>
      <c r="H431" s="392">
        <v>0</v>
      </c>
      <c r="I431" s="393">
        <v>0.33</v>
      </c>
      <c r="J431" s="393">
        <v>0.33</v>
      </c>
      <c r="K431" s="394" t="s">
        <v>182</v>
      </c>
      <c r="L431" s="394"/>
      <c r="M431" s="394">
        <v>2</v>
      </c>
      <c r="N431" s="394">
        <v>3</v>
      </c>
      <c r="O431" s="395" t="s">
        <v>1017</v>
      </c>
      <c r="P431" s="289"/>
      <c r="Q431" s="391" t="s">
        <v>979</v>
      </c>
      <c r="R431" s="173"/>
      <c r="S431" s="195">
        <f>MATCH($D431,Reference!$J$5:$J$9,0)</f>
        <v>2</v>
      </c>
      <c r="T431" s="195">
        <f>MATCH($E431,Reference!$J$26:$J$32,0)</f>
        <v>5</v>
      </c>
      <c r="U431" s="195">
        <f>MATCH($F431,Reference!$J$45:$J$54,0)</f>
        <v>10</v>
      </c>
      <c r="V431" s="196">
        <f>MATCH($K431,Reference!$J$37:$J$39,0)</f>
        <v>3</v>
      </c>
      <c r="W431" s="197">
        <f t="shared" si="568"/>
        <v>2</v>
      </c>
      <c r="X431" s="197">
        <f t="shared" si="1"/>
        <v>1</v>
      </c>
      <c r="Y431" s="197">
        <f t="shared" si="654"/>
        <v>0</v>
      </c>
      <c r="Z431" s="197">
        <f t="shared" si="570"/>
        <v>2</v>
      </c>
      <c r="AA431" s="199" t="b">
        <f t="shared" si="3"/>
        <v>0</v>
      </c>
      <c r="AB431" s="199" t="b">
        <f t="shared" si="4"/>
        <v>0</v>
      </c>
      <c r="AC431" s="200">
        <f t="shared" ref="AC431:AD431" si="676">1-I431</f>
        <v>0.66999999999999993</v>
      </c>
      <c r="AD431" s="200">
        <f t="shared" si="676"/>
        <v>0.66999999999999993</v>
      </c>
      <c r="AE431" s="199">
        <f t="shared" si="6"/>
        <v>2</v>
      </c>
      <c r="AF431" s="201">
        <f t="shared" si="572"/>
        <v>0</v>
      </c>
      <c r="AG431" s="201">
        <f t="shared" si="8"/>
        <v>1</v>
      </c>
      <c r="AH431" s="202">
        <f t="shared" si="656"/>
        <v>0</v>
      </c>
      <c r="AI431" s="205"/>
      <c r="AJ431" s="173"/>
      <c r="AK431" s="173"/>
      <c r="AL431" s="173"/>
      <c r="AM431" s="173"/>
      <c r="AN431" s="173"/>
      <c r="AO431" s="173"/>
      <c r="AP431" s="173"/>
      <c r="AQ431" s="173"/>
      <c r="AR431" s="173"/>
      <c r="AS431" s="173"/>
      <c r="AT431" s="173"/>
      <c r="AU431" s="173"/>
      <c r="AV431" s="173"/>
    </row>
    <row r="432" spans="1:48" ht="14.25">
      <c r="A432" s="187"/>
      <c r="B432" s="213">
        <v>2</v>
      </c>
      <c r="C432" s="397" t="s">
        <v>1018</v>
      </c>
      <c r="D432" s="398" t="s">
        <v>63</v>
      </c>
      <c r="E432" s="398" t="s">
        <v>80</v>
      </c>
      <c r="F432" s="398" t="s">
        <v>21</v>
      </c>
      <c r="G432" s="399">
        <v>2</v>
      </c>
      <c r="H432" s="399">
        <v>0</v>
      </c>
      <c r="I432" s="393">
        <v>1</v>
      </c>
      <c r="J432" s="393">
        <v>1</v>
      </c>
      <c r="K432" s="400" t="s">
        <v>182</v>
      </c>
      <c r="L432" s="400" t="s">
        <v>602</v>
      </c>
      <c r="M432" s="400">
        <v>3</v>
      </c>
      <c r="N432" s="400">
        <v>2</v>
      </c>
      <c r="O432" s="401" t="s">
        <v>541</v>
      </c>
      <c r="P432" s="402" t="s">
        <v>542</v>
      </c>
      <c r="Q432" s="398" t="s">
        <v>979</v>
      </c>
      <c r="R432" s="173"/>
      <c r="S432" s="195">
        <f>MATCH($D432,Reference!$J$5:$J$9,0)</f>
        <v>2</v>
      </c>
      <c r="T432" s="195">
        <f>MATCH($E432,Reference!$J$26:$J$32,0)</f>
        <v>5</v>
      </c>
      <c r="U432" s="195">
        <f>MATCH($F432,Reference!$J$45:$J$54,0)</f>
        <v>7</v>
      </c>
      <c r="V432" s="196">
        <f>MATCH($K432,Reference!$J$37:$J$39,0)</f>
        <v>3</v>
      </c>
      <c r="W432" s="197">
        <f t="shared" si="568"/>
        <v>2</v>
      </c>
      <c r="X432" s="197">
        <f t="shared" si="1"/>
        <v>1</v>
      </c>
      <c r="Y432" s="197">
        <f t="shared" si="654"/>
        <v>0</v>
      </c>
      <c r="Z432" s="197">
        <f t="shared" si="570"/>
        <v>2</v>
      </c>
      <c r="AA432" s="199" t="b">
        <f t="shared" si="3"/>
        <v>0</v>
      </c>
      <c r="AB432" s="199" t="b">
        <f t="shared" si="4"/>
        <v>0</v>
      </c>
      <c r="AC432" s="200">
        <f t="shared" ref="AC432:AD432" si="677">1-I432</f>
        <v>0</v>
      </c>
      <c r="AD432" s="200">
        <f t="shared" si="677"/>
        <v>0</v>
      </c>
      <c r="AE432" s="199">
        <f t="shared" si="6"/>
        <v>2</v>
      </c>
      <c r="AF432" s="201">
        <f t="shared" si="572"/>
        <v>0</v>
      </c>
      <c r="AG432" s="201">
        <f t="shared" si="8"/>
        <v>1</v>
      </c>
      <c r="AH432" s="202">
        <f t="shared" si="656"/>
        <v>0</v>
      </c>
      <c r="AI432" s="205"/>
      <c r="AJ432" s="173"/>
      <c r="AK432" s="173"/>
      <c r="AL432" s="173"/>
      <c r="AM432" s="173"/>
      <c r="AN432" s="173"/>
      <c r="AO432" s="173"/>
      <c r="AP432" s="173"/>
      <c r="AQ432" s="173"/>
      <c r="AR432" s="173"/>
      <c r="AS432" s="173"/>
      <c r="AT432" s="173"/>
      <c r="AU432" s="173"/>
      <c r="AV432" s="173"/>
    </row>
    <row r="433" spans="1:48" ht="14.25">
      <c r="A433" s="187"/>
      <c r="B433" s="206">
        <v>3</v>
      </c>
      <c r="C433" s="390" t="s">
        <v>1019</v>
      </c>
      <c r="D433" s="391" t="s">
        <v>63</v>
      </c>
      <c r="E433" s="391" t="s">
        <v>80</v>
      </c>
      <c r="F433" s="391" t="s">
        <v>115</v>
      </c>
      <c r="G433" s="392">
        <v>2</v>
      </c>
      <c r="H433" s="392">
        <v>0</v>
      </c>
      <c r="I433" s="393">
        <v>0</v>
      </c>
      <c r="J433" s="393">
        <v>0</v>
      </c>
      <c r="K433" s="394" t="s">
        <v>182</v>
      </c>
      <c r="L433" s="394" t="s">
        <v>602</v>
      </c>
      <c r="M433" s="394">
        <v>1</v>
      </c>
      <c r="N433" s="394">
        <v>4</v>
      </c>
      <c r="O433" s="395" t="s">
        <v>541</v>
      </c>
      <c r="P433" s="396" t="s">
        <v>542</v>
      </c>
      <c r="Q433" s="391" t="s">
        <v>979</v>
      </c>
      <c r="R433" s="173"/>
      <c r="S433" s="195">
        <f>MATCH($D433,Reference!$J$5:$J$9,0)</f>
        <v>2</v>
      </c>
      <c r="T433" s="195">
        <f>MATCH($E433,Reference!$J$26:$J$32,0)</f>
        <v>5</v>
      </c>
      <c r="U433" s="195">
        <f>MATCH($F433,Reference!$J$45:$J$54,0)</f>
        <v>10</v>
      </c>
      <c r="V433" s="196">
        <f>MATCH($K433,Reference!$J$37:$J$39,0)</f>
        <v>3</v>
      </c>
      <c r="W433" s="197">
        <f t="shared" si="568"/>
        <v>2</v>
      </c>
      <c r="X433" s="197">
        <f t="shared" si="1"/>
        <v>1</v>
      </c>
      <c r="Y433" s="197">
        <f t="shared" si="654"/>
        <v>0</v>
      </c>
      <c r="Z433" s="197">
        <f t="shared" si="570"/>
        <v>2</v>
      </c>
      <c r="AA433" s="199" t="b">
        <f t="shared" si="3"/>
        <v>0</v>
      </c>
      <c r="AB433" s="199" t="b">
        <f t="shared" si="4"/>
        <v>0</v>
      </c>
      <c r="AC433" s="200">
        <f t="shared" ref="AC433:AD433" si="678">1-I433</f>
        <v>1</v>
      </c>
      <c r="AD433" s="200">
        <f t="shared" si="678"/>
        <v>1</v>
      </c>
      <c r="AE433" s="199">
        <f t="shared" si="6"/>
        <v>2</v>
      </c>
      <c r="AF433" s="201">
        <f t="shared" si="572"/>
        <v>0</v>
      </c>
      <c r="AG433" s="201">
        <f t="shared" si="8"/>
        <v>1</v>
      </c>
      <c r="AH433" s="202">
        <f t="shared" si="656"/>
        <v>0</v>
      </c>
      <c r="AI433" s="205"/>
      <c r="AJ433" s="173"/>
      <c r="AK433" s="173"/>
      <c r="AL433" s="173"/>
      <c r="AM433" s="173"/>
      <c r="AN433" s="173"/>
      <c r="AO433" s="173"/>
      <c r="AP433" s="173"/>
      <c r="AQ433" s="173"/>
      <c r="AR433" s="173"/>
      <c r="AS433" s="173"/>
      <c r="AT433" s="173"/>
      <c r="AU433" s="173"/>
      <c r="AV433" s="173"/>
    </row>
    <row r="434" spans="1:48" ht="14.25">
      <c r="A434" s="206"/>
      <c r="B434" s="206">
        <v>3</v>
      </c>
      <c r="C434" s="390" t="s">
        <v>1020</v>
      </c>
      <c r="D434" s="391" t="s">
        <v>63</v>
      </c>
      <c r="E434" s="391" t="s">
        <v>80</v>
      </c>
      <c r="F434" s="391" t="s">
        <v>115</v>
      </c>
      <c r="G434" s="392">
        <v>2</v>
      </c>
      <c r="H434" s="392">
        <v>0</v>
      </c>
      <c r="I434" s="393">
        <v>0</v>
      </c>
      <c r="J434" s="393">
        <v>0</v>
      </c>
      <c r="K434" s="394" t="s">
        <v>182</v>
      </c>
      <c r="L434" s="394"/>
      <c r="M434" s="394">
        <v>1</v>
      </c>
      <c r="N434" s="394">
        <v>4</v>
      </c>
      <c r="O434" s="395" t="s">
        <v>1021</v>
      </c>
      <c r="P434" s="396" t="s">
        <v>785</v>
      </c>
      <c r="Q434" s="391" t="s">
        <v>979</v>
      </c>
      <c r="R434" s="173"/>
      <c r="S434" s="195">
        <f>MATCH($D434,Reference!$J$5:$J$9,0)</f>
        <v>2</v>
      </c>
      <c r="T434" s="195">
        <f>MATCH($E434,Reference!$J$26:$J$32,0)</f>
        <v>5</v>
      </c>
      <c r="U434" s="195">
        <f>MATCH($F434,Reference!$J$45:$J$54,0)</f>
        <v>10</v>
      </c>
      <c r="V434" s="196">
        <f>MATCH($K434,Reference!$J$37:$J$39,0)</f>
        <v>3</v>
      </c>
      <c r="W434" s="197">
        <f t="shared" si="568"/>
        <v>2</v>
      </c>
      <c r="X434" s="197">
        <f t="shared" si="1"/>
        <v>1</v>
      </c>
      <c r="Y434" s="197">
        <f t="shared" si="654"/>
        <v>0</v>
      </c>
      <c r="Z434" s="197">
        <f t="shared" si="570"/>
        <v>2</v>
      </c>
      <c r="AA434" s="199" t="b">
        <f t="shared" si="3"/>
        <v>0</v>
      </c>
      <c r="AB434" s="199" t="b">
        <f t="shared" si="4"/>
        <v>0</v>
      </c>
      <c r="AC434" s="200">
        <f t="shared" ref="AC434:AD434" si="679">1-I434</f>
        <v>1</v>
      </c>
      <c r="AD434" s="200">
        <f t="shared" si="679"/>
        <v>1</v>
      </c>
      <c r="AE434" s="199">
        <f t="shared" si="6"/>
        <v>2</v>
      </c>
      <c r="AF434" s="201">
        <f t="shared" si="572"/>
        <v>0</v>
      </c>
      <c r="AG434" s="201">
        <f t="shared" si="8"/>
        <v>1</v>
      </c>
      <c r="AH434" s="202">
        <f t="shared" si="656"/>
        <v>0</v>
      </c>
      <c r="AI434" s="205"/>
      <c r="AJ434" s="173"/>
      <c r="AK434" s="173"/>
      <c r="AL434" s="173"/>
      <c r="AM434" s="173"/>
      <c r="AN434" s="173"/>
      <c r="AO434" s="173"/>
      <c r="AP434" s="173"/>
      <c r="AQ434" s="173"/>
      <c r="AR434" s="173"/>
      <c r="AS434" s="173"/>
      <c r="AT434" s="173"/>
      <c r="AU434" s="173"/>
      <c r="AV434" s="173"/>
    </row>
    <row r="435" spans="1:48" ht="14.25">
      <c r="A435" s="187"/>
      <c r="B435" s="206">
        <v>3</v>
      </c>
      <c r="C435" s="390" t="s">
        <v>1022</v>
      </c>
      <c r="D435" s="391" t="s">
        <v>63</v>
      </c>
      <c r="E435" s="391" t="s">
        <v>80</v>
      </c>
      <c r="F435" s="391" t="s">
        <v>115</v>
      </c>
      <c r="G435" s="392">
        <v>2</v>
      </c>
      <c r="H435" s="399">
        <v>0</v>
      </c>
      <c r="I435" s="393">
        <v>0.66</v>
      </c>
      <c r="J435" s="393">
        <v>0.66</v>
      </c>
      <c r="K435" s="394" t="s">
        <v>182</v>
      </c>
      <c r="L435" s="394"/>
      <c r="M435" s="394">
        <v>4</v>
      </c>
      <c r="N435" s="394">
        <v>4</v>
      </c>
      <c r="O435" s="395" t="s">
        <v>1023</v>
      </c>
      <c r="P435" s="289"/>
      <c r="Q435" s="391" t="s">
        <v>979</v>
      </c>
      <c r="R435" s="173"/>
      <c r="S435" s="195">
        <f>MATCH($D435,Reference!$J$5:$J$9,0)</f>
        <v>2</v>
      </c>
      <c r="T435" s="195">
        <f>MATCH($E435,Reference!$J$26:$J$32,0)</f>
        <v>5</v>
      </c>
      <c r="U435" s="195">
        <f>MATCH($F435,Reference!$J$45:$J$54,0)</f>
        <v>10</v>
      </c>
      <c r="V435" s="196">
        <f>MATCH($K435,Reference!$J$37:$J$39,0)</f>
        <v>3</v>
      </c>
      <c r="W435" s="197">
        <f t="shared" si="568"/>
        <v>2</v>
      </c>
      <c r="X435" s="197">
        <f t="shared" si="1"/>
        <v>1</v>
      </c>
      <c r="Y435" s="197">
        <f t="shared" si="654"/>
        <v>0</v>
      </c>
      <c r="Z435" s="197">
        <f t="shared" si="570"/>
        <v>2</v>
      </c>
      <c r="AA435" s="199" t="b">
        <f t="shared" si="3"/>
        <v>0</v>
      </c>
      <c r="AB435" s="199" t="b">
        <f t="shared" si="4"/>
        <v>0</v>
      </c>
      <c r="AC435" s="200">
        <f t="shared" ref="AC435:AD435" si="680">1-I435</f>
        <v>0.33999999999999997</v>
      </c>
      <c r="AD435" s="200">
        <f t="shared" si="680"/>
        <v>0.33999999999999997</v>
      </c>
      <c r="AE435" s="199">
        <f t="shared" si="6"/>
        <v>2</v>
      </c>
      <c r="AF435" s="201">
        <f t="shared" si="572"/>
        <v>0</v>
      </c>
      <c r="AG435" s="201">
        <f t="shared" si="8"/>
        <v>1</v>
      </c>
      <c r="AH435" s="202">
        <f t="shared" si="656"/>
        <v>0</v>
      </c>
      <c r="AI435" s="205"/>
      <c r="AJ435" s="173"/>
      <c r="AK435" s="173"/>
      <c r="AL435" s="173"/>
      <c r="AM435" s="173"/>
      <c r="AN435" s="173"/>
      <c r="AO435" s="173"/>
      <c r="AP435" s="173"/>
      <c r="AQ435" s="173"/>
      <c r="AR435" s="173"/>
      <c r="AS435" s="173"/>
      <c r="AT435" s="173"/>
      <c r="AU435" s="173"/>
      <c r="AV435" s="173"/>
    </row>
    <row r="436" spans="1:48" ht="14.25">
      <c r="A436" s="206"/>
      <c r="B436" s="213">
        <v>3</v>
      </c>
      <c r="C436" s="397" t="s">
        <v>1024</v>
      </c>
      <c r="D436" s="398" t="s">
        <v>63</v>
      </c>
      <c r="E436" s="398" t="s">
        <v>80</v>
      </c>
      <c r="F436" s="398" t="s">
        <v>26</v>
      </c>
      <c r="G436" s="399">
        <v>2</v>
      </c>
      <c r="H436" s="399">
        <v>0</v>
      </c>
      <c r="I436" s="393">
        <v>0</v>
      </c>
      <c r="J436" s="393">
        <v>0</v>
      </c>
      <c r="K436" s="400" t="s">
        <v>207</v>
      </c>
      <c r="L436" s="400"/>
      <c r="M436" s="400">
        <v>4</v>
      </c>
      <c r="N436" s="400">
        <v>2</v>
      </c>
      <c r="O436" s="401" t="s">
        <v>1023</v>
      </c>
      <c r="P436" s="292"/>
      <c r="Q436" s="398" t="s">
        <v>979</v>
      </c>
      <c r="R436" s="173"/>
      <c r="S436" s="195">
        <f>MATCH($D436,Reference!$J$5:$J$9,0)</f>
        <v>2</v>
      </c>
      <c r="T436" s="195">
        <f>MATCH($E436,Reference!$J$26:$J$32,0)</f>
        <v>5</v>
      </c>
      <c r="U436" s="195">
        <f>MATCH($F436,Reference!$J$45:$J$54,0)</f>
        <v>9</v>
      </c>
      <c r="V436" s="196">
        <f>MATCH($K436,Reference!$J$37:$J$39,0)</f>
        <v>1</v>
      </c>
      <c r="W436" s="197">
        <f t="shared" si="568"/>
        <v>2</v>
      </c>
      <c r="X436" s="197">
        <f t="shared" si="1"/>
        <v>1</v>
      </c>
      <c r="Y436" s="197">
        <f t="shared" si="654"/>
        <v>0</v>
      </c>
      <c r="Z436" s="197">
        <f t="shared" si="570"/>
        <v>2</v>
      </c>
      <c r="AA436" s="199" t="b">
        <f t="shared" si="3"/>
        <v>0</v>
      </c>
      <c r="AB436" s="199" t="b">
        <f t="shared" si="4"/>
        <v>0</v>
      </c>
      <c r="AC436" s="200">
        <f t="shared" ref="AC436:AD436" si="681">1-I436</f>
        <v>1</v>
      </c>
      <c r="AD436" s="200">
        <f t="shared" si="681"/>
        <v>1</v>
      </c>
      <c r="AE436" s="199">
        <f t="shared" si="6"/>
        <v>2</v>
      </c>
      <c r="AF436" s="201">
        <f t="shared" si="572"/>
        <v>0</v>
      </c>
      <c r="AG436" s="201">
        <f t="shared" si="8"/>
        <v>1</v>
      </c>
      <c r="AH436" s="202">
        <f t="shared" si="656"/>
        <v>0</v>
      </c>
      <c r="AI436" s="205"/>
      <c r="AJ436" s="173"/>
      <c r="AK436" s="173"/>
      <c r="AL436" s="173"/>
      <c r="AM436" s="173"/>
      <c r="AN436" s="173"/>
      <c r="AO436" s="173"/>
      <c r="AP436" s="173"/>
      <c r="AQ436" s="173"/>
      <c r="AR436" s="173"/>
      <c r="AS436" s="173"/>
      <c r="AT436" s="173"/>
      <c r="AU436" s="173"/>
      <c r="AV436" s="173"/>
    </row>
    <row r="437" spans="1:48" ht="14.25">
      <c r="A437" s="240"/>
      <c r="B437" s="206">
        <v>3</v>
      </c>
      <c r="C437" s="390" t="s">
        <v>1025</v>
      </c>
      <c r="D437" s="391" t="s">
        <v>63</v>
      </c>
      <c r="E437" s="391" t="s">
        <v>80</v>
      </c>
      <c r="F437" s="391" t="s">
        <v>115</v>
      </c>
      <c r="G437" s="392">
        <v>2</v>
      </c>
      <c r="H437" s="392">
        <v>0</v>
      </c>
      <c r="I437" s="393">
        <v>1</v>
      </c>
      <c r="J437" s="393">
        <v>1</v>
      </c>
      <c r="K437" s="394" t="s">
        <v>182</v>
      </c>
      <c r="L437" s="394" t="s">
        <v>602</v>
      </c>
      <c r="M437" s="394">
        <v>3</v>
      </c>
      <c r="N437" s="394">
        <v>4</v>
      </c>
      <c r="O437" s="395"/>
      <c r="P437" s="289"/>
      <c r="Q437" s="391" t="s">
        <v>979</v>
      </c>
      <c r="R437" s="173"/>
      <c r="S437" s="195">
        <f>MATCH($D437,Reference!$J$5:$J$9,0)</f>
        <v>2</v>
      </c>
      <c r="T437" s="195">
        <f>MATCH($E437,Reference!$J$26:$J$32,0)</f>
        <v>5</v>
      </c>
      <c r="U437" s="195">
        <f>MATCH($F437,Reference!$J$45:$J$54,0)</f>
        <v>10</v>
      </c>
      <c r="V437" s="196">
        <f>MATCH($K437,Reference!$J$37:$J$39,0)</f>
        <v>3</v>
      </c>
      <c r="W437" s="197">
        <f t="shared" si="568"/>
        <v>2</v>
      </c>
      <c r="X437" s="197">
        <f t="shared" si="1"/>
        <v>1</v>
      </c>
      <c r="Y437" s="197">
        <f t="shared" si="654"/>
        <v>0</v>
      </c>
      <c r="Z437" s="197">
        <f t="shared" si="570"/>
        <v>2</v>
      </c>
      <c r="AA437" s="199" t="b">
        <f t="shared" si="3"/>
        <v>0</v>
      </c>
      <c r="AB437" s="199" t="b">
        <f t="shared" si="4"/>
        <v>0</v>
      </c>
      <c r="AC437" s="200">
        <f t="shared" ref="AC437:AD437" si="682">1-I437</f>
        <v>0</v>
      </c>
      <c r="AD437" s="200">
        <f t="shared" si="682"/>
        <v>0</v>
      </c>
      <c r="AE437" s="199">
        <f t="shared" si="6"/>
        <v>2</v>
      </c>
      <c r="AF437" s="201">
        <f t="shared" si="572"/>
        <v>0</v>
      </c>
      <c r="AG437" s="201">
        <f t="shared" si="8"/>
        <v>1</v>
      </c>
      <c r="AH437" s="202">
        <f t="shared" si="656"/>
        <v>0</v>
      </c>
      <c r="AI437" s="205"/>
      <c r="AJ437" s="173"/>
      <c r="AK437" s="173"/>
      <c r="AL437" s="173"/>
      <c r="AM437" s="173"/>
      <c r="AN437" s="173"/>
      <c r="AO437" s="173"/>
      <c r="AP437" s="173"/>
      <c r="AQ437" s="173"/>
      <c r="AR437" s="173"/>
      <c r="AS437" s="173"/>
      <c r="AT437" s="173"/>
      <c r="AU437" s="173"/>
      <c r="AV437" s="173"/>
    </row>
    <row r="438" spans="1:48" ht="14.25">
      <c r="A438" s="211"/>
      <c r="B438" s="206">
        <v>3</v>
      </c>
      <c r="C438" s="390" t="s">
        <v>1026</v>
      </c>
      <c r="D438" s="391" t="s">
        <v>63</v>
      </c>
      <c r="E438" s="391" t="s">
        <v>80</v>
      </c>
      <c r="F438" s="391" t="s">
        <v>115</v>
      </c>
      <c r="G438" s="392">
        <v>2</v>
      </c>
      <c r="H438" s="392">
        <v>0</v>
      </c>
      <c r="I438" s="393">
        <v>1</v>
      </c>
      <c r="J438" s="393">
        <v>1</v>
      </c>
      <c r="K438" s="394" t="s">
        <v>182</v>
      </c>
      <c r="L438" s="394"/>
      <c r="M438" s="394">
        <v>3</v>
      </c>
      <c r="N438" s="394">
        <v>3</v>
      </c>
      <c r="O438" s="395" t="s">
        <v>1027</v>
      </c>
      <c r="P438" s="396" t="s">
        <v>275</v>
      </c>
      <c r="Q438" s="391" t="s">
        <v>979</v>
      </c>
      <c r="R438" s="173"/>
      <c r="S438" s="195">
        <f>MATCH($D438,Reference!$J$5:$J$9,0)</f>
        <v>2</v>
      </c>
      <c r="T438" s="195">
        <f>MATCH($E438,Reference!$J$26:$J$32,0)</f>
        <v>5</v>
      </c>
      <c r="U438" s="195">
        <f>MATCH($F438,Reference!$J$45:$J$54,0)</f>
        <v>10</v>
      </c>
      <c r="V438" s="196">
        <f>MATCH($K438,Reference!$J$37:$J$39,0)</f>
        <v>3</v>
      </c>
      <c r="W438" s="197">
        <f t="shared" si="568"/>
        <v>2</v>
      </c>
      <c r="X438" s="197">
        <f t="shared" si="1"/>
        <v>1</v>
      </c>
      <c r="Y438" s="197">
        <f t="shared" si="654"/>
        <v>0</v>
      </c>
      <c r="Z438" s="197">
        <f t="shared" si="570"/>
        <v>2</v>
      </c>
      <c r="AA438" s="199" t="b">
        <f t="shared" si="3"/>
        <v>0</v>
      </c>
      <c r="AB438" s="199" t="b">
        <f t="shared" si="4"/>
        <v>0</v>
      </c>
      <c r="AC438" s="200">
        <f t="shared" ref="AC438:AD438" si="683">1-I438</f>
        <v>0</v>
      </c>
      <c r="AD438" s="200">
        <f t="shared" si="683"/>
        <v>0</v>
      </c>
      <c r="AE438" s="199">
        <f t="shared" si="6"/>
        <v>2</v>
      </c>
      <c r="AF438" s="201">
        <f t="shared" si="572"/>
        <v>0</v>
      </c>
      <c r="AG438" s="201">
        <f t="shared" si="8"/>
        <v>1</v>
      </c>
      <c r="AH438" s="202">
        <f t="shared" si="656"/>
        <v>0</v>
      </c>
      <c r="AI438" s="205"/>
      <c r="AJ438" s="173"/>
      <c r="AK438" s="173"/>
      <c r="AL438" s="173"/>
      <c r="AM438" s="173"/>
      <c r="AN438" s="173"/>
      <c r="AO438" s="173"/>
      <c r="AP438" s="173"/>
      <c r="AQ438" s="173"/>
      <c r="AR438" s="173"/>
      <c r="AS438" s="173"/>
      <c r="AT438" s="173"/>
      <c r="AU438" s="173"/>
      <c r="AV438" s="173"/>
    </row>
    <row r="439" spans="1:48" ht="14.25">
      <c r="A439" s="209"/>
      <c r="B439" s="206">
        <v>3</v>
      </c>
      <c r="C439" s="390" t="s">
        <v>1028</v>
      </c>
      <c r="D439" s="391" t="s">
        <v>63</v>
      </c>
      <c r="E439" s="391" t="s">
        <v>80</v>
      </c>
      <c r="F439" s="391" t="s">
        <v>18</v>
      </c>
      <c r="G439" s="392">
        <v>2</v>
      </c>
      <c r="H439" s="392">
        <v>1</v>
      </c>
      <c r="I439" s="393">
        <v>1</v>
      </c>
      <c r="J439" s="393">
        <v>1</v>
      </c>
      <c r="K439" s="394" t="s">
        <v>146</v>
      </c>
      <c r="L439" s="394"/>
      <c r="M439" s="394"/>
      <c r="N439" s="394"/>
      <c r="O439" s="395" t="s">
        <v>1029</v>
      </c>
      <c r="P439" s="289"/>
      <c r="Q439" s="391" t="s">
        <v>979</v>
      </c>
      <c r="R439" s="173"/>
      <c r="S439" s="195">
        <f>MATCH($D439,Reference!$J$5:$J$9,0)</f>
        <v>2</v>
      </c>
      <c r="T439" s="195">
        <f>MATCH($E439,Reference!$J$26:$J$32,0)</f>
        <v>5</v>
      </c>
      <c r="U439" s="195">
        <f>MATCH($F439,Reference!$J$45:$J$54,0)</f>
        <v>5</v>
      </c>
      <c r="V439" s="196">
        <f>MATCH($K439,Reference!$J$37:$J$39,0)</f>
        <v>2</v>
      </c>
      <c r="W439" s="197">
        <f t="shared" si="568"/>
        <v>2</v>
      </c>
      <c r="X439" s="197">
        <f t="shared" si="1"/>
        <v>1</v>
      </c>
      <c r="Y439" s="197">
        <f t="shared" si="654"/>
        <v>50</v>
      </c>
      <c r="Z439" s="197">
        <f t="shared" si="570"/>
        <v>2</v>
      </c>
      <c r="AA439" s="199" t="b">
        <f t="shared" si="3"/>
        <v>0</v>
      </c>
      <c r="AB439" s="199" t="b">
        <f t="shared" si="4"/>
        <v>0</v>
      </c>
      <c r="AC439" s="200">
        <f t="shared" ref="AC439:AD439" si="684">1-I439</f>
        <v>0</v>
      </c>
      <c r="AD439" s="200">
        <f t="shared" si="684"/>
        <v>0</v>
      </c>
      <c r="AE439" s="199">
        <f t="shared" si="6"/>
        <v>2</v>
      </c>
      <c r="AF439" s="201">
        <f t="shared" si="572"/>
        <v>1</v>
      </c>
      <c r="AG439" s="201">
        <f t="shared" si="8"/>
        <v>1</v>
      </c>
      <c r="AH439" s="202">
        <f t="shared" si="656"/>
        <v>5</v>
      </c>
      <c r="AI439" s="205"/>
      <c r="AJ439" s="173"/>
      <c r="AK439" s="173"/>
      <c r="AL439" s="173"/>
      <c r="AM439" s="173"/>
      <c r="AN439" s="173"/>
      <c r="AO439" s="173"/>
      <c r="AP439" s="173"/>
      <c r="AQ439" s="173"/>
      <c r="AR439" s="173"/>
      <c r="AS439" s="173"/>
      <c r="AT439" s="173"/>
      <c r="AU439" s="173"/>
      <c r="AV439" s="173"/>
    </row>
    <row r="440" spans="1:48" ht="14.25">
      <c r="A440" s="187"/>
      <c r="B440" s="206">
        <v>4</v>
      </c>
      <c r="C440" s="390" t="s">
        <v>1030</v>
      </c>
      <c r="D440" s="391" t="s">
        <v>63</v>
      </c>
      <c r="E440" s="391" t="s">
        <v>80</v>
      </c>
      <c r="F440" s="391" t="s">
        <v>115</v>
      </c>
      <c r="G440" s="392">
        <v>2</v>
      </c>
      <c r="H440" s="392">
        <v>0</v>
      </c>
      <c r="I440" s="393">
        <v>0.33</v>
      </c>
      <c r="J440" s="393">
        <v>0.33</v>
      </c>
      <c r="K440" s="394" t="s">
        <v>182</v>
      </c>
      <c r="L440" s="394"/>
      <c r="M440" s="394">
        <v>3</v>
      </c>
      <c r="N440" s="394">
        <v>5</v>
      </c>
      <c r="O440" s="395" t="s">
        <v>1031</v>
      </c>
      <c r="P440" s="289"/>
      <c r="Q440" s="391" t="s">
        <v>979</v>
      </c>
      <c r="R440" s="173"/>
      <c r="S440" s="195">
        <f>MATCH($D440,Reference!$J$5:$J$9,0)</f>
        <v>2</v>
      </c>
      <c r="T440" s="195">
        <f>MATCH($E440,Reference!$J$26:$J$32,0)</f>
        <v>5</v>
      </c>
      <c r="U440" s="195">
        <f>MATCH($F440,Reference!$J$45:$J$54,0)</f>
        <v>10</v>
      </c>
      <c r="V440" s="196">
        <f>MATCH($K440,Reference!$J$37:$J$39,0)</f>
        <v>3</v>
      </c>
      <c r="W440" s="197">
        <f t="shared" si="568"/>
        <v>2</v>
      </c>
      <c r="X440" s="197">
        <f t="shared" si="1"/>
        <v>1</v>
      </c>
      <c r="Y440" s="197">
        <f t="shared" si="654"/>
        <v>0</v>
      </c>
      <c r="Z440" s="197">
        <f t="shared" si="570"/>
        <v>2</v>
      </c>
      <c r="AA440" s="199" t="b">
        <f t="shared" si="3"/>
        <v>0</v>
      </c>
      <c r="AB440" s="199" t="b">
        <f t="shared" si="4"/>
        <v>0</v>
      </c>
      <c r="AC440" s="200">
        <f t="shared" ref="AC440:AD440" si="685">1-I440</f>
        <v>0.66999999999999993</v>
      </c>
      <c r="AD440" s="200">
        <f t="shared" si="685"/>
        <v>0.66999999999999993</v>
      </c>
      <c r="AE440" s="199">
        <f t="shared" si="6"/>
        <v>2</v>
      </c>
      <c r="AF440" s="201">
        <f t="shared" si="572"/>
        <v>0</v>
      </c>
      <c r="AG440" s="201">
        <f t="shared" si="8"/>
        <v>1</v>
      </c>
      <c r="AH440" s="202">
        <f t="shared" si="656"/>
        <v>0</v>
      </c>
      <c r="AI440" s="205"/>
      <c r="AJ440" s="173"/>
      <c r="AK440" s="173"/>
      <c r="AL440" s="173"/>
      <c r="AM440" s="173"/>
      <c r="AN440" s="173"/>
      <c r="AO440" s="173"/>
      <c r="AP440" s="173"/>
      <c r="AQ440" s="173"/>
      <c r="AR440" s="173"/>
      <c r="AS440" s="173"/>
      <c r="AT440" s="173"/>
      <c r="AU440" s="173"/>
      <c r="AV440" s="173"/>
    </row>
    <row r="441" spans="1:48" ht="14.25">
      <c r="A441" s="240"/>
      <c r="B441" s="206">
        <v>4</v>
      </c>
      <c r="C441" s="390" t="s">
        <v>1032</v>
      </c>
      <c r="D441" s="391" t="s">
        <v>63</v>
      </c>
      <c r="E441" s="391" t="s">
        <v>80</v>
      </c>
      <c r="F441" s="391" t="s">
        <v>115</v>
      </c>
      <c r="G441" s="392">
        <v>2</v>
      </c>
      <c r="H441" s="392">
        <v>0</v>
      </c>
      <c r="I441" s="393">
        <v>0.33</v>
      </c>
      <c r="J441" s="393">
        <v>0.33</v>
      </c>
      <c r="K441" s="394" t="s">
        <v>182</v>
      </c>
      <c r="L441" s="394" t="s">
        <v>230</v>
      </c>
      <c r="M441" s="394">
        <v>5</v>
      </c>
      <c r="N441" s="394">
        <v>4</v>
      </c>
      <c r="O441" s="395"/>
      <c r="P441" s="289"/>
      <c r="Q441" s="391" t="s">
        <v>979</v>
      </c>
      <c r="R441" s="173"/>
      <c r="S441" s="195">
        <f>MATCH($D441,Reference!$J$5:$J$9,0)</f>
        <v>2</v>
      </c>
      <c r="T441" s="195">
        <f>MATCH($E441,Reference!$J$26:$J$32,0)</f>
        <v>5</v>
      </c>
      <c r="U441" s="195">
        <f>MATCH($F441,Reference!$J$45:$J$54,0)</f>
        <v>10</v>
      </c>
      <c r="V441" s="196">
        <f>MATCH($K441,Reference!$J$37:$J$39,0)</f>
        <v>3</v>
      </c>
      <c r="W441" s="197">
        <f t="shared" si="568"/>
        <v>2</v>
      </c>
      <c r="X441" s="197">
        <f t="shared" si="1"/>
        <v>1</v>
      </c>
      <c r="Y441" s="197">
        <f t="shared" si="654"/>
        <v>0</v>
      </c>
      <c r="Z441" s="197">
        <f t="shared" si="570"/>
        <v>2</v>
      </c>
      <c r="AA441" s="199" t="b">
        <f t="shared" si="3"/>
        <v>0</v>
      </c>
      <c r="AB441" s="199" t="b">
        <f t="shared" si="4"/>
        <v>0</v>
      </c>
      <c r="AC441" s="200">
        <f t="shared" ref="AC441:AD441" si="686">1-I441</f>
        <v>0.66999999999999993</v>
      </c>
      <c r="AD441" s="200">
        <f t="shared" si="686"/>
        <v>0.66999999999999993</v>
      </c>
      <c r="AE441" s="199">
        <f t="shared" si="6"/>
        <v>2</v>
      </c>
      <c r="AF441" s="201">
        <f t="shared" si="572"/>
        <v>0</v>
      </c>
      <c r="AG441" s="201">
        <f t="shared" si="8"/>
        <v>1</v>
      </c>
      <c r="AH441" s="202">
        <f t="shared" si="656"/>
        <v>0</v>
      </c>
      <c r="AI441" s="205"/>
      <c r="AJ441" s="173"/>
      <c r="AK441" s="173"/>
      <c r="AL441" s="173"/>
      <c r="AM441" s="173"/>
      <c r="AN441" s="173"/>
      <c r="AO441" s="173"/>
      <c r="AP441" s="173"/>
      <c r="AQ441" s="173"/>
      <c r="AR441" s="173"/>
      <c r="AS441" s="173"/>
      <c r="AT441" s="173"/>
      <c r="AU441" s="173"/>
      <c r="AV441" s="173"/>
    </row>
    <row r="442" spans="1:48" ht="14.25">
      <c r="A442" s="206"/>
      <c r="B442" s="206">
        <v>4</v>
      </c>
      <c r="C442" s="390" t="s">
        <v>1033</v>
      </c>
      <c r="D442" s="391" t="s">
        <v>63</v>
      </c>
      <c r="E442" s="391" t="s">
        <v>80</v>
      </c>
      <c r="F442" s="391" t="s">
        <v>115</v>
      </c>
      <c r="G442" s="392">
        <v>2</v>
      </c>
      <c r="H442" s="392">
        <v>0</v>
      </c>
      <c r="I442" s="393">
        <v>1</v>
      </c>
      <c r="J442" s="393">
        <v>1</v>
      </c>
      <c r="K442" s="391" t="s">
        <v>182</v>
      </c>
      <c r="L442" s="391" t="s">
        <v>602</v>
      </c>
      <c r="M442" s="404">
        <v>4</v>
      </c>
      <c r="N442" s="405">
        <v>5</v>
      </c>
      <c r="O442" s="395" t="s">
        <v>1034</v>
      </c>
      <c r="P442" s="396" t="s">
        <v>454</v>
      </c>
      <c r="Q442" s="391" t="s">
        <v>979</v>
      </c>
      <c r="R442" s="173"/>
      <c r="S442" s="195">
        <f>MATCH($D442,Reference!$J$5:$J$9,0)</f>
        <v>2</v>
      </c>
      <c r="T442" s="195">
        <f>MATCH($E442,Reference!$J$26:$J$32,0)</f>
        <v>5</v>
      </c>
      <c r="U442" s="195">
        <f>MATCH($F442,Reference!$J$45:$J$54,0)</f>
        <v>10</v>
      </c>
      <c r="V442" s="196">
        <f>MATCH($K442,Reference!$J$37:$J$39,0)</f>
        <v>3</v>
      </c>
      <c r="W442" s="197">
        <f t="shared" si="568"/>
        <v>2</v>
      </c>
      <c r="X442" s="197">
        <f t="shared" si="1"/>
        <v>1</v>
      </c>
      <c r="Y442" s="197">
        <f t="shared" si="654"/>
        <v>0</v>
      </c>
      <c r="Z442" s="197">
        <f t="shared" si="570"/>
        <v>2</v>
      </c>
      <c r="AA442" s="199" t="b">
        <f t="shared" si="3"/>
        <v>0</v>
      </c>
      <c r="AB442" s="199" t="b">
        <f t="shared" si="4"/>
        <v>0</v>
      </c>
      <c r="AC442" s="200">
        <f t="shared" ref="AC442:AD442" si="687">1-I442</f>
        <v>0</v>
      </c>
      <c r="AD442" s="200">
        <f t="shared" si="687"/>
        <v>0</v>
      </c>
      <c r="AE442" s="199">
        <f t="shared" si="6"/>
        <v>2</v>
      </c>
      <c r="AF442" s="201">
        <f t="shared" si="572"/>
        <v>0</v>
      </c>
      <c r="AG442" s="201">
        <f t="shared" si="8"/>
        <v>1</v>
      </c>
      <c r="AH442" s="202">
        <f t="shared" si="656"/>
        <v>0</v>
      </c>
      <c r="AI442" s="205"/>
      <c r="AJ442" s="173"/>
      <c r="AK442" s="173"/>
      <c r="AL442" s="173"/>
      <c r="AM442" s="173"/>
      <c r="AN442" s="173"/>
      <c r="AO442" s="173"/>
      <c r="AP442" s="173"/>
      <c r="AQ442" s="173"/>
      <c r="AR442" s="173"/>
      <c r="AS442" s="173"/>
      <c r="AT442" s="173"/>
      <c r="AU442" s="173"/>
      <c r="AV442" s="173"/>
    </row>
    <row r="443" spans="1:48" ht="14.25">
      <c r="A443" s="187"/>
      <c r="B443" s="206">
        <v>4</v>
      </c>
      <c r="C443" s="390" t="s">
        <v>1035</v>
      </c>
      <c r="D443" s="391" t="s">
        <v>63</v>
      </c>
      <c r="E443" s="391" t="s">
        <v>80</v>
      </c>
      <c r="F443" s="391" t="s">
        <v>115</v>
      </c>
      <c r="G443" s="392">
        <v>2</v>
      </c>
      <c r="H443" s="392">
        <v>0</v>
      </c>
      <c r="I443" s="393">
        <v>1</v>
      </c>
      <c r="J443" s="393">
        <v>1</v>
      </c>
      <c r="K443" s="394" t="s">
        <v>182</v>
      </c>
      <c r="L443" s="394" t="s">
        <v>602</v>
      </c>
      <c r="M443" s="394">
        <v>4</v>
      </c>
      <c r="N443" s="394">
        <v>3</v>
      </c>
      <c r="O443" s="395" t="s">
        <v>1036</v>
      </c>
      <c r="P443" s="396" t="s">
        <v>454</v>
      </c>
      <c r="Q443" s="391" t="s">
        <v>979</v>
      </c>
      <c r="R443" s="173"/>
      <c r="S443" s="195">
        <f>MATCH($D443,Reference!$J$5:$J$9,0)</f>
        <v>2</v>
      </c>
      <c r="T443" s="195">
        <f>MATCH($E443,Reference!$J$26:$J$32,0)</f>
        <v>5</v>
      </c>
      <c r="U443" s="195">
        <f>MATCH($F443,Reference!$J$45:$J$54,0)</f>
        <v>10</v>
      </c>
      <c r="V443" s="196">
        <f>MATCH($K443,Reference!$J$37:$J$39,0)</f>
        <v>3</v>
      </c>
      <c r="W443" s="197">
        <f t="shared" si="568"/>
        <v>2</v>
      </c>
      <c r="X443" s="197">
        <f t="shared" si="1"/>
        <v>1</v>
      </c>
      <c r="Y443" s="197">
        <f t="shared" si="654"/>
        <v>0</v>
      </c>
      <c r="Z443" s="197">
        <f t="shared" si="570"/>
        <v>2</v>
      </c>
      <c r="AA443" s="199" t="b">
        <f t="shared" si="3"/>
        <v>0</v>
      </c>
      <c r="AB443" s="199" t="b">
        <f t="shared" si="4"/>
        <v>0</v>
      </c>
      <c r="AC443" s="200">
        <f t="shared" ref="AC443:AD443" si="688">1-I443</f>
        <v>0</v>
      </c>
      <c r="AD443" s="200">
        <f t="shared" si="688"/>
        <v>0</v>
      </c>
      <c r="AE443" s="199">
        <f t="shared" si="6"/>
        <v>2</v>
      </c>
      <c r="AF443" s="201">
        <f t="shared" si="572"/>
        <v>0</v>
      </c>
      <c r="AG443" s="201">
        <f t="shared" si="8"/>
        <v>1</v>
      </c>
      <c r="AH443" s="202">
        <f t="shared" si="656"/>
        <v>0</v>
      </c>
      <c r="AI443" s="205"/>
      <c r="AJ443" s="173"/>
      <c r="AK443" s="173"/>
      <c r="AL443" s="173"/>
      <c r="AM443" s="173"/>
      <c r="AN443" s="173"/>
      <c r="AO443" s="173"/>
      <c r="AP443" s="173"/>
      <c r="AQ443" s="173"/>
      <c r="AR443" s="173"/>
      <c r="AS443" s="173"/>
      <c r="AT443" s="173"/>
      <c r="AU443" s="173"/>
      <c r="AV443" s="173"/>
    </row>
    <row r="444" spans="1:48" ht="14.25">
      <c r="A444" s="206"/>
      <c r="B444" s="213">
        <v>4</v>
      </c>
      <c r="C444" s="397" t="s">
        <v>1037</v>
      </c>
      <c r="D444" s="398" t="s">
        <v>63</v>
      </c>
      <c r="E444" s="398" t="s">
        <v>80</v>
      </c>
      <c r="F444" s="398" t="s">
        <v>20</v>
      </c>
      <c r="G444" s="399">
        <v>2</v>
      </c>
      <c r="H444" s="399">
        <v>0</v>
      </c>
      <c r="I444" s="393">
        <v>1</v>
      </c>
      <c r="J444" s="393">
        <v>1</v>
      </c>
      <c r="K444" s="400" t="s">
        <v>146</v>
      </c>
      <c r="L444" s="400"/>
      <c r="M444" s="400"/>
      <c r="N444" s="400"/>
      <c r="O444" s="401" t="s">
        <v>1038</v>
      </c>
      <c r="P444" s="292"/>
      <c r="Q444" s="398" t="s">
        <v>979</v>
      </c>
      <c r="R444" s="173"/>
      <c r="S444" s="195">
        <f>MATCH($D444,Reference!$J$5:$J$9,0)</f>
        <v>2</v>
      </c>
      <c r="T444" s="195">
        <f>MATCH($E444,Reference!$J$26:$J$32,0)</f>
        <v>5</v>
      </c>
      <c r="U444" s="195">
        <f>MATCH($F444,Reference!$J$45:$J$54,0)</f>
        <v>6</v>
      </c>
      <c r="V444" s="196">
        <f>MATCH($K444,Reference!$J$37:$J$39,0)</f>
        <v>2</v>
      </c>
      <c r="W444" s="197">
        <f t="shared" si="568"/>
        <v>2</v>
      </c>
      <c r="X444" s="197">
        <f t="shared" si="1"/>
        <v>1</v>
      </c>
      <c r="Y444" s="197">
        <f t="shared" si="654"/>
        <v>0</v>
      </c>
      <c r="Z444" s="197">
        <f t="shared" si="570"/>
        <v>2</v>
      </c>
      <c r="AA444" s="199" t="b">
        <f t="shared" si="3"/>
        <v>0</v>
      </c>
      <c r="AB444" s="199" t="b">
        <f t="shared" si="4"/>
        <v>0</v>
      </c>
      <c r="AC444" s="200">
        <f t="shared" ref="AC444:AD444" si="689">1-I444</f>
        <v>0</v>
      </c>
      <c r="AD444" s="200">
        <f t="shared" si="689"/>
        <v>0</v>
      </c>
      <c r="AE444" s="199">
        <f t="shared" si="6"/>
        <v>2</v>
      </c>
      <c r="AF444" s="201">
        <f t="shared" si="572"/>
        <v>0</v>
      </c>
      <c r="AG444" s="201">
        <f t="shared" si="8"/>
        <v>1</v>
      </c>
      <c r="AH444" s="202">
        <f t="shared" si="656"/>
        <v>0</v>
      </c>
      <c r="AI444" s="205"/>
      <c r="AJ444" s="173"/>
      <c r="AK444" s="173"/>
      <c r="AL444" s="173"/>
      <c r="AM444" s="173"/>
      <c r="AN444" s="173"/>
      <c r="AO444" s="173"/>
      <c r="AP444" s="173"/>
      <c r="AQ444" s="173"/>
      <c r="AR444" s="173"/>
      <c r="AS444" s="173"/>
      <c r="AT444" s="173"/>
      <c r="AU444" s="173"/>
      <c r="AV444" s="173"/>
    </row>
    <row r="445" spans="1:48" ht="14.25">
      <c r="A445" s="187"/>
      <c r="B445" s="206">
        <v>5</v>
      </c>
      <c r="C445" s="390" t="s">
        <v>1039</v>
      </c>
      <c r="D445" s="391" t="s">
        <v>63</v>
      </c>
      <c r="E445" s="391" t="s">
        <v>80</v>
      </c>
      <c r="F445" s="391" t="s">
        <v>115</v>
      </c>
      <c r="G445" s="392">
        <v>2</v>
      </c>
      <c r="H445" s="392">
        <v>0</v>
      </c>
      <c r="I445" s="393">
        <v>1</v>
      </c>
      <c r="J445" s="393">
        <v>1</v>
      </c>
      <c r="K445" s="394" t="s">
        <v>182</v>
      </c>
      <c r="L445" s="394" t="s">
        <v>602</v>
      </c>
      <c r="M445" s="394">
        <v>3</v>
      </c>
      <c r="N445" s="394">
        <v>3</v>
      </c>
      <c r="O445" s="395" t="s">
        <v>1040</v>
      </c>
      <c r="P445" s="396" t="s">
        <v>275</v>
      </c>
      <c r="Q445" s="391" t="s">
        <v>979</v>
      </c>
      <c r="R445" s="173"/>
      <c r="S445" s="195">
        <f>MATCH($D445,Reference!$J$5:$J$9,0)</f>
        <v>2</v>
      </c>
      <c r="T445" s="195">
        <f>MATCH($E445,Reference!$J$26:$J$32,0)</f>
        <v>5</v>
      </c>
      <c r="U445" s="195">
        <f>MATCH($F445,Reference!$J$45:$J$54,0)</f>
        <v>10</v>
      </c>
      <c r="V445" s="196">
        <f>MATCH($K445,Reference!$J$37:$J$39,0)</f>
        <v>3</v>
      </c>
      <c r="W445" s="197">
        <f t="shared" si="568"/>
        <v>2</v>
      </c>
      <c r="X445" s="197">
        <f t="shared" si="1"/>
        <v>1</v>
      </c>
      <c r="Y445" s="197">
        <f t="shared" si="654"/>
        <v>0</v>
      </c>
      <c r="Z445" s="197">
        <f t="shared" si="570"/>
        <v>2</v>
      </c>
      <c r="AA445" s="199" t="b">
        <f t="shared" si="3"/>
        <v>0</v>
      </c>
      <c r="AB445" s="199" t="b">
        <f t="shared" si="4"/>
        <v>0</v>
      </c>
      <c r="AC445" s="200">
        <f t="shared" ref="AC445:AD445" si="690">1-I445</f>
        <v>0</v>
      </c>
      <c r="AD445" s="200">
        <f t="shared" si="690"/>
        <v>0</v>
      </c>
      <c r="AE445" s="199">
        <f t="shared" si="6"/>
        <v>2</v>
      </c>
      <c r="AF445" s="201">
        <f t="shared" si="572"/>
        <v>0</v>
      </c>
      <c r="AG445" s="201">
        <f t="shared" si="8"/>
        <v>1</v>
      </c>
      <c r="AH445" s="202">
        <f t="shared" si="656"/>
        <v>0</v>
      </c>
      <c r="AI445" s="205"/>
      <c r="AJ445" s="173"/>
      <c r="AK445" s="173"/>
      <c r="AL445" s="173"/>
      <c r="AM445" s="173"/>
      <c r="AN445" s="173"/>
      <c r="AO445" s="173"/>
      <c r="AP445" s="173"/>
      <c r="AQ445" s="173"/>
      <c r="AR445" s="173"/>
      <c r="AS445" s="173"/>
      <c r="AT445" s="173"/>
      <c r="AU445" s="173"/>
      <c r="AV445" s="173"/>
    </row>
    <row r="446" spans="1:48" ht="14.25">
      <c r="A446" s="187"/>
      <c r="B446" s="206">
        <v>5</v>
      </c>
      <c r="C446" s="390" t="s">
        <v>1041</v>
      </c>
      <c r="D446" s="391" t="s">
        <v>63</v>
      </c>
      <c r="E446" s="391" t="s">
        <v>80</v>
      </c>
      <c r="F446" s="391" t="s">
        <v>11</v>
      </c>
      <c r="G446" s="392">
        <v>2</v>
      </c>
      <c r="H446" s="392">
        <v>0</v>
      </c>
      <c r="I446" s="393">
        <v>0.33</v>
      </c>
      <c r="J446" s="393">
        <v>0.33</v>
      </c>
      <c r="K446" s="394" t="s">
        <v>146</v>
      </c>
      <c r="L446" s="394"/>
      <c r="M446" s="394"/>
      <c r="N446" s="394"/>
      <c r="O446" s="395" t="s">
        <v>1042</v>
      </c>
      <c r="P446" s="289"/>
      <c r="Q446" s="391" t="s">
        <v>979</v>
      </c>
      <c r="R446" s="173"/>
      <c r="S446" s="195">
        <f>MATCH($D446,Reference!$J$5:$J$9,0)</f>
        <v>2</v>
      </c>
      <c r="T446" s="195">
        <f>MATCH($E446,Reference!$J$26:$J$32,0)</f>
        <v>5</v>
      </c>
      <c r="U446" s="195">
        <f>MATCH($F446,Reference!$J$45:$J$54,0)</f>
        <v>2</v>
      </c>
      <c r="V446" s="196">
        <f>MATCH($K446,Reference!$J$37:$J$39,0)</f>
        <v>2</v>
      </c>
      <c r="W446" s="197">
        <f t="shared" si="568"/>
        <v>2</v>
      </c>
      <c r="X446" s="197">
        <f t="shared" si="1"/>
        <v>1</v>
      </c>
      <c r="Y446" s="197">
        <f t="shared" si="654"/>
        <v>0</v>
      </c>
      <c r="Z446" s="197">
        <f t="shared" si="570"/>
        <v>2</v>
      </c>
      <c r="AA446" s="199" t="b">
        <f t="shared" si="3"/>
        <v>0</v>
      </c>
      <c r="AB446" s="199" t="b">
        <f t="shared" si="4"/>
        <v>0</v>
      </c>
      <c r="AC446" s="200">
        <f t="shared" ref="AC446:AD446" si="691">1-I446</f>
        <v>0.66999999999999993</v>
      </c>
      <c r="AD446" s="200">
        <f t="shared" si="691"/>
        <v>0.66999999999999993</v>
      </c>
      <c r="AE446" s="199">
        <f t="shared" si="6"/>
        <v>2</v>
      </c>
      <c r="AF446" s="201">
        <f t="shared" si="572"/>
        <v>0</v>
      </c>
      <c r="AG446" s="201">
        <f t="shared" si="8"/>
        <v>1</v>
      </c>
      <c r="AH446" s="202">
        <f t="shared" si="656"/>
        <v>0</v>
      </c>
      <c r="AI446" s="205"/>
      <c r="AJ446" s="173"/>
      <c r="AK446" s="173"/>
      <c r="AL446" s="173"/>
      <c r="AM446" s="173"/>
      <c r="AN446" s="173"/>
      <c r="AO446" s="173"/>
      <c r="AP446" s="173"/>
      <c r="AQ446" s="173"/>
      <c r="AR446" s="173"/>
      <c r="AS446" s="173"/>
      <c r="AT446" s="173"/>
      <c r="AU446" s="173"/>
      <c r="AV446" s="173"/>
    </row>
    <row r="447" spans="1:48" ht="14.25">
      <c r="A447" s="209"/>
      <c r="B447" s="206">
        <v>5</v>
      </c>
      <c r="C447" s="390" t="s">
        <v>1043</v>
      </c>
      <c r="D447" s="391" t="s">
        <v>63</v>
      </c>
      <c r="E447" s="391" t="s">
        <v>80</v>
      </c>
      <c r="F447" s="391" t="s">
        <v>8</v>
      </c>
      <c r="G447" s="392">
        <v>2</v>
      </c>
      <c r="H447" s="392">
        <v>0</v>
      </c>
      <c r="I447" s="393">
        <v>0.66</v>
      </c>
      <c r="J447" s="393">
        <v>0.33</v>
      </c>
      <c r="K447" s="394" t="s">
        <v>182</v>
      </c>
      <c r="L447" s="394"/>
      <c r="M447" s="394">
        <v>4</v>
      </c>
      <c r="N447" s="394">
        <v>4</v>
      </c>
      <c r="O447" s="395" t="s">
        <v>1044</v>
      </c>
      <c r="P447" s="396" t="s">
        <v>275</v>
      </c>
      <c r="Q447" s="391" t="s">
        <v>979</v>
      </c>
      <c r="R447" s="173"/>
      <c r="S447" s="195">
        <f>MATCH($D447,Reference!$J$5:$J$9,0)</f>
        <v>2</v>
      </c>
      <c r="T447" s="195">
        <f>MATCH($E447,Reference!$J$26:$J$32,0)</f>
        <v>5</v>
      </c>
      <c r="U447" s="195">
        <f>MATCH($F447,Reference!$J$45:$J$54,0)</f>
        <v>1</v>
      </c>
      <c r="V447" s="196">
        <f>MATCH($K447,Reference!$J$37:$J$39,0)</f>
        <v>3</v>
      </c>
      <c r="W447" s="197">
        <f t="shared" si="568"/>
        <v>2</v>
      </c>
      <c r="X447" s="197">
        <f t="shared" si="1"/>
        <v>1</v>
      </c>
      <c r="Y447" s="197">
        <f t="shared" si="654"/>
        <v>0</v>
      </c>
      <c r="Z447" s="197">
        <f t="shared" si="570"/>
        <v>2</v>
      </c>
      <c r="AA447" s="199" t="b">
        <f t="shared" si="3"/>
        <v>0</v>
      </c>
      <c r="AB447" s="199" t="b">
        <f t="shared" si="4"/>
        <v>0</v>
      </c>
      <c r="AC447" s="200">
        <f t="shared" ref="AC447:AD447" si="692">1-I447</f>
        <v>0.33999999999999997</v>
      </c>
      <c r="AD447" s="200">
        <f t="shared" si="692"/>
        <v>0.66999999999999993</v>
      </c>
      <c r="AE447" s="199">
        <f t="shared" si="6"/>
        <v>2</v>
      </c>
      <c r="AF447" s="201">
        <f t="shared" si="572"/>
        <v>0</v>
      </c>
      <c r="AG447" s="201">
        <f t="shared" si="8"/>
        <v>1</v>
      </c>
      <c r="AH447" s="202">
        <f t="shared" si="656"/>
        <v>0</v>
      </c>
      <c r="AI447" s="205"/>
      <c r="AJ447" s="173"/>
      <c r="AK447" s="173"/>
      <c r="AL447" s="173"/>
      <c r="AM447" s="173"/>
      <c r="AN447" s="173"/>
      <c r="AO447" s="173"/>
      <c r="AP447" s="173"/>
      <c r="AQ447" s="173"/>
      <c r="AR447" s="173"/>
      <c r="AS447" s="173"/>
      <c r="AT447" s="173"/>
      <c r="AU447" s="173"/>
      <c r="AV447" s="173"/>
    </row>
    <row r="448" spans="1:48" ht="14.25">
      <c r="A448" s="187"/>
      <c r="B448" s="206">
        <v>5</v>
      </c>
      <c r="C448" s="390" t="s">
        <v>1045</v>
      </c>
      <c r="D448" s="391" t="s">
        <v>63</v>
      </c>
      <c r="E448" s="391" t="s">
        <v>80</v>
      </c>
      <c r="F448" s="391" t="s">
        <v>25</v>
      </c>
      <c r="G448" s="392">
        <v>1</v>
      </c>
      <c r="H448" s="392">
        <v>0</v>
      </c>
      <c r="I448" s="393">
        <v>0.66</v>
      </c>
      <c r="J448" s="393">
        <v>0.66</v>
      </c>
      <c r="K448" s="394" t="s">
        <v>182</v>
      </c>
      <c r="L448" s="394" t="s">
        <v>239</v>
      </c>
      <c r="M448" s="394">
        <v>4</v>
      </c>
      <c r="N448" s="394">
        <v>4</v>
      </c>
      <c r="O448" s="395" t="s">
        <v>1046</v>
      </c>
      <c r="P448" s="289"/>
      <c r="Q448" s="391" t="s">
        <v>979</v>
      </c>
      <c r="R448" s="173"/>
      <c r="S448" s="195">
        <f>MATCH($D448,Reference!$J$5:$J$9,0)</f>
        <v>2</v>
      </c>
      <c r="T448" s="195">
        <f>MATCH($E448,Reference!$J$26:$J$32,0)</f>
        <v>5</v>
      </c>
      <c r="U448" s="195">
        <f>MATCH($F448,Reference!$J$45:$J$54,0)</f>
        <v>8</v>
      </c>
      <c r="V448" s="196">
        <f>MATCH($K448,Reference!$J$37:$J$39,0)</f>
        <v>3</v>
      </c>
      <c r="W448" s="197">
        <f t="shared" si="568"/>
        <v>1</v>
      </c>
      <c r="X448" s="197">
        <f t="shared" si="1"/>
        <v>1</v>
      </c>
      <c r="Y448" s="197">
        <f t="shared" si="654"/>
        <v>0</v>
      </c>
      <c r="Z448" s="197">
        <f t="shared" si="570"/>
        <v>1</v>
      </c>
      <c r="AA448" s="199" t="b">
        <f t="shared" si="3"/>
        <v>0</v>
      </c>
      <c r="AB448" s="199" t="b">
        <f t="shared" si="4"/>
        <v>1</v>
      </c>
      <c r="AC448" s="200">
        <f t="shared" ref="AC448:AD448" si="693">1-I448</f>
        <v>0.33999999999999997</v>
      </c>
      <c r="AD448" s="200">
        <f t="shared" si="693"/>
        <v>0.33999999999999997</v>
      </c>
      <c r="AE448" s="199">
        <f t="shared" si="6"/>
        <v>1.3399999999999999</v>
      </c>
      <c r="AF448" s="201">
        <f t="shared" si="572"/>
        <v>0</v>
      </c>
      <c r="AG448" s="201">
        <f t="shared" si="8"/>
        <v>1</v>
      </c>
      <c r="AH448" s="202">
        <f t="shared" si="656"/>
        <v>0</v>
      </c>
      <c r="AI448" s="205"/>
      <c r="AJ448" s="173"/>
      <c r="AK448" s="173"/>
      <c r="AL448" s="173"/>
      <c r="AM448" s="173"/>
      <c r="AN448" s="173"/>
      <c r="AO448" s="173"/>
      <c r="AP448" s="173"/>
      <c r="AQ448" s="173"/>
      <c r="AR448" s="173"/>
      <c r="AS448" s="173"/>
      <c r="AT448" s="173"/>
      <c r="AU448" s="173"/>
      <c r="AV448" s="173"/>
    </row>
    <row r="449" spans="1:48" ht="14.25">
      <c r="A449" s="187"/>
      <c r="B449" s="206">
        <v>5</v>
      </c>
      <c r="C449" s="390" t="s">
        <v>1047</v>
      </c>
      <c r="D449" s="391" t="s">
        <v>63</v>
      </c>
      <c r="E449" s="391" t="s">
        <v>80</v>
      </c>
      <c r="F449" s="391" t="s">
        <v>115</v>
      </c>
      <c r="G449" s="392">
        <v>2</v>
      </c>
      <c r="H449" s="392">
        <v>0</v>
      </c>
      <c r="I449" s="393">
        <v>0.33</v>
      </c>
      <c r="J449" s="393">
        <v>0.33</v>
      </c>
      <c r="K449" s="394" t="s">
        <v>182</v>
      </c>
      <c r="L449" s="394" t="s">
        <v>536</v>
      </c>
      <c r="M449" s="394">
        <v>7</v>
      </c>
      <c r="N449" s="394">
        <v>4</v>
      </c>
      <c r="O449" s="395"/>
      <c r="P449" s="289"/>
      <c r="Q449" s="391" t="s">
        <v>979</v>
      </c>
      <c r="R449" s="173"/>
      <c r="S449" s="195">
        <f>MATCH($D449,Reference!$J$5:$J$9,0)</f>
        <v>2</v>
      </c>
      <c r="T449" s="195">
        <f>MATCH($E449,Reference!$J$26:$J$32,0)</f>
        <v>5</v>
      </c>
      <c r="U449" s="195">
        <f>MATCH($F449,Reference!$J$45:$J$54,0)</f>
        <v>10</v>
      </c>
      <c r="V449" s="196">
        <f>MATCH($K449,Reference!$J$37:$J$39,0)</f>
        <v>3</v>
      </c>
      <c r="W449" s="197">
        <f t="shared" si="568"/>
        <v>2</v>
      </c>
      <c r="X449" s="197">
        <f t="shared" si="1"/>
        <v>1</v>
      </c>
      <c r="Y449" s="197">
        <f t="shared" si="654"/>
        <v>0</v>
      </c>
      <c r="Z449" s="197">
        <f t="shared" si="570"/>
        <v>2</v>
      </c>
      <c r="AA449" s="199" t="b">
        <f t="shared" si="3"/>
        <v>0</v>
      </c>
      <c r="AB449" s="199" t="b">
        <f t="shared" si="4"/>
        <v>0</v>
      </c>
      <c r="AC449" s="200">
        <f t="shared" ref="AC449:AD449" si="694">1-I449</f>
        <v>0.66999999999999993</v>
      </c>
      <c r="AD449" s="200">
        <f t="shared" si="694"/>
        <v>0.66999999999999993</v>
      </c>
      <c r="AE449" s="199">
        <f t="shared" si="6"/>
        <v>2</v>
      </c>
      <c r="AF449" s="201">
        <f t="shared" si="572"/>
        <v>0</v>
      </c>
      <c r="AG449" s="201">
        <f t="shared" si="8"/>
        <v>1</v>
      </c>
      <c r="AH449" s="202">
        <f t="shared" si="656"/>
        <v>0</v>
      </c>
      <c r="AI449" s="205"/>
      <c r="AJ449" s="173"/>
      <c r="AK449" s="173"/>
      <c r="AL449" s="173"/>
      <c r="AM449" s="173"/>
      <c r="AN449" s="173"/>
      <c r="AO449" s="173"/>
      <c r="AP449" s="173"/>
      <c r="AQ449" s="173"/>
      <c r="AR449" s="173"/>
      <c r="AS449" s="173"/>
      <c r="AT449" s="173"/>
      <c r="AU449" s="173"/>
      <c r="AV449" s="173"/>
    </row>
    <row r="450" spans="1:48" ht="14.25">
      <c r="A450" s="240"/>
      <c r="B450" s="206">
        <v>8</v>
      </c>
      <c r="C450" s="390" t="s">
        <v>1048</v>
      </c>
      <c r="D450" s="391" t="s">
        <v>63</v>
      </c>
      <c r="E450" s="391" t="s">
        <v>80</v>
      </c>
      <c r="F450" s="391" t="s">
        <v>115</v>
      </c>
      <c r="G450" s="392">
        <v>2</v>
      </c>
      <c r="H450" s="399">
        <v>0</v>
      </c>
      <c r="I450" s="393">
        <v>0.66</v>
      </c>
      <c r="J450" s="393">
        <v>0.66</v>
      </c>
      <c r="K450" s="394" t="s">
        <v>182</v>
      </c>
      <c r="L450" s="400" t="s">
        <v>602</v>
      </c>
      <c r="M450" s="394">
        <v>7</v>
      </c>
      <c r="N450" s="394">
        <v>7</v>
      </c>
      <c r="O450" s="401" t="s">
        <v>491</v>
      </c>
      <c r="P450" s="402" t="s">
        <v>492</v>
      </c>
      <c r="Q450" s="391" t="s">
        <v>979</v>
      </c>
      <c r="R450" s="173"/>
      <c r="S450" s="195">
        <f>MATCH($D450,Reference!$J$5:$J$9,0)</f>
        <v>2</v>
      </c>
      <c r="T450" s="195">
        <f>MATCH($E450,Reference!$J$26:$J$32,0)</f>
        <v>5</v>
      </c>
      <c r="U450" s="195">
        <f>MATCH($F450,Reference!$J$45:$J$54,0)</f>
        <v>10</v>
      </c>
      <c r="V450" s="196">
        <f>MATCH($K450,Reference!$J$37:$J$39,0)</f>
        <v>3</v>
      </c>
      <c r="W450" s="197">
        <f t="shared" si="568"/>
        <v>2</v>
      </c>
      <c r="X450" s="197">
        <f t="shared" si="1"/>
        <v>1</v>
      </c>
      <c r="Y450" s="197">
        <f t="shared" si="654"/>
        <v>0</v>
      </c>
      <c r="Z450" s="197">
        <f t="shared" si="570"/>
        <v>2</v>
      </c>
      <c r="AA450" s="199" t="b">
        <f t="shared" si="3"/>
        <v>0</v>
      </c>
      <c r="AB450" s="199" t="b">
        <f t="shared" si="4"/>
        <v>0</v>
      </c>
      <c r="AC450" s="200">
        <f t="shared" ref="AC450:AD450" si="695">1-I450</f>
        <v>0.33999999999999997</v>
      </c>
      <c r="AD450" s="200">
        <f t="shared" si="695"/>
        <v>0.33999999999999997</v>
      </c>
      <c r="AE450" s="199">
        <f t="shared" si="6"/>
        <v>2</v>
      </c>
      <c r="AF450" s="201">
        <f t="shared" si="572"/>
        <v>0</v>
      </c>
      <c r="AG450" s="201">
        <f t="shared" si="8"/>
        <v>1</v>
      </c>
      <c r="AH450" s="202">
        <f t="shared" si="656"/>
        <v>0</v>
      </c>
      <c r="AI450" s="205"/>
      <c r="AJ450" s="173"/>
      <c r="AK450" s="173"/>
      <c r="AL450" s="173"/>
      <c r="AM450" s="173"/>
      <c r="AN450" s="173"/>
      <c r="AO450" s="173"/>
      <c r="AP450" s="173"/>
      <c r="AQ450" s="173"/>
      <c r="AR450" s="173"/>
      <c r="AS450" s="173"/>
      <c r="AT450" s="173"/>
      <c r="AU450" s="173"/>
      <c r="AV450" s="173"/>
    </row>
    <row r="451" spans="1:48" ht="14.25">
      <c r="A451" s="209"/>
      <c r="B451" s="406">
        <v>1</v>
      </c>
      <c r="C451" s="407" t="s">
        <v>1049</v>
      </c>
      <c r="D451" s="408" t="s">
        <v>69</v>
      </c>
      <c r="E451" s="408" t="s">
        <v>80</v>
      </c>
      <c r="F451" s="408" t="s">
        <v>18</v>
      </c>
      <c r="G451" s="409">
        <v>0</v>
      </c>
      <c r="H451" s="410">
        <v>0</v>
      </c>
      <c r="I451" s="411">
        <v>0</v>
      </c>
      <c r="J451" s="411">
        <v>0</v>
      </c>
      <c r="K451" s="412" t="s">
        <v>182</v>
      </c>
      <c r="L451" s="413"/>
      <c r="M451" s="412">
        <v>2</v>
      </c>
      <c r="N451" s="412">
        <v>1</v>
      </c>
      <c r="O451" s="414" t="s">
        <v>1050</v>
      </c>
      <c r="P451" s="415" t="s">
        <v>184</v>
      </c>
      <c r="Q451" s="408" t="s">
        <v>979</v>
      </c>
      <c r="R451" s="173"/>
      <c r="S451" s="195">
        <f>MATCH($D451,Reference!$J$5:$J$9,0)</f>
        <v>4</v>
      </c>
      <c r="T451" s="195">
        <f>MATCH($E451,Reference!$J$26:$J$32,0)</f>
        <v>5</v>
      </c>
      <c r="U451" s="195">
        <f>MATCH($F451,Reference!$J$45:$J$54,0)</f>
        <v>5</v>
      </c>
      <c r="V451" s="196">
        <f>MATCH($K451,Reference!$J$37:$J$39,0)</f>
        <v>3</v>
      </c>
      <c r="W451" s="197">
        <f t="shared" si="568"/>
        <v>0</v>
      </c>
      <c r="X451" s="197">
        <f t="shared" si="1"/>
        <v>0</v>
      </c>
      <c r="Y451" s="197">
        <f t="shared" ref="Y451:Y476" si="696">(MIN(G451,2)+H451-W451)*400</f>
        <v>0</v>
      </c>
      <c r="Z451" s="197">
        <f t="shared" si="570"/>
        <v>0</v>
      </c>
      <c r="AA451" s="199" t="b">
        <f t="shared" si="3"/>
        <v>1</v>
      </c>
      <c r="AB451" s="199" t="b">
        <f t="shared" si="4"/>
        <v>1</v>
      </c>
      <c r="AC451" s="200">
        <f t="shared" ref="AC451:AD451" si="697">1-I451</f>
        <v>1</v>
      </c>
      <c r="AD451" s="200">
        <f t="shared" si="697"/>
        <v>1</v>
      </c>
      <c r="AE451" s="199">
        <f t="shared" si="6"/>
        <v>2</v>
      </c>
      <c r="AF451" s="201">
        <f t="shared" si="572"/>
        <v>0</v>
      </c>
      <c r="AG451" s="201">
        <f t="shared" si="8"/>
        <v>0</v>
      </c>
      <c r="AH451" s="202">
        <f t="shared" ref="AH451:AH476" si="698">(MIN(H451,2)+G451-W451)*100</f>
        <v>0</v>
      </c>
      <c r="AI451" s="205"/>
      <c r="AJ451" s="173"/>
      <c r="AK451" s="173"/>
      <c r="AL451" s="173"/>
      <c r="AM451" s="173"/>
      <c r="AN451" s="173"/>
      <c r="AO451" s="173"/>
      <c r="AP451" s="173"/>
      <c r="AQ451" s="173"/>
      <c r="AR451" s="173"/>
      <c r="AS451" s="173"/>
      <c r="AT451" s="173"/>
      <c r="AU451" s="173"/>
      <c r="AV451" s="173"/>
    </row>
    <row r="452" spans="1:48" ht="14.25">
      <c r="A452" s="187"/>
      <c r="B452" s="406">
        <v>2</v>
      </c>
      <c r="C452" s="407" t="s">
        <v>1051</v>
      </c>
      <c r="D452" s="408" t="s">
        <v>69</v>
      </c>
      <c r="E452" s="408" t="s">
        <v>80</v>
      </c>
      <c r="F452" s="408" t="s">
        <v>11</v>
      </c>
      <c r="G452" s="410">
        <v>2</v>
      </c>
      <c r="H452" s="409">
        <v>0</v>
      </c>
      <c r="I452" s="411">
        <v>0.66</v>
      </c>
      <c r="J452" s="411">
        <v>0.33</v>
      </c>
      <c r="K452" s="413" t="s">
        <v>146</v>
      </c>
      <c r="L452" s="412"/>
      <c r="M452" s="413"/>
      <c r="N452" s="413"/>
      <c r="O452" s="416" t="s">
        <v>1052</v>
      </c>
      <c r="P452" s="350"/>
      <c r="Q452" s="408" t="s">
        <v>979</v>
      </c>
      <c r="R452" s="173"/>
      <c r="S452" s="195">
        <f>MATCH($D452,Reference!$J$5:$J$9,0)</f>
        <v>4</v>
      </c>
      <c r="T452" s="195">
        <f>MATCH($E452,Reference!$J$26:$J$32,0)</f>
        <v>5</v>
      </c>
      <c r="U452" s="195">
        <f>MATCH($F452,Reference!$J$45:$J$54,0)</f>
        <v>2</v>
      </c>
      <c r="V452" s="196">
        <f>MATCH($K452,Reference!$J$37:$J$39,0)</f>
        <v>2</v>
      </c>
      <c r="W452" s="197">
        <f t="shared" si="568"/>
        <v>2</v>
      </c>
      <c r="X452" s="197">
        <f t="shared" si="1"/>
        <v>1</v>
      </c>
      <c r="Y452" s="197">
        <f t="shared" si="696"/>
        <v>0</v>
      </c>
      <c r="Z452" s="197">
        <f t="shared" si="570"/>
        <v>2</v>
      </c>
      <c r="AA452" s="199" t="b">
        <f t="shared" si="3"/>
        <v>0</v>
      </c>
      <c r="AB452" s="199" t="b">
        <f t="shared" si="4"/>
        <v>0</v>
      </c>
      <c r="AC452" s="200">
        <f t="shared" ref="AC452:AD452" si="699">1-I452</f>
        <v>0.33999999999999997</v>
      </c>
      <c r="AD452" s="200">
        <f t="shared" si="699"/>
        <v>0.66999999999999993</v>
      </c>
      <c r="AE452" s="199">
        <f t="shared" si="6"/>
        <v>2</v>
      </c>
      <c r="AF452" s="201">
        <f t="shared" si="572"/>
        <v>0</v>
      </c>
      <c r="AG452" s="201">
        <f t="shared" si="8"/>
        <v>1</v>
      </c>
      <c r="AH452" s="202">
        <f t="shared" si="698"/>
        <v>0</v>
      </c>
      <c r="AI452" s="205"/>
      <c r="AJ452" s="173"/>
      <c r="AK452" s="173"/>
      <c r="AL452" s="173"/>
      <c r="AM452" s="173"/>
      <c r="AN452" s="173"/>
      <c r="AO452" s="173"/>
      <c r="AP452" s="173"/>
      <c r="AQ452" s="173"/>
      <c r="AR452" s="173"/>
      <c r="AS452" s="173"/>
      <c r="AT452" s="173"/>
      <c r="AU452" s="173"/>
      <c r="AV452" s="173"/>
    </row>
    <row r="453" spans="1:48" ht="14.25">
      <c r="A453" s="187"/>
      <c r="B453" s="406">
        <v>2</v>
      </c>
      <c r="C453" s="407" t="s">
        <v>1053</v>
      </c>
      <c r="D453" s="408" t="s">
        <v>69</v>
      </c>
      <c r="E453" s="408" t="s">
        <v>80</v>
      </c>
      <c r="F453" s="408" t="s">
        <v>115</v>
      </c>
      <c r="G453" s="409">
        <v>0</v>
      </c>
      <c r="H453" s="409">
        <v>0</v>
      </c>
      <c r="I453" s="411">
        <v>0.33</v>
      </c>
      <c r="J453" s="411">
        <v>0.33</v>
      </c>
      <c r="K453" s="412" t="s">
        <v>182</v>
      </c>
      <c r="L453" s="412"/>
      <c r="M453" s="412">
        <v>3</v>
      </c>
      <c r="N453" s="412">
        <v>2</v>
      </c>
      <c r="O453" s="416" t="s">
        <v>1054</v>
      </c>
      <c r="P453" s="417" t="s">
        <v>184</v>
      </c>
      <c r="Q453" s="408" t="s">
        <v>979</v>
      </c>
      <c r="R453" s="34"/>
      <c r="S453" s="195">
        <f>MATCH($D453,Reference!$J$5:$J$9,0)</f>
        <v>4</v>
      </c>
      <c r="T453" s="195">
        <f>MATCH($E453,Reference!$J$26:$J$32,0)</f>
        <v>5</v>
      </c>
      <c r="U453" s="195">
        <f>MATCH($F453,Reference!$J$45:$J$54,0)</f>
        <v>10</v>
      </c>
      <c r="V453" s="196">
        <f>MATCH($K453,Reference!$J$37:$J$39,0)</f>
        <v>3</v>
      </c>
      <c r="W453" s="197">
        <f t="shared" si="568"/>
        <v>0</v>
      </c>
      <c r="X453" s="197">
        <f t="shared" si="1"/>
        <v>0</v>
      </c>
      <c r="Y453" s="197">
        <f t="shared" si="696"/>
        <v>0</v>
      </c>
      <c r="Z453" s="197">
        <f t="shared" si="570"/>
        <v>0</v>
      </c>
      <c r="AA453" s="199" t="b">
        <f t="shared" si="3"/>
        <v>1</v>
      </c>
      <c r="AB453" s="199" t="b">
        <f t="shared" si="4"/>
        <v>1</v>
      </c>
      <c r="AC453" s="200">
        <f t="shared" ref="AC453:AD453" si="700">1-I453</f>
        <v>0.66999999999999993</v>
      </c>
      <c r="AD453" s="200">
        <f t="shared" si="700"/>
        <v>0.66999999999999993</v>
      </c>
      <c r="AE453" s="199">
        <f t="shared" si="6"/>
        <v>1.3399999999999999</v>
      </c>
      <c r="AF453" s="201">
        <f t="shared" si="572"/>
        <v>0</v>
      </c>
      <c r="AG453" s="201">
        <f t="shared" si="8"/>
        <v>0</v>
      </c>
      <c r="AH453" s="202">
        <f t="shared" si="698"/>
        <v>0</v>
      </c>
      <c r="AI453" s="205"/>
      <c r="AJ453" s="173"/>
      <c r="AK453" s="173"/>
      <c r="AL453" s="173"/>
      <c r="AM453" s="173"/>
      <c r="AN453" s="173"/>
      <c r="AO453" s="173"/>
      <c r="AP453" s="173"/>
      <c r="AQ453" s="173"/>
      <c r="AR453" s="173"/>
      <c r="AS453" s="173"/>
      <c r="AT453" s="173"/>
      <c r="AU453" s="173"/>
      <c r="AV453" s="173"/>
    </row>
    <row r="454" spans="1:48" ht="14.25">
      <c r="A454" s="187"/>
      <c r="B454" s="406">
        <v>2</v>
      </c>
      <c r="C454" s="407" t="s">
        <v>1055</v>
      </c>
      <c r="D454" s="408" t="s">
        <v>69</v>
      </c>
      <c r="E454" s="408" t="s">
        <v>80</v>
      </c>
      <c r="F454" s="408" t="s">
        <v>11</v>
      </c>
      <c r="G454" s="409">
        <v>1</v>
      </c>
      <c r="H454" s="410">
        <v>0</v>
      </c>
      <c r="I454" s="411">
        <v>0.33</v>
      </c>
      <c r="J454" s="411">
        <v>0.33</v>
      </c>
      <c r="K454" s="412" t="s">
        <v>182</v>
      </c>
      <c r="L454" s="412"/>
      <c r="M454" s="412">
        <v>2</v>
      </c>
      <c r="N454" s="412">
        <v>3</v>
      </c>
      <c r="O454" s="416" t="s">
        <v>1056</v>
      </c>
      <c r="P454" s="350"/>
      <c r="Q454" s="408" t="s">
        <v>979</v>
      </c>
      <c r="R454" s="173"/>
      <c r="S454" s="195">
        <f>MATCH($D454,Reference!$J$5:$J$9,0)</f>
        <v>4</v>
      </c>
      <c r="T454" s="195">
        <f>MATCH($E454,Reference!$J$26:$J$32,0)</f>
        <v>5</v>
      </c>
      <c r="U454" s="195">
        <f>MATCH($F454,Reference!$J$45:$J$54,0)</f>
        <v>2</v>
      </c>
      <c r="V454" s="196">
        <f>MATCH($K454,Reference!$J$37:$J$39,0)</f>
        <v>3</v>
      </c>
      <c r="W454" s="197">
        <f t="shared" si="568"/>
        <v>1</v>
      </c>
      <c r="X454" s="197">
        <f t="shared" si="1"/>
        <v>1</v>
      </c>
      <c r="Y454" s="197">
        <f t="shared" si="696"/>
        <v>0</v>
      </c>
      <c r="Z454" s="197">
        <f t="shared" si="570"/>
        <v>1</v>
      </c>
      <c r="AA454" s="199" t="b">
        <f t="shared" si="3"/>
        <v>0</v>
      </c>
      <c r="AB454" s="199" t="b">
        <f t="shared" si="4"/>
        <v>1</v>
      </c>
      <c r="AC454" s="200">
        <f t="shared" ref="AC454:AD454" si="701">1-I454</f>
        <v>0.66999999999999993</v>
      </c>
      <c r="AD454" s="200">
        <f t="shared" si="701"/>
        <v>0.66999999999999993</v>
      </c>
      <c r="AE454" s="199">
        <f t="shared" si="6"/>
        <v>1.67</v>
      </c>
      <c r="AF454" s="201">
        <f t="shared" si="572"/>
        <v>0</v>
      </c>
      <c r="AG454" s="201">
        <f t="shared" si="8"/>
        <v>1</v>
      </c>
      <c r="AH454" s="202">
        <f t="shared" si="698"/>
        <v>0</v>
      </c>
      <c r="AI454" s="205"/>
      <c r="AJ454" s="173"/>
      <c r="AK454" s="173"/>
      <c r="AL454" s="173"/>
      <c r="AM454" s="173"/>
      <c r="AN454" s="173"/>
      <c r="AO454" s="173"/>
      <c r="AP454" s="173"/>
      <c r="AQ454" s="173"/>
      <c r="AR454" s="173"/>
      <c r="AS454" s="173"/>
      <c r="AT454" s="173"/>
      <c r="AU454" s="173"/>
      <c r="AV454" s="173"/>
    </row>
    <row r="455" spans="1:48" ht="14.25">
      <c r="A455" s="187"/>
      <c r="B455" s="406">
        <v>3</v>
      </c>
      <c r="C455" s="407" t="s">
        <v>1057</v>
      </c>
      <c r="D455" s="408" t="s">
        <v>69</v>
      </c>
      <c r="E455" s="408" t="s">
        <v>80</v>
      </c>
      <c r="F455" s="408" t="s">
        <v>26</v>
      </c>
      <c r="G455" s="409">
        <v>2</v>
      </c>
      <c r="H455" s="409">
        <v>0</v>
      </c>
      <c r="I455" s="411">
        <v>0.66</v>
      </c>
      <c r="J455" s="411">
        <v>0</v>
      </c>
      <c r="K455" s="412" t="s">
        <v>146</v>
      </c>
      <c r="L455" s="412"/>
      <c r="M455" s="412"/>
      <c r="N455" s="412"/>
      <c r="O455" s="416" t="s">
        <v>1058</v>
      </c>
      <c r="P455" s="350"/>
      <c r="Q455" s="408" t="s">
        <v>979</v>
      </c>
      <c r="R455" s="173"/>
      <c r="S455" s="195">
        <f>MATCH($D455,Reference!$J$5:$J$9,0)</f>
        <v>4</v>
      </c>
      <c r="T455" s="195">
        <f>MATCH($E455,Reference!$J$26:$J$32,0)</f>
        <v>5</v>
      </c>
      <c r="U455" s="195">
        <f>MATCH($F455,Reference!$J$45:$J$54,0)</f>
        <v>9</v>
      </c>
      <c r="V455" s="196">
        <f>MATCH($K455,Reference!$J$37:$J$39,0)</f>
        <v>2</v>
      </c>
      <c r="W455" s="197">
        <f t="shared" si="568"/>
        <v>2</v>
      </c>
      <c r="X455" s="197">
        <f t="shared" si="1"/>
        <v>1</v>
      </c>
      <c r="Y455" s="197">
        <f t="shared" si="696"/>
        <v>0</v>
      </c>
      <c r="Z455" s="197">
        <f t="shared" si="570"/>
        <v>2</v>
      </c>
      <c r="AA455" s="199" t="b">
        <f t="shared" si="3"/>
        <v>0</v>
      </c>
      <c r="AB455" s="199" t="b">
        <f t="shared" si="4"/>
        <v>0</v>
      </c>
      <c r="AC455" s="200">
        <f t="shared" ref="AC455:AD455" si="702">1-I455</f>
        <v>0.33999999999999997</v>
      </c>
      <c r="AD455" s="200">
        <f t="shared" si="702"/>
        <v>1</v>
      </c>
      <c r="AE455" s="199">
        <f t="shared" si="6"/>
        <v>2</v>
      </c>
      <c r="AF455" s="201">
        <f t="shared" si="572"/>
        <v>0</v>
      </c>
      <c r="AG455" s="201">
        <f t="shared" si="8"/>
        <v>1</v>
      </c>
      <c r="AH455" s="202">
        <f t="shared" si="698"/>
        <v>0</v>
      </c>
      <c r="AI455" s="205"/>
      <c r="AJ455" s="173"/>
      <c r="AK455" s="173"/>
      <c r="AL455" s="173"/>
      <c r="AM455" s="173"/>
      <c r="AN455" s="173"/>
      <c r="AO455" s="173"/>
      <c r="AP455" s="173"/>
      <c r="AQ455" s="173"/>
      <c r="AR455" s="173"/>
      <c r="AS455" s="173"/>
      <c r="AT455" s="173"/>
      <c r="AU455" s="173"/>
      <c r="AV455" s="173"/>
    </row>
    <row r="456" spans="1:48" ht="14.25">
      <c r="A456" s="187"/>
      <c r="B456" s="406">
        <v>3</v>
      </c>
      <c r="C456" s="407" t="s">
        <v>1059</v>
      </c>
      <c r="D456" s="408" t="s">
        <v>69</v>
      </c>
      <c r="E456" s="408" t="s">
        <v>80</v>
      </c>
      <c r="F456" s="408" t="s">
        <v>16</v>
      </c>
      <c r="G456" s="409">
        <v>2</v>
      </c>
      <c r="H456" s="409">
        <v>0</v>
      </c>
      <c r="I456" s="411">
        <v>1</v>
      </c>
      <c r="J456" s="411">
        <v>1</v>
      </c>
      <c r="K456" s="412" t="s">
        <v>207</v>
      </c>
      <c r="L456" s="412"/>
      <c r="M456" s="412">
        <v>2</v>
      </c>
      <c r="N456" s="412">
        <v>3</v>
      </c>
      <c r="O456" s="416" t="s">
        <v>1060</v>
      </c>
      <c r="P456" s="350"/>
      <c r="Q456" s="408" t="s">
        <v>979</v>
      </c>
      <c r="R456" s="173"/>
      <c r="S456" s="195">
        <f>MATCH($D456,Reference!$J$5:$J$9,0)</f>
        <v>4</v>
      </c>
      <c r="T456" s="195">
        <f>MATCH($E456,Reference!$J$26:$J$32,0)</f>
        <v>5</v>
      </c>
      <c r="U456" s="195">
        <f>MATCH($F456,Reference!$J$45:$J$54,0)</f>
        <v>4</v>
      </c>
      <c r="V456" s="196">
        <f>MATCH($K456,Reference!$J$37:$J$39,0)</f>
        <v>1</v>
      </c>
      <c r="W456" s="197">
        <f t="shared" si="568"/>
        <v>2</v>
      </c>
      <c r="X456" s="197">
        <f t="shared" si="1"/>
        <v>1</v>
      </c>
      <c r="Y456" s="197">
        <f t="shared" si="696"/>
        <v>0</v>
      </c>
      <c r="Z456" s="197">
        <f t="shared" si="570"/>
        <v>2</v>
      </c>
      <c r="AA456" s="199" t="b">
        <f t="shared" si="3"/>
        <v>0</v>
      </c>
      <c r="AB456" s="199" t="b">
        <f t="shared" si="4"/>
        <v>0</v>
      </c>
      <c r="AC456" s="200">
        <f t="shared" ref="AC456:AD456" si="703">1-I456</f>
        <v>0</v>
      </c>
      <c r="AD456" s="200">
        <f t="shared" si="703"/>
        <v>0</v>
      </c>
      <c r="AE456" s="199">
        <f t="shared" si="6"/>
        <v>2</v>
      </c>
      <c r="AF456" s="201">
        <f t="shared" si="572"/>
        <v>0</v>
      </c>
      <c r="AG456" s="201">
        <f t="shared" si="8"/>
        <v>1</v>
      </c>
      <c r="AH456" s="202">
        <f t="shared" si="698"/>
        <v>0</v>
      </c>
      <c r="AI456" s="205"/>
      <c r="AJ456" s="173"/>
      <c r="AK456" s="173"/>
      <c r="AL456" s="173"/>
      <c r="AM456" s="173"/>
      <c r="AN456" s="173"/>
      <c r="AO456" s="173"/>
      <c r="AP456" s="173"/>
      <c r="AQ456" s="173"/>
      <c r="AR456" s="173"/>
      <c r="AS456" s="173"/>
      <c r="AT456" s="173"/>
      <c r="AU456" s="173"/>
      <c r="AV456" s="173"/>
    </row>
    <row r="457" spans="1:48" ht="14.25">
      <c r="A457" s="206"/>
      <c r="B457" s="406">
        <v>3</v>
      </c>
      <c r="C457" s="407" t="s">
        <v>1061</v>
      </c>
      <c r="D457" s="408" t="s">
        <v>69</v>
      </c>
      <c r="E457" s="408" t="s">
        <v>80</v>
      </c>
      <c r="F457" s="408" t="s">
        <v>20</v>
      </c>
      <c r="G457" s="409">
        <v>1</v>
      </c>
      <c r="H457" s="409">
        <v>0</v>
      </c>
      <c r="I457" s="411">
        <v>0</v>
      </c>
      <c r="J457" s="411">
        <v>0</v>
      </c>
      <c r="K457" s="412" t="s">
        <v>207</v>
      </c>
      <c r="L457" s="412"/>
      <c r="M457" s="412">
        <v>1</v>
      </c>
      <c r="N457" s="412">
        <v>3</v>
      </c>
      <c r="O457" s="416" t="s">
        <v>1062</v>
      </c>
      <c r="P457" s="350"/>
      <c r="Q457" s="408" t="s">
        <v>979</v>
      </c>
      <c r="R457" s="173"/>
      <c r="S457" s="195">
        <f>MATCH($D457,Reference!$J$5:$J$9,0)</f>
        <v>4</v>
      </c>
      <c r="T457" s="195">
        <f>MATCH($E457,Reference!$J$26:$J$32,0)</f>
        <v>5</v>
      </c>
      <c r="U457" s="195">
        <f>MATCH($F457,Reference!$J$45:$J$54,0)</f>
        <v>6</v>
      </c>
      <c r="V457" s="196">
        <f>MATCH($K457,Reference!$J$37:$J$39,0)</f>
        <v>1</v>
      </c>
      <c r="W457" s="197">
        <f t="shared" si="568"/>
        <v>1</v>
      </c>
      <c r="X457" s="197">
        <f t="shared" si="1"/>
        <v>1</v>
      </c>
      <c r="Y457" s="197">
        <f t="shared" si="696"/>
        <v>0</v>
      </c>
      <c r="Z457" s="197">
        <f t="shared" si="570"/>
        <v>1</v>
      </c>
      <c r="AA457" s="199" t="b">
        <f t="shared" si="3"/>
        <v>0</v>
      </c>
      <c r="AB457" s="199" t="b">
        <f t="shared" si="4"/>
        <v>1</v>
      </c>
      <c r="AC457" s="200">
        <f t="shared" ref="AC457:AD457" si="704">1-I457</f>
        <v>1</v>
      </c>
      <c r="AD457" s="200">
        <f t="shared" si="704"/>
        <v>1</v>
      </c>
      <c r="AE457" s="199">
        <f t="shared" si="6"/>
        <v>2</v>
      </c>
      <c r="AF457" s="201">
        <f t="shared" si="572"/>
        <v>0</v>
      </c>
      <c r="AG457" s="201">
        <f t="shared" si="8"/>
        <v>1</v>
      </c>
      <c r="AH457" s="202">
        <f t="shared" si="698"/>
        <v>0</v>
      </c>
      <c r="AI457" s="205"/>
      <c r="AJ457" s="173"/>
      <c r="AK457" s="173"/>
      <c r="AL457" s="173"/>
      <c r="AM457" s="173"/>
      <c r="AN457" s="173"/>
      <c r="AO457" s="173"/>
      <c r="AP457" s="173"/>
      <c r="AQ457" s="173"/>
      <c r="AR457" s="173"/>
      <c r="AS457" s="173"/>
      <c r="AT457" s="173"/>
      <c r="AU457" s="173"/>
      <c r="AV457" s="173"/>
    </row>
    <row r="458" spans="1:48" ht="14.25">
      <c r="A458" s="187"/>
      <c r="B458" s="406">
        <v>3</v>
      </c>
      <c r="C458" s="407" t="s">
        <v>1063</v>
      </c>
      <c r="D458" s="408" t="s">
        <v>69</v>
      </c>
      <c r="E458" s="408" t="s">
        <v>80</v>
      </c>
      <c r="F458" s="408" t="s">
        <v>115</v>
      </c>
      <c r="G458" s="410">
        <v>0</v>
      </c>
      <c r="H458" s="409">
        <v>0</v>
      </c>
      <c r="I458" s="411">
        <v>0.33</v>
      </c>
      <c r="J458" s="411">
        <v>0.33</v>
      </c>
      <c r="K458" s="413" t="s">
        <v>182</v>
      </c>
      <c r="L458" s="412"/>
      <c r="M458" s="413">
        <v>2</v>
      </c>
      <c r="N458" s="413">
        <v>3</v>
      </c>
      <c r="O458" s="416" t="s">
        <v>1064</v>
      </c>
      <c r="P458" s="350"/>
      <c r="Q458" s="408" t="s">
        <v>979</v>
      </c>
      <c r="R458" s="173"/>
      <c r="S458" s="195">
        <f>MATCH($D458,Reference!$J$5:$J$9,0)</f>
        <v>4</v>
      </c>
      <c r="T458" s="195">
        <f>MATCH($E458,Reference!$J$26:$J$32,0)</f>
        <v>5</v>
      </c>
      <c r="U458" s="195">
        <f>MATCH($F458,Reference!$J$45:$J$54,0)</f>
        <v>10</v>
      </c>
      <c r="V458" s="196">
        <f>MATCH($K458,Reference!$J$37:$J$39,0)</f>
        <v>3</v>
      </c>
      <c r="W458" s="197">
        <f t="shared" si="568"/>
        <v>0</v>
      </c>
      <c r="X458" s="197">
        <f t="shared" si="1"/>
        <v>0</v>
      </c>
      <c r="Y458" s="197">
        <f t="shared" si="696"/>
        <v>0</v>
      </c>
      <c r="Z458" s="197">
        <f t="shared" si="570"/>
        <v>0</v>
      </c>
      <c r="AA458" s="199" t="b">
        <f t="shared" si="3"/>
        <v>1</v>
      </c>
      <c r="AB458" s="199" t="b">
        <f t="shared" si="4"/>
        <v>1</v>
      </c>
      <c r="AC458" s="200">
        <f t="shared" ref="AC458:AD458" si="705">1-I458</f>
        <v>0.66999999999999993</v>
      </c>
      <c r="AD458" s="200">
        <f t="shared" si="705"/>
        <v>0.66999999999999993</v>
      </c>
      <c r="AE458" s="199">
        <f t="shared" si="6"/>
        <v>1.3399999999999999</v>
      </c>
      <c r="AF458" s="201">
        <f t="shared" si="572"/>
        <v>0</v>
      </c>
      <c r="AG458" s="201">
        <f t="shared" si="8"/>
        <v>0</v>
      </c>
      <c r="AH458" s="202">
        <f t="shared" si="698"/>
        <v>0</v>
      </c>
      <c r="AI458" s="205"/>
      <c r="AJ458" s="173"/>
      <c r="AK458" s="173"/>
      <c r="AL458" s="173"/>
      <c r="AM458" s="173"/>
      <c r="AN458" s="173"/>
      <c r="AO458" s="173"/>
      <c r="AP458" s="173"/>
      <c r="AQ458" s="173"/>
      <c r="AR458" s="173"/>
      <c r="AS458" s="173"/>
      <c r="AT458" s="173"/>
      <c r="AU458" s="173"/>
      <c r="AV458" s="173"/>
    </row>
    <row r="459" spans="1:48" ht="14.25">
      <c r="A459" s="211"/>
      <c r="B459" s="406">
        <v>4</v>
      </c>
      <c r="C459" s="407" t="s">
        <v>1065</v>
      </c>
      <c r="D459" s="408" t="s">
        <v>69</v>
      </c>
      <c r="E459" s="408" t="s">
        <v>80</v>
      </c>
      <c r="F459" s="408" t="s">
        <v>21</v>
      </c>
      <c r="G459" s="409">
        <v>0</v>
      </c>
      <c r="H459" s="410">
        <v>0</v>
      </c>
      <c r="I459" s="411">
        <v>0.33</v>
      </c>
      <c r="J459" s="411">
        <v>0</v>
      </c>
      <c r="K459" s="412" t="s">
        <v>146</v>
      </c>
      <c r="L459" s="412"/>
      <c r="M459" s="412"/>
      <c r="N459" s="412"/>
      <c r="O459" s="416" t="s">
        <v>1066</v>
      </c>
      <c r="P459" s="350"/>
      <c r="Q459" s="408" t="s">
        <v>979</v>
      </c>
      <c r="R459" s="173"/>
      <c r="S459" s="195">
        <f>MATCH($D459,Reference!$J$5:$J$9,0)</f>
        <v>4</v>
      </c>
      <c r="T459" s="195">
        <f>MATCH($E459,Reference!$J$26:$J$32,0)</f>
        <v>5</v>
      </c>
      <c r="U459" s="195">
        <f>MATCH($F459,Reference!$J$45:$J$54,0)</f>
        <v>7</v>
      </c>
      <c r="V459" s="196">
        <f>MATCH($K459,Reference!$J$37:$J$39,0)</f>
        <v>2</v>
      </c>
      <c r="W459" s="197">
        <f t="shared" si="568"/>
        <v>0</v>
      </c>
      <c r="X459" s="197">
        <f t="shared" si="1"/>
        <v>0</v>
      </c>
      <c r="Y459" s="197">
        <f t="shared" si="696"/>
        <v>0</v>
      </c>
      <c r="Z459" s="197">
        <f t="shared" si="570"/>
        <v>0</v>
      </c>
      <c r="AA459" s="199" t="b">
        <f t="shared" si="3"/>
        <v>1</v>
      </c>
      <c r="AB459" s="199" t="b">
        <f t="shared" si="4"/>
        <v>1</v>
      </c>
      <c r="AC459" s="200">
        <f t="shared" ref="AC459:AD459" si="706">1-I459</f>
        <v>0.66999999999999993</v>
      </c>
      <c r="AD459" s="200">
        <f t="shared" si="706"/>
        <v>1</v>
      </c>
      <c r="AE459" s="199">
        <f t="shared" si="6"/>
        <v>1.67</v>
      </c>
      <c r="AF459" s="201">
        <f t="shared" si="572"/>
        <v>0</v>
      </c>
      <c r="AG459" s="201">
        <f t="shared" si="8"/>
        <v>0</v>
      </c>
      <c r="AH459" s="202">
        <f t="shared" si="698"/>
        <v>0</v>
      </c>
      <c r="AI459" s="205"/>
      <c r="AJ459" s="173"/>
      <c r="AK459" s="173"/>
      <c r="AL459" s="173"/>
      <c r="AM459" s="173"/>
      <c r="AN459" s="173"/>
      <c r="AO459" s="173"/>
      <c r="AP459" s="173"/>
      <c r="AQ459" s="173"/>
      <c r="AR459" s="173"/>
      <c r="AS459" s="173"/>
      <c r="AT459" s="173"/>
      <c r="AU459" s="173"/>
      <c r="AV459" s="173"/>
    </row>
    <row r="460" spans="1:48" ht="14.25">
      <c r="A460" s="209"/>
      <c r="B460" s="406">
        <v>4</v>
      </c>
      <c r="C460" s="407" t="s">
        <v>1067</v>
      </c>
      <c r="D460" s="408" t="s">
        <v>69</v>
      </c>
      <c r="E460" s="408" t="s">
        <v>80</v>
      </c>
      <c r="F460" s="408" t="s">
        <v>13</v>
      </c>
      <c r="G460" s="409">
        <v>1</v>
      </c>
      <c r="H460" s="409">
        <v>0</v>
      </c>
      <c r="I460" s="411">
        <v>1</v>
      </c>
      <c r="J460" s="411">
        <v>1</v>
      </c>
      <c r="K460" s="412" t="s">
        <v>146</v>
      </c>
      <c r="L460" s="412"/>
      <c r="M460" s="412"/>
      <c r="N460" s="412"/>
      <c r="O460" s="416" t="s">
        <v>1068</v>
      </c>
      <c r="P460" s="350"/>
      <c r="Q460" s="408" t="s">
        <v>979</v>
      </c>
      <c r="R460" s="173"/>
      <c r="S460" s="195">
        <f>MATCH($D460,Reference!$J$5:$J$9,0)</f>
        <v>4</v>
      </c>
      <c r="T460" s="195">
        <f>MATCH($E460,Reference!$J$26:$J$32,0)</f>
        <v>5</v>
      </c>
      <c r="U460" s="195">
        <f>MATCH($F460,Reference!$J$45:$J$54,0)</f>
        <v>3</v>
      </c>
      <c r="V460" s="196">
        <f>MATCH($K460,Reference!$J$37:$J$39,0)</f>
        <v>2</v>
      </c>
      <c r="W460" s="197">
        <f t="shared" si="568"/>
        <v>1</v>
      </c>
      <c r="X460" s="197">
        <f t="shared" si="1"/>
        <v>1</v>
      </c>
      <c r="Y460" s="197">
        <f t="shared" si="696"/>
        <v>0</v>
      </c>
      <c r="Z460" s="197">
        <f t="shared" si="570"/>
        <v>1</v>
      </c>
      <c r="AA460" s="199" t="b">
        <f t="shared" si="3"/>
        <v>0</v>
      </c>
      <c r="AB460" s="199" t="b">
        <f t="shared" si="4"/>
        <v>1</v>
      </c>
      <c r="AC460" s="200">
        <f t="shared" ref="AC460:AD460" si="707">1-I460</f>
        <v>0</v>
      </c>
      <c r="AD460" s="200">
        <f t="shared" si="707"/>
        <v>0</v>
      </c>
      <c r="AE460" s="199">
        <f t="shared" si="6"/>
        <v>1</v>
      </c>
      <c r="AF460" s="201">
        <f t="shared" si="572"/>
        <v>0</v>
      </c>
      <c r="AG460" s="201">
        <f t="shared" si="8"/>
        <v>1</v>
      </c>
      <c r="AH460" s="202">
        <f t="shared" si="698"/>
        <v>0</v>
      </c>
      <c r="AI460" s="205"/>
      <c r="AJ460" s="173"/>
      <c r="AK460" s="173"/>
      <c r="AL460" s="173"/>
      <c r="AM460" s="173"/>
      <c r="AN460" s="173"/>
      <c r="AO460" s="173"/>
      <c r="AP460" s="173"/>
      <c r="AQ460" s="173"/>
      <c r="AR460" s="173"/>
      <c r="AS460" s="173"/>
      <c r="AT460" s="173"/>
      <c r="AU460" s="173"/>
      <c r="AV460" s="173"/>
    </row>
    <row r="461" spans="1:48" ht="14.25">
      <c r="A461" s="187"/>
      <c r="B461" s="406">
        <v>4</v>
      </c>
      <c r="C461" s="418" t="s">
        <v>1069</v>
      </c>
      <c r="D461" s="408" t="s">
        <v>69</v>
      </c>
      <c r="E461" s="408" t="s">
        <v>80</v>
      </c>
      <c r="F461" s="408" t="s">
        <v>115</v>
      </c>
      <c r="G461" s="409">
        <v>1</v>
      </c>
      <c r="H461" s="409">
        <v>0</v>
      </c>
      <c r="I461" s="411">
        <v>0.33</v>
      </c>
      <c r="J461" s="411">
        <v>0.33</v>
      </c>
      <c r="K461" s="412" t="s">
        <v>182</v>
      </c>
      <c r="L461" s="412" t="s">
        <v>602</v>
      </c>
      <c r="M461" s="412">
        <v>3</v>
      </c>
      <c r="N461" s="412">
        <v>2</v>
      </c>
      <c r="O461" s="416" t="s">
        <v>1070</v>
      </c>
      <c r="P461" s="417" t="s">
        <v>184</v>
      </c>
      <c r="Q461" s="408" t="s">
        <v>979</v>
      </c>
      <c r="R461" s="173"/>
      <c r="S461" s="195">
        <f>MATCH($D461,Reference!$J$5:$J$9,0)</f>
        <v>4</v>
      </c>
      <c r="T461" s="195">
        <f>MATCH($E461,Reference!$J$26:$J$32,0)</f>
        <v>5</v>
      </c>
      <c r="U461" s="195">
        <f>MATCH($F461,Reference!$J$45:$J$54,0)</f>
        <v>10</v>
      </c>
      <c r="V461" s="196">
        <f>MATCH($K461,Reference!$J$37:$J$39,0)</f>
        <v>3</v>
      </c>
      <c r="W461" s="197">
        <f t="shared" si="568"/>
        <v>1</v>
      </c>
      <c r="X461" s="197">
        <f t="shared" si="1"/>
        <v>1</v>
      </c>
      <c r="Y461" s="197">
        <f t="shared" si="696"/>
        <v>0</v>
      </c>
      <c r="Z461" s="197">
        <f t="shared" si="570"/>
        <v>1</v>
      </c>
      <c r="AA461" s="199" t="b">
        <f t="shared" si="3"/>
        <v>0</v>
      </c>
      <c r="AB461" s="199" t="b">
        <f t="shared" si="4"/>
        <v>1</v>
      </c>
      <c r="AC461" s="200">
        <f t="shared" ref="AC461:AD461" si="708">1-I461</f>
        <v>0.66999999999999993</v>
      </c>
      <c r="AD461" s="200">
        <f t="shared" si="708"/>
        <v>0.66999999999999993</v>
      </c>
      <c r="AE461" s="199">
        <f t="shared" si="6"/>
        <v>1.67</v>
      </c>
      <c r="AF461" s="201">
        <f t="shared" si="572"/>
        <v>0</v>
      </c>
      <c r="AG461" s="201">
        <f t="shared" si="8"/>
        <v>1</v>
      </c>
      <c r="AH461" s="202">
        <f t="shared" si="698"/>
        <v>0</v>
      </c>
      <c r="AI461" s="205"/>
      <c r="AJ461" s="173"/>
      <c r="AK461" s="173"/>
      <c r="AL461" s="173"/>
      <c r="AM461" s="173"/>
      <c r="AN461" s="173"/>
      <c r="AO461" s="173"/>
      <c r="AP461" s="173"/>
      <c r="AQ461" s="173"/>
      <c r="AR461" s="173"/>
      <c r="AS461" s="173"/>
      <c r="AT461" s="173"/>
      <c r="AU461" s="173"/>
      <c r="AV461" s="173"/>
    </row>
    <row r="462" spans="1:48" ht="14.25">
      <c r="A462" s="209"/>
      <c r="B462" s="406">
        <v>4</v>
      </c>
      <c r="C462" s="407" t="s">
        <v>1071</v>
      </c>
      <c r="D462" s="408" t="s">
        <v>69</v>
      </c>
      <c r="E462" s="408" t="s">
        <v>80</v>
      </c>
      <c r="F462" s="408" t="s">
        <v>115</v>
      </c>
      <c r="G462" s="409">
        <v>0</v>
      </c>
      <c r="H462" s="409">
        <v>0</v>
      </c>
      <c r="I462" s="411">
        <v>0</v>
      </c>
      <c r="J462" s="411">
        <v>0</v>
      </c>
      <c r="K462" s="408" t="s">
        <v>182</v>
      </c>
      <c r="L462" s="408"/>
      <c r="M462" s="419">
        <v>4</v>
      </c>
      <c r="N462" s="420">
        <v>1</v>
      </c>
      <c r="O462" s="416" t="s">
        <v>1072</v>
      </c>
      <c r="P462" s="417" t="s">
        <v>268</v>
      </c>
      <c r="Q462" s="408" t="s">
        <v>979</v>
      </c>
      <c r="R462" s="173"/>
      <c r="S462" s="195">
        <f>MATCH($D462,Reference!$J$5:$J$9,0)</f>
        <v>4</v>
      </c>
      <c r="T462" s="195">
        <f>MATCH($E462,Reference!$J$26:$J$32,0)</f>
        <v>5</v>
      </c>
      <c r="U462" s="195">
        <f>MATCH($F462,Reference!$J$45:$J$54,0)</f>
        <v>10</v>
      </c>
      <c r="V462" s="196">
        <f>MATCH($K462,Reference!$J$37:$J$39,0)</f>
        <v>3</v>
      </c>
      <c r="W462" s="197">
        <f t="shared" si="568"/>
        <v>0</v>
      </c>
      <c r="X462" s="197">
        <f t="shared" si="1"/>
        <v>0</v>
      </c>
      <c r="Y462" s="197">
        <f t="shared" si="696"/>
        <v>0</v>
      </c>
      <c r="Z462" s="197">
        <f t="shared" si="570"/>
        <v>0</v>
      </c>
      <c r="AA462" s="199" t="b">
        <f t="shared" si="3"/>
        <v>1</v>
      </c>
      <c r="AB462" s="199" t="b">
        <f t="shared" si="4"/>
        <v>1</v>
      </c>
      <c r="AC462" s="200">
        <f t="shared" ref="AC462:AD462" si="709">1-I462</f>
        <v>1</v>
      </c>
      <c r="AD462" s="200">
        <f t="shared" si="709"/>
        <v>1</v>
      </c>
      <c r="AE462" s="199">
        <f t="shared" si="6"/>
        <v>2</v>
      </c>
      <c r="AF462" s="201">
        <f t="shared" si="572"/>
        <v>0</v>
      </c>
      <c r="AG462" s="201">
        <f t="shared" si="8"/>
        <v>0</v>
      </c>
      <c r="AH462" s="202">
        <f t="shared" si="698"/>
        <v>0</v>
      </c>
      <c r="AI462" s="205"/>
      <c r="AJ462" s="173"/>
      <c r="AK462" s="173"/>
      <c r="AL462" s="173"/>
      <c r="AM462" s="173"/>
      <c r="AN462" s="173"/>
      <c r="AO462" s="173"/>
      <c r="AP462" s="173"/>
      <c r="AQ462" s="173"/>
      <c r="AR462" s="173"/>
      <c r="AS462" s="173"/>
      <c r="AT462" s="173"/>
      <c r="AU462" s="173"/>
      <c r="AV462" s="173"/>
    </row>
    <row r="463" spans="1:48" ht="14.25">
      <c r="A463" s="209"/>
      <c r="B463" s="406">
        <v>4</v>
      </c>
      <c r="C463" s="407" t="s">
        <v>1073</v>
      </c>
      <c r="D463" s="408" t="s">
        <v>69</v>
      </c>
      <c r="E463" s="408" t="s">
        <v>80</v>
      </c>
      <c r="F463" s="408" t="s">
        <v>20</v>
      </c>
      <c r="G463" s="409">
        <v>1</v>
      </c>
      <c r="H463" s="409">
        <v>0</v>
      </c>
      <c r="I463" s="411">
        <v>0.33</v>
      </c>
      <c r="J463" s="411">
        <v>0.33</v>
      </c>
      <c r="K463" s="412" t="s">
        <v>146</v>
      </c>
      <c r="L463" s="412"/>
      <c r="M463" s="412"/>
      <c r="N463" s="412"/>
      <c r="O463" s="416" t="s">
        <v>1074</v>
      </c>
      <c r="P463" s="350"/>
      <c r="Q463" s="408" t="s">
        <v>979</v>
      </c>
      <c r="R463" s="173"/>
      <c r="S463" s="195">
        <f>MATCH($D463,Reference!$J$5:$J$9,0)</f>
        <v>4</v>
      </c>
      <c r="T463" s="195">
        <f>MATCH($E463,Reference!$J$26:$J$32,0)</f>
        <v>5</v>
      </c>
      <c r="U463" s="195">
        <f>MATCH($F463,Reference!$J$45:$J$54,0)</f>
        <v>6</v>
      </c>
      <c r="V463" s="196">
        <f>MATCH($K463,Reference!$J$37:$J$39,0)</f>
        <v>2</v>
      </c>
      <c r="W463" s="197">
        <f t="shared" si="568"/>
        <v>1</v>
      </c>
      <c r="X463" s="197">
        <f t="shared" si="1"/>
        <v>1</v>
      </c>
      <c r="Y463" s="197">
        <f t="shared" si="696"/>
        <v>0</v>
      </c>
      <c r="Z463" s="197">
        <f t="shared" si="570"/>
        <v>1</v>
      </c>
      <c r="AA463" s="199" t="b">
        <f t="shared" si="3"/>
        <v>0</v>
      </c>
      <c r="AB463" s="199" t="b">
        <f t="shared" si="4"/>
        <v>1</v>
      </c>
      <c r="AC463" s="200">
        <f t="shared" ref="AC463:AD463" si="710">1-I463</f>
        <v>0.66999999999999993</v>
      </c>
      <c r="AD463" s="200">
        <f t="shared" si="710"/>
        <v>0.66999999999999993</v>
      </c>
      <c r="AE463" s="199">
        <f t="shared" si="6"/>
        <v>1.67</v>
      </c>
      <c r="AF463" s="201">
        <f t="shared" si="572"/>
        <v>0</v>
      </c>
      <c r="AG463" s="201">
        <f t="shared" si="8"/>
        <v>1</v>
      </c>
      <c r="AH463" s="202">
        <f t="shared" si="698"/>
        <v>0</v>
      </c>
      <c r="AI463" s="205"/>
      <c r="AJ463" s="173"/>
      <c r="AK463" s="173"/>
      <c r="AL463" s="173"/>
      <c r="AM463" s="173"/>
      <c r="AN463" s="173"/>
      <c r="AO463" s="173"/>
      <c r="AP463" s="173"/>
      <c r="AQ463" s="173"/>
      <c r="AR463" s="173"/>
      <c r="AS463" s="173"/>
      <c r="AT463" s="173"/>
      <c r="AU463" s="173"/>
      <c r="AV463" s="173"/>
    </row>
    <row r="464" spans="1:48" ht="14.25">
      <c r="A464" s="187"/>
      <c r="B464" s="406">
        <v>4</v>
      </c>
      <c r="C464" s="407" t="s">
        <v>1075</v>
      </c>
      <c r="D464" s="408" t="s">
        <v>69</v>
      </c>
      <c r="E464" s="408" t="s">
        <v>80</v>
      </c>
      <c r="F464" s="408" t="s">
        <v>21</v>
      </c>
      <c r="G464" s="409">
        <v>0</v>
      </c>
      <c r="H464" s="409">
        <v>0</v>
      </c>
      <c r="I464" s="411">
        <v>0.33</v>
      </c>
      <c r="J464" s="411">
        <v>0.33</v>
      </c>
      <c r="K464" s="412" t="s">
        <v>182</v>
      </c>
      <c r="L464" s="412" t="s">
        <v>195</v>
      </c>
      <c r="M464" s="412">
        <v>2</v>
      </c>
      <c r="N464" s="412">
        <v>5</v>
      </c>
      <c r="O464" s="416" t="s">
        <v>1076</v>
      </c>
      <c r="P464" s="350"/>
      <c r="Q464" s="408" t="s">
        <v>979</v>
      </c>
      <c r="R464" s="173"/>
      <c r="S464" s="195">
        <f>MATCH($D464,Reference!$J$5:$J$9,0)</f>
        <v>4</v>
      </c>
      <c r="T464" s="195">
        <f>MATCH($E464,Reference!$J$26:$J$32,0)</f>
        <v>5</v>
      </c>
      <c r="U464" s="195">
        <f>MATCH($F464,Reference!$J$45:$J$54,0)</f>
        <v>7</v>
      </c>
      <c r="V464" s="196">
        <f>MATCH($K464,Reference!$J$37:$J$39,0)</f>
        <v>3</v>
      </c>
      <c r="W464" s="197">
        <f t="shared" si="568"/>
        <v>0</v>
      </c>
      <c r="X464" s="197">
        <f t="shared" si="1"/>
        <v>0</v>
      </c>
      <c r="Y464" s="197">
        <f t="shared" si="696"/>
        <v>0</v>
      </c>
      <c r="Z464" s="197">
        <f t="shared" si="570"/>
        <v>0</v>
      </c>
      <c r="AA464" s="199" t="b">
        <f t="shared" si="3"/>
        <v>1</v>
      </c>
      <c r="AB464" s="199" t="b">
        <f t="shared" si="4"/>
        <v>1</v>
      </c>
      <c r="AC464" s="200">
        <f t="shared" ref="AC464:AD464" si="711">1-I464</f>
        <v>0.66999999999999993</v>
      </c>
      <c r="AD464" s="200">
        <f t="shared" si="711"/>
        <v>0.66999999999999993</v>
      </c>
      <c r="AE464" s="199">
        <f t="shared" si="6"/>
        <v>1.3399999999999999</v>
      </c>
      <c r="AF464" s="201">
        <f t="shared" si="572"/>
        <v>0</v>
      </c>
      <c r="AG464" s="201">
        <f t="shared" si="8"/>
        <v>0</v>
      </c>
      <c r="AH464" s="202">
        <f t="shared" si="698"/>
        <v>0</v>
      </c>
      <c r="AI464" s="205"/>
      <c r="AJ464" s="173"/>
      <c r="AK464" s="173"/>
      <c r="AL464" s="173"/>
      <c r="AM464" s="173"/>
      <c r="AN464" s="173"/>
      <c r="AO464" s="173"/>
      <c r="AP464" s="173"/>
      <c r="AQ464" s="173"/>
      <c r="AR464" s="173"/>
      <c r="AS464" s="173"/>
      <c r="AT464" s="173"/>
      <c r="AU464" s="173"/>
      <c r="AV464" s="173"/>
    </row>
    <row r="465" spans="1:48" ht="14.25">
      <c r="A465" s="206"/>
      <c r="B465" s="406">
        <v>4</v>
      </c>
      <c r="C465" s="407" t="s">
        <v>1077</v>
      </c>
      <c r="D465" s="408" t="s">
        <v>69</v>
      </c>
      <c r="E465" s="408" t="s">
        <v>80</v>
      </c>
      <c r="F465" s="408" t="s">
        <v>13</v>
      </c>
      <c r="G465" s="410">
        <v>0</v>
      </c>
      <c r="H465" s="410">
        <v>0</v>
      </c>
      <c r="I465" s="411">
        <v>0.33</v>
      </c>
      <c r="J465" s="411">
        <v>0.33</v>
      </c>
      <c r="K465" s="413" t="s">
        <v>182</v>
      </c>
      <c r="L465" s="412"/>
      <c r="M465" s="413">
        <v>2</v>
      </c>
      <c r="N465" s="413">
        <v>5</v>
      </c>
      <c r="O465" s="416" t="s">
        <v>1078</v>
      </c>
      <c r="P465" s="350"/>
      <c r="Q465" s="408" t="s">
        <v>979</v>
      </c>
      <c r="R465" s="173"/>
      <c r="S465" s="195">
        <f>MATCH($D465,Reference!$J$5:$J$9,0)</f>
        <v>4</v>
      </c>
      <c r="T465" s="195">
        <f>MATCH($E465,Reference!$J$26:$J$32,0)</f>
        <v>5</v>
      </c>
      <c r="U465" s="195">
        <f>MATCH($F465,Reference!$J$45:$J$54,0)</f>
        <v>3</v>
      </c>
      <c r="V465" s="196">
        <f>MATCH($K465,Reference!$J$37:$J$39,0)</f>
        <v>3</v>
      </c>
      <c r="W465" s="197">
        <f t="shared" si="568"/>
        <v>0</v>
      </c>
      <c r="X465" s="197">
        <f t="shared" si="1"/>
        <v>0</v>
      </c>
      <c r="Y465" s="197">
        <f t="shared" si="696"/>
        <v>0</v>
      </c>
      <c r="Z465" s="197">
        <f t="shared" si="570"/>
        <v>0</v>
      </c>
      <c r="AA465" s="199" t="b">
        <f t="shared" si="3"/>
        <v>1</v>
      </c>
      <c r="AB465" s="199" t="b">
        <f t="shared" si="4"/>
        <v>1</v>
      </c>
      <c r="AC465" s="200">
        <f t="shared" ref="AC465:AD465" si="712">1-I465</f>
        <v>0.66999999999999993</v>
      </c>
      <c r="AD465" s="200">
        <f t="shared" si="712"/>
        <v>0.66999999999999993</v>
      </c>
      <c r="AE465" s="199">
        <f t="shared" si="6"/>
        <v>1.3399999999999999</v>
      </c>
      <c r="AF465" s="201">
        <f t="shared" si="572"/>
        <v>0</v>
      </c>
      <c r="AG465" s="201">
        <f t="shared" si="8"/>
        <v>0</v>
      </c>
      <c r="AH465" s="202">
        <f t="shared" si="698"/>
        <v>0</v>
      </c>
      <c r="AI465" s="205"/>
      <c r="AJ465" s="173"/>
      <c r="AK465" s="173"/>
      <c r="AL465" s="173"/>
      <c r="AM465" s="173"/>
      <c r="AN465" s="173"/>
      <c r="AO465" s="173"/>
      <c r="AP465" s="173"/>
      <c r="AQ465" s="173"/>
      <c r="AR465" s="173"/>
      <c r="AS465" s="173"/>
      <c r="AT465" s="173"/>
      <c r="AU465" s="173"/>
      <c r="AV465" s="173"/>
    </row>
    <row r="466" spans="1:48" ht="14.25">
      <c r="A466" s="187"/>
      <c r="B466" s="406">
        <v>5</v>
      </c>
      <c r="C466" s="407" t="s">
        <v>1079</v>
      </c>
      <c r="D466" s="408" t="s">
        <v>69</v>
      </c>
      <c r="E466" s="408" t="s">
        <v>80</v>
      </c>
      <c r="F466" s="408" t="s">
        <v>25</v>
      </c>
      <c r="G466" s="409">
        <v>1</v>
      </c>
      <c r="H466" s="409">
        <v>0</v>
      </c>
      <c r="I466" s="411">
        <v>0.66</v>
      </c>
      <c r="J466" s="411">
        <v>0.33</v>
      </c>
      <c r="K466" s="412" t="s">
        <v>146</v>
      </c>
      <c r="L466" s="412"/>
      <c r="M466" s="412"/>
      <c r="N466" s="412"/>
      <c r="O466" s="416" t="s">
        <v>1080</v>
      </c>
      <c r="P466" s="350"/>
      <c r="Q466" s="408" t="s">
        <v>979</v>
      </c>
      <c r="R466" s="173"/>
      <c r="S466" s="195">
        <f>MATCH($D466,Reference!$J$5:$J$9,0)</f>
        <v>4</v>
      </c>
      <c r="T466" s="195">
        <f>MATCH($E466,Reference!$J$26:$J$32,0)</f>
        <v>5</v>
      </c>
      <c r="U466" s="195">
        <f>MATCH($F466,Reference!$J$45:$J$54,0)</f>
        <v>8</v>
      </c>
      <c r="V466" s="196">
        <f>MATCH($K466,Reference!$J$37:$J$39,0)</f>
        <v>2</v>
      </c>
      <c r="W466" s="197">
        <f t="shared" si="568"/>
        <v>1</v>
      </c>
      <c r="X466" s="197">
        <f t="shared" si="1"/>
        <v>1</v>
      </c>
      <c r="Y466" s="197">
        <f t="shared" si="696"/>
        <v>0</v>
      </c>
      <c r="Z466" s="197">
        <f t="shared" si="570"/>
        <v>1</v>
      </c>
      <c r="AA466" s="199" t="b">
        <f t="shared" si="3"/>
        <v>0</v>
      </c>
      <c r="AB466" s="199" t="b">
        <f t="shared" si="4"/>
        <v>1</v>
      </c>
      <c r="AC466" s="200">
        <f t="shared" ref="AC466:AD466" si="713">1-I466</f>
        <v>0.33999999999999997</v>
      </c>
      <c r="AD466" s="200">
        <f t="shared" si="713"/>
        <v>0.66999999999999993</v>
      </c>
      <c r="AE466" s="199">
        <f t="shared" si="6"/>
        <v>1.67</v>
      </c>
      <c r="AF466" s="201">
        <f t="shared" si="572"/>
        <v>0</v>
      </c>
      <c r="AG466" s="201">
        <f t="shared" si="8"/>
        <v>1</v>
      </c>
      <c r="AH466" s="202">
        <f t="shared" si="698"/>
        <v>0</v>
      </c>
      <c r="AI466" s="205"/>
      <c r="AJ466" s="173"/>
      <c r="AK466" s="173"/>
      <c r="AL466" s="173"/>
      <c r="AM466" s="173"/>
      <c r="AN466" s="173"/>
      <c r="AO466" s="173"/>
      <c r="AP466" s="173"/>
      <c r="AQ466" s="173"/>
      <c r="AR466" s="173"/>
      <c r="AS466" s="173"/>
      <c r="AT466" s="173"/>
      <c r="AU466" s="173"/>
      <c r="AV466" s="173"/>
    </row>
    <row r="467" spans="1:48" ht="14.25">
      <c r="A467" s="209"/>
      <c r="B467" s="406">
        <v>5</v>
      </c>
      <c r="C467" s="407" t="s">
        <v>1081</v>
      </c>
      <c r="D467" s="408" t="s">
        <v>69</v>
      </c>
      <c r="E467" s="408" t="s">
        <v>80</v>
      </c>
      <c r="F467" s="408" t="s">
        <v>115</v>
      </c>
      <c r="G467" s="409">
        <v>2</v>
      </c>
      <c r="H467" s="409">
        <v>0</v>
      </c>
      <c r="I467" s="411">
        <v>0.66</v>
      </c>
      <c r="J467" s="411">
        <v>0.33</v>
      </c>
      <c r="K467" s="412" t="s">
        <v>182</v>
      </c>
      <c r="L467" s="412" t="s">
        <v>602</v>
      </c>
      <c r="M467" s="412">
        <v>8</v>
      </c>
      <c r="N467" s="412">
        <v>8</v>
      </c>
      <c r="O467" s="416" t="s">
        <v>1082</v>
      </c>
      <c r="P467" s="350"/>
      <c r="Q467" s="408" t="s">
        <v>979</v>
      </c>
      <c r="R467" s="173"/>
      <c r="S467" s="195">
        <f>MATCH($D467,Reference!$J$5:$J$9,0)</f>
        <v>4</v>
      </c>
      <c r="T467" s="195">
        <f>MATCH($E467,Reference!$J$26:$J$32,0)</f>
        <v>5</v>
      </c>
      <c r="U467" s="195">
        <f>MATCH($F467,Reference!$J$45:$J$54,0)</f>
        <v>10</v>
      </c>
      <c r="V467" s="196">
        <f>MATCH($K467,Reference!$J$37:$J$39,0)</f>
        <v>3</v>
      </c>
      <c r="W467" s="197">
        <f t="shared" si="568"/>
        <v>2</v>
      </c>
      <c r="X467" s="197">
        <f t="shared" si="1"/>
        <v>1</v>
      </c>
      <c r="Y467" s="197">
        <f t="shared" si="696"/>
        <v>0</v>
      </c>
      <c r="Z467" s="197">
        <f t="shared" si="570"/>
        <v>2</v>
      </c>
      <c r="AA467" s="199" t="b">
        <f t="shared" si="3"/>
        <v>0</v>
      </c>
      <c r="AB467" s="199" t="b">
        <f t="shared" si="4"/>
        <v>0</v>
      </c>
      <c r="AC467" s="200">
        <f t="shared" ref="AC467:AD467" si="714">1-I467</f>
        <v>0.33999999999999997</v>
      </c>
      <c r="AD467" s="200">
        <f t="shared" si="714"/>
        <v>0.66999999999999993</v>
      </c>
      <c r="AE467" s="199">
        <f t="shared" si="6"/>
        <v>2</v>
      </c>
      <c r="AF467" s="201">
        <f t="shared" si="572"/>
        <v>0</v>
      </c>
      <c r="AG467" s="201">
        <f t="shared" si="8"/>
        <v>1</v>
      </c>
      <c r="AH467" s="202">
        <f t="shared" si="698"/>
        <v>0</v>
      </c>
      <c r="AI467" s="205"/>
      <c r="AJ467" s="173"/>
      <c r="AK467" s="173"/>
      <c r="AL467" s="173"/>
      <c r="AM467" s="173"/>
      <c r="AN467" s="173"/>
      <c r="AO467" s="173"/>
      <c r="AP467" s="173"/>
      <c r="AQ467" s="173"/>
      <c r="AR467" s="173"/>
      <c r="AS467" s="173"/>
      <c r="AT467" s="173"/>
      <c r="AU467" s="173"/>
      <c r="AV467" s="173"/>
    </row>
    <row r="468" spans="1:48" ht="14.25">
      <c r="A468" s="206"/>
      <c r="B468" s="406">
        <v>5</v>
      </c>
      <c r="C468" s="407" t="s">
        <v>1083</v>
      </c>
      <c r="D468" s="408" t="s">
        <v>69</v>
      </c>
      <c r="E468" s="408" t="s">
        <v>80</v>
      </c>
      <c r="F468" s="408" t="s">
        <v>115</v>
      </c>
      <c r="G468" s="410">
        <v>0</v>
      </c>
      <c r="H468" s="410">
        <v>0</v>
      </c>
      <c r="I468" s="411">
        <v>0</v>
      </c>
      <c r="J468" s="411">
        <v>0</v>
      </c>
      <c r="K468" s="412" t="s">
        <v>182</v>
      </c>
      <c r="L468" s="412" t="s">
        <v>602</v>
      </c>
      <c r="M468" s="412">
        <v>1</v>
      </c>
      <c r="N468" s="412">
        <v>5</v>
      </c>
      <c r="O468" s="421" t="s">
        <v>1084</v>
      </c>
      <c r="P468" s="422"/>
      <c r="Q468" s="408" t="s">
        <v>979</v>
      </c>
      <c r="R468" s="173"/>
      <c r="S468" s="195">
        <f>MATCH($D468,Reference!$J$5:$J$9,0)</f>
        <v>4</v>
      </c>
      <c r="T468" s="195">
        <f>MATCH($E468,Reference!$J$26:$J$32,0)</f>
        <v>5</v>
      </c>
      <c r="U468" s="195">
        <f>MATCH($F468,Reference!$J$45:$J$54,0)</f>
        <v>10</v>
      </c>
      <c r="V468" s="196">
        <f>MATCH($K468,Reference!$J$37:$J$39,0)</f>
        <v>3</v>
      </c>
      <c r="W468" s="197">
        <f t="shared" si="568"/>
        <v>0</v>
      </c>
      <c r="X468" s="197">
        <f t="shared" si="1"/>
        <v>0</v>
      </c>
      <c r="Y468" s="197">
        <f t="shared" si="696"/>
        <v>0</v>
      </c>
      <c r="Z468" s="197">
        <f t="shared" si="570"/>
        <v>0</v>
      </c>
      <c r="AA468" s="199" t="b">
        <f t="shared" si="3"/>
        <v>1</v>
      </c>
      <c r="AB468" s="199" t="b">
        <f t="shared" si="4"/>
        <v>1</v>
      </c>
      <c r="AC468" s="200">
        <f t="shared" ref="AC468:AD468" si="715">1-I468</f>
        <v>1</v>
      </c>
      <c r="AD468" s="200">
        <f t="shared" si="715"/>
        <v>1</v>
      </c>
      <c r="AE468" s="199">
        <f t="shared" si="6"/>
        <v>2</v>
      </c>
      <c r="AF468" s="201">
        <f t="shared" si="572"/>
        <v>0</v>
      </c>
      <c r="AG468" s="201">
        <f t="shared" si="8"/>
        <v>0</v>
      </c>
      <c r="AH468" s="202">
        <f t="shared" si="698"/>
        <v>0</v>
      </c>
      <c r="AI468" s="205"/>
      <c r="AJ468" s="173"/>
      <c r="AK468" s="173"/>
      <c r="AL468" s="173"/>
      <c r="AM468" s="173"/>
      <c r="AN468" s="173"/>
      <c r="AO468" s="173"/>
      <c r="AP468" s="173"/>
      <c r="AQ468" s="173"/>
      <c r="AR468" s="173"/>
      <c r="AS468" s="173"/>
      <c r="AT468" s="173"/>
      <c r="AU468" s="173"/>
      <c r="AV468" s="173"/>
    </row>
    <row r="469" spans="1:48" ht="14.25">
      <c r="A469" s="240"/>
      <c r="B469" s="406">
        <v>5</v>
      </c>
      <c r="C469" s="407" t="s">
        <v>1085</v>
      </c>
      <c r="D469" s="408" t="s">
        <v>69</v>
      </c>
      <c r="E469" s="408" t="s">
        <v>80</v>
      </c>
      <c r="F469" s="408" t="s">
        <v>16</v>
      </c>
      <c r="G469" s="409">
        <v>2</v>
      </c>
      <c r="H469" s="409">
        <v>0</v>
      </c>
      <c r="I469" s="411">
        <v>1</v>
      </c>
      <c r="J469" s="411">
        <v>1</v>
      </c>
      <c r="K469" s="412" t="s">
        <v>182</v>
      </c>
      <c r="L469" s="412"/>
      <c r="M469" s="412">
        <v>2</v>
      </c>
      <c r="N469" s="412">
        <v>5</v>
      </c>
      <c r="O469" s="416" t="s">
        <v>1086</v>
      </c>
      <c r="P469" s="417" t="s">
        <v>184</v>
      </c>
      <c r="Q469" s="408" t="s">
        <v>979</v>
      </c>
      <c r="R469" s="173"/>
      <c r="S469" s="195">
        <f>MATCH($D469,Reference!$J$5:$J$9,0)</f>
        <v>4</v>
      </c>
      <c r="T469" s="195">
        <f>MATCH($E469,Reference!$J$26:$J$32,0)</f>
        <v>5</v>
      </c>
      <c r="U469" s="195">
        <f>MATCH($F469,Reference!$J$45:$J$54,0)</f>
        <v>4</v>
      </c>
      <c r="V469" s="196">
        <f>MATCH($K469,Reference!$J$37:$J$39,0)</f>
        <v>3</v>
      </c>
      <c r="W469" s="197">
        <f t="shared" si="568"/>
        <v>2</v>
      </c>
      <c r="X469" s="197">
        <f t="shared" si="1"/>
        <v>1</v>
      </c>
      <c r="Y469" s="197">
        <f t="shared" si="696"/>
        <v>0</v>
      </c>
      <c r="Z469" s="197">
        <f t="shared" si="570"/>
        <v>2</v>
      </c>
      <c r="AA469" s="199" t="b">
        <f t="shared" si="3"/>
        <v>0</v>
      </c>
      <c r="AB469" s="199" t="b">
        <f t="shared" si="4"/>
        <v>0</v>
      </c>
      <c r="AC469" s="200">
        <f t="shared" ref="AC469:AD469" si="716">1-I469</f>
        <v>0</v>
      </c>
      <c r="AD469" s="200">
        <f t="shared" si="716"/>
        <v>0</v>
      </c>
      <c r="AE469" s="199">
        <f t="shared" si="6"/>
        <v>2</v>
      </c>
      <c r="AF469" s="201">
        <f t="shared" si="572"/>
        <v>0</v>
      </c>
      <c r="AG469" s="201">
        <f t="shared" si="8"/>
        <v>1</v>
      </c>
      <c r="AH469" s="202">
        <f t="shared" si="698"/>
        <v>0</v>
      </c>
      <c r="AI469" s="205"/>
      <c r="AJ469" s="173"/>
      <c r="AK469" s="173"/>
      <c r="AL469" s="173"/>
      <c r="AM469" s="173"/>
      <c r="AN469" s="173"/>
      <c r="AO469" s="173"/>
      <c r="AP469" s="173"/>
      <c r="AQ469" s="173"/>
      <c r="AR469" s="173"/>
      <c r="AS469" s="173"/>
      <c r="AT469" s="173"/>
      <c r="AU469" s="173"/>
      <c r="AV469" s="173"/>
    </row>
    <row r="470" spans="1:48" ht="14.25">
      <c r="A470" s="240"/>
      <c r="B470" s="406">
        <v>6</v>
      </c>
      <c r="C470" s="407" t="s">
        <v>1087</v>
      </c>
      <c r="D470" s="408" t="s">
        <v>69</v>
      </c>
      <c r="E470" s="408" t="s">
        <v>80</v>
      </c>
      <c r="F470" s="408" t="s">
        <v>25</v>
      </c>
      <c r="G470" s="409">
        <v>1</v>
      </c>
      <c r="H470" s="409">
        <v>0</v>
      </c>
      <c r="I470" s="411">
        <v>0</v>
      </c>
      <c r="J470" s="411">
        <v>0</v>
      </c>
      <c r="K470" s="412" t="s">
        <v>182</v>
      </c>
      <c r="L470" s="412" t="s">
        <v>602</v>
      </c>
      <c r="M470" s="412">
        <v>9</v>
      </c>
      <c r="N470" s="412">
        <v>9</v>
      </c>
      <c r="O470" s="416" t="s">
        <v>1088</v>
      </c>
      <c r="P470" s="350"/>
      <c r="Q470" s="408" t="s">
        <v>979</v>
      </c>
      <c r="R470" s="173"/>
      <c r="S470" s="195">
        <f>MATCH($D470,Reference!$J$5:$J$9,0)</f>
        <v>4</v>
      </c>
      <c r="T470" s="195">
        <f>MATCH($E470,Reference!$J$26:$J$32,0)</f>
        <v>5</v>
      </c>
      <c r="U470" s="195">
        <f>MATCH($F470,Reference!$J$45:$J$54,0)</f>
        <v>8</v>
      </c>
      <c r="V470" s="196">
        <f>MATCH($K470,Reference!$J$37:$J$39,0)</f>
        <v>3</v>
      </c>
      <c r="W470" s="197">
        <f t="shared" si="568"/>
        <v>1</v>
      </c>
      <c r="X470" s="197">
        <f t="shared" si="1"/>
        <v>1</v>
      </c>
      <c r="Y470" s="197">
        <f t="shared" si="696"/>
        <v>0</v>
      </c>
      <c r="Z470" s="197">
        <f t="shared" si="570"/>
        <v>1</v>
      </c>
      <c r="AA470" s="199" t="b">
        <f t="shared" si="3"/>
        <v>0</v>
      </c>
      <c r="AB470" s="199" t="b">
        <f t="shared" si="4"/>
        <v>1</v>
      </c>
      <c r="AC470" s="200">
        <f t="shared" ref="AC470:AD470" si="717">1-I470</f>
        <v>1</v>
      </c>
      <c r="AD470" s="200">
        <f t="shared" si="717"/>
        <v>1</v>
      </c>
      <c r="AE470" s="199">
        <f t="shared" si="6"/>
        <v>2</v>
      </c>
      <c r="AF470" s="201">
        <f t="shared" si="572"/>
        <v>0</v>
      </c>
      <c r="AG470" s="201">
        <f t="shared" si="8"/>
        <v>1</v>
      </c>
      <c r="AH470" s="202">
        <f t="shared" si="698"/>
        <v>0</v>
      </c>
      <c r="AI470" s="205"/>
      <c r="AJ470" s="173"/>
      <c r="AK470" s="173"/>
      <c r="AL470" s="173"/>
      <c r="AM470" s="173"/>
      <c r="AN470" s="173"/>
      <c r="AO470" s="173"/>
      <c r="AP470" s="173"/>
      <c r="AQ470" s="173"/>
      <c r="AR470" s="173"/>
      <c r="AS470" s="173"/>
      <c r="AT470" s="173"/>
      <c r="AU470" s="173"/>
      <c r="AV470" s="173"/>
    </row>
    <row r="471" spans="1:48" ht="14.25">
      <c r="A471" s="209"/>
      <c r="B471" s="406">
        <v>6</v>
      </c>
      <c r="C471" s="418" t="s">
        <v>1089</v>
      </c>
      <c r="D471" s="408" t="s">
        <v>69</v>
      </c>
      <c r="E471" s="408" t="s">
        <v>80</v>
      </c>
      <c r="F471" s="408" t="s">
        <v>8</v>
      </c>
      <c r="G471" s="409">
        <v>1</v>
      </c>
      <c r="H471" s="409">
        <v>0</v>
      </c>
      <c r="I471" s="411">
        <v>0.66</v>
      </c>
      <c r="J471" s="411">
        <v>0.66</v>
      </c>
      <c r="K471" s="412" t="s">
        <v>146</v>
      </c>
      <c r="L471" s="412"/>
      <c r="M471" s="412"/>
      <c r="N471" s="412"/>
      <c r="O471" s="416" t="s">
        <v>1090</v>
      </c>
      <c r="P471" s="350"/>
      <c r="Q471" s="408" t="s">
        <v>979</v>
      </c>
      <c r="R471" s="173"/>
      <c r="S471" s="195">
        <f>MATCH($D471,Reference!$J$5:$J$9,0)</f>
        <v>4</v>
      </c>
      <c r="T471" s="195">
        <f>MATCH($E471,Reference!$J$26:$J$32,0)</f>
        <v>5</v>
      </c>
      <c r="U471" s="195">
        <f>MATCH($F471,Reference!$J$45:$J$54,0)</f>
        <v>1</v>
      </c>
      <c r="V471" s="196">
        <f>MATCH($K471,Reference!$J$37:$J$39,0)</f>
        <v>2</v>
      </c>
      <c r="W471" s="197">
        <f t="shared" si="568"/>
        <v>1</v>
      </c>
      <c r="X471" s="197">
        <f t="shared" si="1"/>
        <v>1</v>
      </c>
      <c r="Y471" s="197">
        <f t="shared" si="696"/>
        <v>0</v>
      </c>
      <c r="Z471" s="197">
        <f t="shared" si="570"/>
        <v>1</v>
      </c>
      <c r="AA471" s="199" t="b">
        <f t="shared" si="3"/>
        <v>0</v>
      </c>
      <c r="AB471" s="199" t="b">
        <f t="shared" si="4"/>
        <v>1</v>
      </c>
      <c r="AC471" s="200">
        <f t="shared" ref="AC471:AD471" si="718">1-I471</f>
        <v>0.33999999999999997</v>
      </c>
      <c r="AD471" s="200">
        <f t="shared" si="718"/>
        <v>0.33999999999999997</v>
      </c>
      <c r="AE471" s="199">
        <f t="shared" si="6"/>
        <v>1.3399999999999999</v>
      </c>
      <c r="AF471" s="201">
        <f t="shared" si="572"/>
        <v>0</v>
      </c>
      <c r="AG471" s="201">
        <f t="shared" si="8"/>
        <v>1</v>
      </c>
      <c r="AH471" s="202">
        <f t="shared" si="698"/>
        <v>0</v>
      </c>
      <c r="AI471" s="205"/>
      <c r="AJ471" s="173"/>
      <c r="AK471" s="173"/>
      <c r="AL471" s="173"/>
      <c r="AM471" s="173"/>
      <c r="AN471" s="173"/>
      <c r="AO471" s="173"/>
      <c r="AP471" s="173"/>
      <c r="AQ471" s="173"/>
      <c r="AR471" s="173"/>
      <c r="AS471" s="173"/>
      <c r="AT471" s="173"/>
      <c r="AU471" s="173"/>
      <c r="AV471" s="173"/>
    </row>
    <row r="472" spans="1:48" ht="14.25">
      <c r="A472" s="209"/>
      <c r="B472" s="406">
        <v>6</v>
      </c>
      <c r="C472" s="407" t="s">
        <v>1091</v>
      </c>
      <c r="D472" s="408" t="s">
        <v>69</v>
      </c>
      <c r="E472" s="408" t="s">
        <v>80</v>
      </c>
      <c r="F472" s="408" t="s">
        <v>18</v>
      </c>
      <c r="G472" s="410">
        <v>2</v>
      </c>
      <c r="H472" s="409">
        <v>0</v>
      </c>
      <c r="I472" s="411">
        <v>1</v>
      </c>
      <c r="J472" s="411">
        <v>0.66</v>
      </c>
      <c r="K472" s="412" t="s">
        <v>146</v>
      </c>
      <c r="L472" s="412"/>
      <c r="M472" s="412"/>
      <c r="N472" s="412"/>
      <c r="O472" s="416" t="s">
        <v>1092</v>
      </c>
      <c r="P472" s="350"/>
      <c r="Q472" s="408" t="s">
        <v>979</v>
      </c>
      <c r="R472" s="173"/>
      <c r="S472" s="195">
        <f>MATCH($D472,Reference!$J$5:$J$9,0)</f>
        <v>4</v>
      </c>
      <c r="T472" s="195">
        <f>MATCH($E472,Reference!$J$26:$J$32,0)</f>
        <v>5</v>
      </c>
      <c r="U472" s="195">
        <f>MATCH($F472,Reference!$J$45:$J$54,0)</f>
        <v>5</v>
      </c>
      <c r="V472" s="196">
        <f>MATCH($K472,Reference!$J$37:$J$39,0)</f>
        <v>2</v>
      </c>
      <c r="W472" s="197">
        <f t="shared" si="568"/>
        <v>2</v>
      </c>
      <c r="X472" s="197">
        <f t="shared" si="1"/>
        <v>1</v>
      </c>
      <c r="Y472" s="197">
        <f t="shared" si="696"/>
        <v>0</v>
      </c>
      <c r="Z472" s="197">
        <f t="shared" si="570"/>
        <v>2</v>
      </c>
      <c r="AA472" s="199" t="b">
        <f t="shared" si="3"/>
        <v>0</v>
      </c>
      <c r="AB472" s="199" t="b">
        <f t="shared" si="4"/>
        <v>0</v>
      </c>
      <c r="AC472" s="200">
        <f t="shared" ref="AC472:AD472" si="719">1-I472</f>
        <v>0</v>
      </c>
      <c r="AD472" s="200">
        <f t="shared" si="719"/>
        <v>0.33999999999999997</v>
      </c>
      <c r="AE472" s="199">
        <f t="shared" si="6"/>
        <v>2</v>
      </c>
      <c r="AF472" s="201">
        <f t="shared" si="572"/>
        <v>0</v>
      </c>
      <c r="AG472" s="201">
        <f t="shared" si="8"/>
        <v>1</v>
      </c>
      <c r="AH472" s="202">
        <f t="shared" si="698"/>
        <v>0</v>
      </c>
      <c r="AI472" s="205"/>
      <c r="AJ472" s="173"/>
      <c r="AK472" s="173"/>
      <c r="AL472" s="173"/>
      <c r="AM472" s="173"/>
      <c r="AN472" s="173"/>
      <c r="AO472" s="173"/>
      <c r="AP472" s="173"/>
      <c r="AQ472" s="173"/>
      <c r="AR472" s="173"/>
      <c r="AS472" s="173"/>
      <c r="AT472" s="173"/>
      <c r="AU472" s="173"/>
      <c r="AV472" s="173"/>
    </row>
    <row r="473" spans="1:48" ht="14.25">
      <c r="A473" s="206"/>
      <c r="B473" s="406">
        <v>6</v>
      </c>
      <c r="C473" s="407" t="s">
        <v>1093</v>
      </c>
      <c r="D473" s="408" t="s">
        <v>69</v>
      </c>
      <c r="E473" s="408" t="s">
        <v>80</v>
      </c>
      <c r="F473" s="408" t="s">
        <v>115</v>
      </c>
      <c r="G473" s="409">
        <v>1</v>
      </c>
      <c r="H473" s="409">
        <v>0</v>
      </c>
      <c r="I473" s="411">
        <v>1</v>
      </c>
      <c r="J473" s="411">
        <v>1</v>
      </c>
      <c r="K473" s="412" t="s">
        <v>182</v>
      </c>
      <c r="L473" s="412" t="s">
        <v>602</v>
      </c>
      <c r="M473" s="412">
        <v>6</v>
      </c>
      <c r="N473" s="412">
        <v>4</v>
      </c>
      <c r="O473" s="416" t="s">
        <v>1094</v>
      </c>
      <c r="P473" s="417" t="s">
        <v>454</v>
      </c>
      <c r="Q473" s="408" t="s">
        <v>979</v>
      </c>
      <c r="R473" s="173"/>
      <c r="S473" s="195">
        <f>MATCH($D473,Reference!$J$5:$J$9,0)</f>
        <v>4</v>
      </c>
      <c r="T473" s="195">
        <f>MATCH($E473,Reference!$J$26:$J$32,0)</f>
        <v>5</v>
      </c>
      <c r="U473" s="195">
        <f>MATCH($F473,Reference!$J$45:$J$54,0)</f>
        <v>10</v>
      </c>
      <c r="V473" s="196">
        <f>MATCH($K473,Reference!$J$37:$J$39,0)</f>
        <v>3</v>
      </c>
      <c r="W473" s="197">
        <f t="shared" si="568"/>
        <v>1</v>
      </c>
      <c r="X473" s="197">
        <f t="shared" si="1"/>
        <v>1</v>
      </c>
      <c r="Y473" s="197">
        <f t="shared" si="696"/>
        <v>0</v>
      </c>
      <c r="Z473" s="197">
        <f t="shared" si="570"/>
        <v>1</v>
      </c>
      <c r="AA473" s="199" t="b">
        <f t="shared" si="3"/>
        <v>0</v>
      </c>
      <c r="AB473" s="199" t="b">
        <f t="shared" si="4"/>
        <v>1</v>
      </c>
      <c r="AC473" s="200">
        <f t="shared" ref="AC473:AD473" si="720">1-I473</f>
        <v>0</v>
      </c>
      <c r="AD473" s="200">
        <f t="shared" si="720"/>
        <v>0</v>
      </c>
      <c r="AE473" s="199">
        <f t="shared" si="6"/>
        <v>1</v>
      </c>
      <c r="AF473" s="201">
        <f t="shared" si="572"/>
        <v>0</v>
      </c>
      <c r="AG473" s="201">
        <f t="shared" si="8"/>
        <v>1</v>
      </c>
      <c r="AH473" s="202">
        <f t="shared" si="698"/>
        <v>0</v>
      </c>
      <c r="AI473" s="205"/>
      <c r="AJ473" s="173"/>
      <c r="AK473" s="173"/>
      <c r="AL473" s="173"/>
      <c r="AM473" s="173"/>
      <c r="AN473" s="173"/>
      <c r="AO473" s="173"/>
      <c r="AP473" s="173"/>
      <c r="AQ473" s="173"/>
      <c r="AR473" s="173"/>
      <c r="AS473" s="173"/>
      <c r="AT473" s="173"/>
      <c r="AU473" s="173"/>
      <c r="AV473" s="173"/>
    </row>
    <row r="474" spans="1:48" ht="14.25">
      <c r="A474" s="187"/>
      <c r="B474" s="406">
        <v>7</v>
      </c>
      <c r="C474" s="407" t="s">
        <v>1095</v>
      </c>
      <c r="D474" s="408" t="s">
        <v>69</v>
      </c>
      <c r="E474" s="408" t="s">
        <v>80</v>
      </c>
      <c r="F474" s="408" t="s">
        <v>26</v>
      </c>
      <c r="G474" s="409">
        <v>2</v>
      </c>
      <c r="H474" s="409">
        <v>0</v>
      </c>
      <c r="I474" s="411">
        <v>0.33</v>
      </c>
      <c r="J474" s="411">
        <v>0.33</v>
      </c>
      <c r="K474" s="412" t="s">
        <v>146</v>
      </c>
      <c r="L474" s="412"/>
      <c r="M474" s="412"/>
      <c r="N474" s="412"/>
      <c r="O474" s="416" t="s">
        <v>1096</v>
      </c>
      <c r="P474" s="350"/>
      <c r="Q474" s="408" t="s">
        <v>979</v>
      </c>
      <c r="R474" s="173"/>
      <c r="S474" s="195">
        <f>MATCH($D474,Reference!$J$5:$J$9,0)</f>
        <v>4</v>
      </c>
      <c r="T474" s="195">
        <f>MATCH($E474,Reference!$J$26:$J$32,0)</f>
        <v>5</v>
      </c>
      <c r="U474" s="195">
        <f>MATCH($F474,Reference!$J$45:$J$54,0)</f>
        <v>9</v>
      </c>
      <c r="V474" s="196">
        <f>MATCH($K474,Reference!$J$37:$J$39,0)</f>
        <v>2</v>
      </c>
      <c r="W474" s="197">
        <f t="shared" si="568"/>
        <v>2</v>
      </c>
      <c r="X474" s="197">
        <f t="shared" si="1"/>
        <v>1</v>
      </c>
      <c r="Y474" s="197">
        <f t="shared" si="696"/>
        <v>0</v>
      </c>
      <c r="Z474" s="197">
        <f t="shared" si="570"/>
        <v>2</v>
      </c>
      <c r="AA474" s="199" t="b">
        <f t="shared" si="3"/>
        <v>0</v>
      </c>
      <c r="AB474" s="199" t="b">
        <f t="shared" si="4"/>
        <v>0</v>
      </c>
      <c r="AC474" s="200">
        <f t="shared" ref="AC474:AD474" si="721">1-I474</f>
        <v>0.66999999999999993</v>
      </c>
      <c r="AD474" s="200">
        <f t="shared" si="721"/>
        <v>0.66999999999999993</v>
      </c>
      <c r="AE474" s="199">
        <f t="shared" si="6"/>
        <v>2</v>
      </c>
      <c r="AF474" s="201">
        <f t="shared" si="572"/>
        <v>0</v>
      </c>
      <c r="AG474" s="201">
        <f t="shared" si="8"/>
        <v>1</v>
      </c>
      <c r="AH474" s="202">
        <f t="shared" si="698"/>
        <v>0</v>
      </c>
      <c r="AI474" s="205"/>
      <c r="AJ474" s="173"/>
      <c r="AK474" s="173"/>
      <c r="AL474" s="173"/>
      <c r="AM474" s="173"/>
      <c r="AN474" s="173"/>
      <c r="AO474" s="173"/>
      <c r="AP474" s="173"/>
      <c r="AQ474" s="173"/>
      <c r="AR474" s="173"/>
      <c r="AS474" s="173"/>
      <c r="AT474" s="173"/>
      <c r="AU474" s="173"/>
      <c r="AV474" s="173"/>
    </row>
    <row r="475" spans="1:48" ht="14.25">
      <c r="A475" s="187"/>
      <c r="B475" s="406">
        <v>9</v>
      </c>
      <c r="C475" s="407" t="s">
        <v>1097</v>
      </c>
      <c r="D475" s="408" t="s">
        <v>69</v>
      </c>
      <c r="E475" s="408" t="s">
        <v>80</v>
      </c>
      <c r="F475" s="408" t="s">
        <v>8</v>
      </c>
      <c r="G475" s="409">
        <v>1</v>
      </c>
      <c r="H475" s="409">
        <v>0</v>
      </c>
      <c r="I475" s="411">
        <v>0.33</v>
      </c>
      <c r="J475" s="411">
        <v>0</v>
      </c>
      <c r="K475" s="412" t="s">
        <v>146</v>
      </c>
      <c r="L475" s="412"/>
      <c r="M475" s="412"/>
      <c r="N475" s="412"/>
      <c r="O475" s="416" t="s">
        <v>1098</v>
      </c>
      <c r="P475" s="350"/>
      <c r="Q475" s="408" t="s">
        <v>979</v>
      </c>
      <c r="R475" s="173"/>
      <c r="S475" s="195">
        <f>MATCH($D475,Reference!$J$5:$J$9,0)</f>
        <v>4</v>
      </c>
      <c r="T475" s="195">
        <f>MATCH($E475,Reference!$J$26:$J$32,0)</f>
        <v>5</v>
      </c>
      <c r="U475" s="195">
        <f>MATCH($F475,Reference!$J$45:$J$54,0)</f>
        <v>1</v>
      </c>
      <c r="V475" s="196">
        <f>MATCH($K475,Reference!$J$37:$J$39,0)</f>
        <v>2</v>
      </c>
      <c r="W475" s="197">
        <f t="shared" si="568"/>
        <v>1</v>
      </c>
      <c r="X475" s="197">
        <f t="shared" si="1"/>
        <v>1</v>
      </c>
      <c r="Y475" s="197">
        <f t="shared" si="696"/>
        <v>0</v>
      </c>
      <c r="Z475" s="197">
        <f t="shared" si="570"/>
        <v>1</v>
      </c>
      <c r="AA475" s="199" t="b">
        <f t="shared" si="3"/>
        <v>0</v>
      </c>
      <c r="AB475" s="199" t="b">
        <f t="shared" si="4"/>
        <v>1</v>
      </c>
      <c r="AC475" s="200">
        <f t="shared" ref="AC475:AD475" si="722">1-I475</f>
        <v>0.66999999999999993</v>
      </c>
      <c r="AD475" s="200">
        <f t="shared" si="722"/>
        <v>1</v>
      </c>
      <c r="AE475" s="199">
        <f t="shared" si="6"/>
        <v>2</v>
      </c>
      <c r="AF475" s="201">
        <f t="shared" si="572"/>
        <v>0</v>
      </c>
      <c r="AG475" s="201">
        <f t="shared" si="8"/>
        <v>1</v>
      </c>
      <c r="AH475" s="202">
        <f t="shared" si="698"/>
        <v>0</v>
      </c>
      <c r="AI475" s="205"/>
      <c r="AJ475" s="173"/>
      <c r="AK475" s="173"/>
      <c r="AL475" s="173"/>
      <c r="AM475" s="173"/>
      <c r="AN475" s="173"/>
      <c r="AO475" s="173"/>
      <c r="AP475" s="173"/>
      <c r="AQ475" s="173"/>
      <c r="AR475" s="173"/>
      <c r="AS475" s="173"/>
      <c r="AT475" s="173"/>
      <c r="AU475" s="173"/>
      <c r="AV475" s="173"/>
    </row>
    <row r="476" spans="1:48" ht="14.25">
      <c r="A476" s="240"/>
      <c r="B476" s="406">
        <v>12</v>
      </c>
      <c r="C476" s="407" t="s">
        <v>1099</v>
      </c>
      <c r="D476" s="408" t="s">
        <v>69</v>
      </c>
      <c r="E476" s="408" t="s">
        <v>80</v>
      </c>
      <c r="F476" s="408" t="s">
        <v>115</v>
      </c>
      <c r="G476" s="409">
        <v>0</v>
      </c>
      <c r="H476" s="409">
        <v>0</v>
      </c>
      <c r="I476" s="411">
        <v>0.33</v>
      </c>
      <c r="J476" s="411">
        <v>0.33</v>
      </c>
      <c r="K476" s="412" t="s">
        <v>182</v>
      </c>
      <c r="L476" s="412" t="s">
        <v>602</v>
      </c>
      <c r="M476" s="412">
        <v>8</v>
      </c>
      <c r="N476" s="412">
        <v>8</v>
      </c>
      <c r="O476" s="416" t="s">
        <v>1100</v>
      </c>
      <c r="P476" s="350"/>
      <c r="Q476" s="408" t="s">
        <v>979</v>
      </c>
      <c r="R476" s="173"/>
      <c r="S476" s="195">
        <f>MATCH($D476,Reference!$J$5:$J$9,0)</f>
        <v>4</v>
      </c>
      <c r="T476" s="195">
        <f>MATCH($E476,Reference!$J$26:$J$32,0)</f>
        <v>5</v>
      </c>
      <c r="U476" s="195">
        <f>MATCH($F476,Reference!$J$45:$J$54,0)</f>
        <v>10</v>
      </c>
      <c r="V476" s="196">
        <f>MATCH($K476,Reference!$J$37:$J$39,0)</f>
        <v>3</v>
      </c>
      <c r="W476" s="197">
        <f t="shared" si="568"/>
        <v>0</v>
      </c>
      <c r="X476" s="197">
        <f t="shared" si="1"/>
        <v>0</v>
      </c>
      <c r="Y476" s="197">
        <f t="shared" si="696"/>
        <v>0</v>
      </c>
      <c r="Z476" s="197">
        <f t="shared" si="570"/>
        <v>0</v>
      </c>
      <c r="AA476" s="199" t="b">
        <f t="shared" si="3"/>
        <v>1</v>
      </c>
      <c r="AB476" s="199" t="b">
        <f t="shared" si="4"/>
        <v>1</v>
      </c>
      <c r="AC476" s="200">
        <f t="shared" ref="AC476:AD476" si="723">1-I476</f>
        <v>0.66999999999999993</v>
      </c>
      <c r="AD476" s="200">
        <f t="shared" si="723"/>
        <v>0.66999999999999993</v>
      </c>
      <c r="AE476" s="199">
        <f t="shared" si="6"/>
        <v>1.3399999999999999</v>
      </c>
      <c r="AF476" s="201">
        <f t="shared" si="572"/>
        <v>0</v>
      </c>
      <c r="AG476" s="201">
        <f t="shared" si="8"/>
        <v>0</v>
      </c>
      <c r="AH476" s="202">
        <f t="shared" si="698"/>
        <v>0</v>
      </c>
      <c r="AI476" s="205"/>
      <c r="AJ476" s="173"/>
      <c r="AK476" s="173"/>
      <c r="AL476" s="173"/>
      <c r="AM476" s="173"/>
      <c r="AN476" s="173"/>
      <c r="AO476" s="173"/>
      <c r="AP476" s="173"/>
      <c r="AQ476" s="173"/>
      <c r="AR476" s="173"/>
      <c r="AS476" s="173"/>
      <c r="AT476" s="173"/>
      <c r="AU476" s="173"/>
      <c r="AV476" s="173"/>
    </row>
    <row r="477" spans="1:48" ht="14.25">
      <c r="A477" s="211"/>
      <c r="B477" s="423">
        <v>5</v>
      </c>
      <c r="C477" s="424" t="s">
        <v>1101</v>
      </c>
      <c r="D477" s="425" t="s">
        <v>70</v>
      </c>
      <c r="E477" s="425" t="s">
        <v>80</v>
      </c>
      <c r="F477" s="425" t="s">
        <v>115</v>
      </c>
      <c r="G477" s="426">
        <v>0</v>
      </c>
      <c r="H477" s="426">
        <v>0</v>
      </c>
      <c r="I477" s="427">
        <v>0.33</v>
      </c>
      <c r="J477" s="299"/>
      <c r="K477" s="428" t="s">
        <v>182</v>
      </c>
      <c r="L477" s="428" t="s">
        <v>602</v>
      </c>
      <c r="M477" s="428">
        <v>3</v>
      </c>
      <c r="N477" s="428">
        <v>4</v>
      </c>
      <c r="O477" s="429" t="s">
        <v>1102</v>
      </c>
      <c r="P477" s="430" t="s">
        <v>275</v>
      </c>
      <c r="Q477" s="425" t="s">
        <v>979</v>
      </c>
      <c r="R477" s="173"/>
      <c r="S477" s="195">
        <f>MATCH($D477,Reference!$J$5:$J$9,0)</f>
        <v>5</v>
      </c>
      <c r="T477" s="195">
        <f>MATCH($E477,Reference!$J$26:$J$32,0)</f>
        <v>5</v>
      </c>
      <c r="U477" s="195">
        <f>MATCH($F477,Reference!$J$45:$J$54,0)</f>
        <v>10</v>
      </c>
      <c r="V477" s="196">
        <f>MATCH($K477,Reference!$J$37:$J$39,0)</f>
        <v>3</v>
      </c>
      <c r="W477" s="197">
        <f t="shared" ref="W477:W496" si="724">MIN((G477+H477),1)</f>
        <v>0</v>
      </c>
      <c r="X477" s="197">
        <f t="shared" si="1"/>
        <v>0</v>
      </c>
      <c r="Y477" s="197">
        <f t="shared" ref="Y477:Y496" si="725">(MIN(G477,1)+H477-W477)*1600</f>
        <v>0</v>
      </c>
      <c r="Z477" s="197">
        <f t="shared" ref="Z477:Z496" si="726">MIN((G477+H477+1),2)</f>
        <v>1</v>
      </c>
      <c r="AA477" s="199" t="b">
        <f t="shared" si="3"/>
        <v>1</v>
      </c>
      <c r="AB477" s="199" t="b">
        <f t="shared" si="4"/>
        <v>0</v>
      </c>
      <c r="AC477" s="200">
        <f t="shared" ref="AC477:AD477" si="727">1-I477</f>
        <v>0.66999999999999993</v>
      </c>
      <c r="AD477" s="200">
        <f t="shared" si="727"/>
        <v>1</v>
      </c>
      <c r="AE477" s="199">
        <f t="shared" si="6"/>
        <v>0.66999999999999993</v>
      </c>
      <c r="AF477" s="201">
        <f t="shared" ref="AF477:AF496" si="728">MIN((H477),1)</f>
        <v>0</v>
      </c>
      <c r="AG477" s="201">
        <f t="shared" si="8"/>
        <v>0</v>
      </c>
      <c r="AH477" s="202">
        <f t="shared" ref="AH477:AH496" si="729">(MIN(H477,2)+G477-W477)*400</f>
        <v>0</v>
      </c>
      <c r="AI477" s="205"/>
      <c r="AJ477" s="173"/>
      <c r="AK477" s="173"/>
      <c r="AL477" s="173"/>
      <c r="AM477" s="173"/>
      <c r="AN477" s="173"/>
      <c r="AO477" s="173"/>
      <c r="AP477" s="173"/>
      <c r="AQ477" s="173"/>
      <c r="AR477" s="173"/>
      <c r="AS477" s="173"/>
      <c r="AT477" s="173"/>
      <c r="AU477" s="173"/>
      <c r="AV477" s="173"/>
    </row>
    <row r="478" spans="1:48" ht="14.25">
      <c r="A478" s="240"/>
      <c r="B478" s="423">
        <v>5</v>
      </c>
      <c r="C478" s="424" t="s">
        <v>1103</v>
      </c>
      <c r="D478" s="425" t="s">
        <v>70</v>
      </c>
      <c r="E478" s="425" t="s">
        <v>80</v>
      </c>
      <c r="F478" s="425" t="s">
        <v>16</v>
      </c>
      <c r="G478" s="426">
        <v>0</v>
      </c>
      <c r="H478" s="426">
        <v>0</v>
      </c>
      <c r="I478" s="427">
        <v>0</v>
      </c>
      <c r="J478" s="299"/>
      <c r="K478" s="428" t="s">
        <v>182</v>
      </c>
      <c r="L478" s="428"/>
      <c r="M478" s="428">
        <v>1</v>
      </c>
      <c r="N478" s="428">
        <v>7</v>
      </c>
      <c r="O478" s="429" t="s">
        <v>1104</v>
      </c>
      <c r="P478" s="301"/>
      <c r="Q478" s="425" t="s">
        <v>979</v>
      </c>
      <c r="R478" s="173"/>
      <c r="S478" s="195">
        <f>MATCH($D478,Reference!$J$5:$J$9,0)</f>
        <v>5</v>
      </c>
      <c r="T478" s="195">
        <f>MATCH($E478,Reference!$J$26:$J$32,0)</f>
        <v>5</v>
      </c>
      <c r="U478" s="195">
        <f>MATCH($F478,Reference!$J$45:$J$54,0)</f>
        <v>4</v>
      </c>
      <c r="V478" s="196">
        <f>MATCH($K478,Reference!$J$37:$J$39,0)</f>
        <v>3</v>
      </c>
      <c r="W478" s="197">
        <f t="shared" si="724"/>
        <v>0</v>
      </c>
      <c r="X478" s="197">
        <f t="shared" si="1"/>
        <v>0</v>
      </c>
      <c r="Y478" s="197">
        <f t="shared" si="725"/>
        <v>0</v>
      </c>
      <c r="Z478" s="197">
        <f t="shared" si="726"/>
        <v>1</v>
      </c>
      <c r="AA478" s="199" t="b">
        <f t="shared" si="3"/>
        <v>1</v>
      </c>
      <c r="AB478" s="199" t="b">
        <f t="shared" si="4"/>
        <v>0</v>
      </c>
      <c r="AC478" s="200">
        <f t="shared" ref="AC478:AD478" si="730">1-I478</f>
        <v>1</v>
      </c>
      <c r="AD478" s="200">
        <f t="shared" si="730"/>
        <v>1</v>
      </c>
      <c r="AE478" s="199">
        <f t="shared" si="6"/>
        <v>1</v>
      </c>
      <c r="AF478" s="201">
        <f t="shared" si="728"/>
        <v>0</v>
      </c>
      <c r="AG478" s="201">
        <f t="shared" si="8"/>
        <v>0</v>
      </c>
      <c r="AH478" s="202">
        <f t="shared" si="729"/>
        <v>0</v>
      </c>
      <c r="AI478" s="205"/>
      <c r="AJ478" s="173"/>
      <c r="AK478" s="173"/>
      <c r="AL478" s="173"/>
      <c r="AM478" s="173"/>
      <c r="AN478" s="173"/>
      <c r="AO478" s="173"/>
      <c r="AP478" s="173"/>
      <c r="AQ478" s="173"/>
      <c r="AR478" s="173"/>
      <c r="AS478" s="173"/>
      <c r="AT478" s="173"/>
      <c r="AU478" s="173"/>
      <c r="AV478" s="173"/>
    </row>
    <row r="479" spans="1:48" ht="14.25">
      <c r="A479" s="187"/>
      <c r="B479" s="423">
        <v>5</v>
      </c>
      <c r="C479" s="424" t="s">
        <v>1105</v>
      </c>
      <c r="D479" s="425" t="s">
        <v>70</v>
      </c>
      <c r="E479" s="425" t="s">
        <v>80</v>
      </c>
      <c r="F479" s="425" t="s">
        <v>115</v>
      </c>
      <c r="G479" s="426">
        <v>0</v>
      </c>
      <c r="H479" s="426">
        <v>0</v>
      </c>
      <c r="I479" s="427">
        <v>0</v>
      </c>
      <c r="J479" s="299"/>
      <c r="K479" s="428" t="s">
        <v>182</v>
      </c>
      <c r="L479" s="428"/>
      <c r="M479" s="428">
        <v>6</v>
      </c>
      <c r="N479" s="428">
        <v>3</v>
      </c>
      <c r="O479" s="429" t="s">
        <v>1106</v>
      </c>
      <c r="P479" s="430" t="s">
        <v>275</v>
      </c>
      <c r="Q479" s="425" t="s">
        <v>979</v>
      </c>
      <c r="R479" s="173"/>
      <c r="S479" s="195">
        <f>MATCH($D479,Reference!$J$5:$J$9,0)</f>
        <v>5</v>
      </c>
      <c r="T479" s="195">
        <f>MATCH($E479,Reference!$J$26:$J$32,0)</f>
        <v>5</v>
      </c>
      <c r="U479" s="195">
        <f>MATCH($F479,Reference!$J$45:$J$54,0)</f>
        <v>10</v>
      </c>
      <c r="V479" s="196">
        <f>MATCH($K479,Reference!$J$37:$J$39,0)</f>
        <v>3</v>
      </c>
      <c r="W479" s="197">
        <f t="shared" si="724"/>
        <v>0</v>
      </c>
      <c r="X479" s="197">
        <f t="shared" si="1"/>
        <v>0</v>
      </c>
      <c r="Y479" s="197">
        <f t="shared" si="725"/>
        <v>0</v>
      </c>
      <c r="Z479" s="197">
        <f t="shared" si="726"/>
        <v>1</v>
      </c>
      <c r="AA479" s="199" t="b">
        <f t="shared" si="3"/>
        <v>1</v>
      </c>
      <c r="AB479" s="199" t="b">
        <f t="shared" si="4"/>
        <v>0</v>
      </c>
      <c r="AC479" s="200">
        <f t="shared" ref="AC479:AD479" si="731">1-I479</f>
        <v>1</v>
      </c>
      <c r="AD479" s="200">
        <f t="shared" si="731"/>
        <v>1</v>
      </c>
      <c r="AE479" s="199">
        <f t="shared" si="6"/>
        <v>1</v>
      </c>
      <c r="AF479" s="201">
        <f t="shared" si="728"/>
        <v>0</v>
      </c>
      <c r="AG479" s="201">
        <f t="shared" si="8"/>
        <v>0</v>
      </c>
      <c r="AH479" s="202">
        <f t="shared" si="729"/>
        <v>0</v>
      </c>
      <c r="AI479" s="205"/>
      <c r="AJ479" s="173"/>
      <c r="AK479" s="173"/>
      <c r="AL479" s="173"/>
      <c r="AM479" s="173"/>
      <c r="AN479" s="173"/>
      <c r="AO479" s="173"/>
      <c r="AP479" s="173"/>
      <c r="AQ479" s="173"/>
      <c r="AR479" s="173"/>
      <c r="AS479" s="173"/>
      <c r="AT479" s="173"/>
      <c r="AU479" s="173"/>
      <c r="AV479" s="173"/>
    </row>
    <row r="480" spans="1:48" ht="14.25">
      <c r="A480" s="213"/>
      <c r="B480" s="423">
        <v>5</v>
      </c>
      <c r="C480" s="424" t="s">
        <v>1107</v>
      </c>
      <c r="D480" s="425" t="s">
        <v>70</v>
      </c>
      <c r="E480" s="425" t="s">
        <v>80</v>
      </c>
      <c r="F480" s="425" t="s">
        <v>115</v>
      </c>
      <c r="G480" s="426">
        <v>0</v>
      </c>
      <c r="H480" s="426">
        <v>0</v>
      </c>
      <c r="I480" s="427">
        <v>0</v>
      </c>
      <c r="J480" s="299"/>
      <c r="K480" s="425" t="s">
        <v>182</v>
      </c>
      <c r="L480" s="425" t="s">
        <v>602</v>
      </c>
      <c r="M480" s="431">
        <v>4</v>
      </c>
      <c r="N480" s="432">
        <v>5</v>
      </c>
      <c r="O480" s="429" t="s">
        <v>1108</v>
      </c>
      <c r="P480" s="301"/>
      <c r="Q480" s="425" t="s">
        <v>979</v>
      </c>
      <c r="R480" s="173"/>
      <c r="S480" s="195">
        <f>MATCH($D480,Reference!$J$5:$J$9,0)</f>
        <v>5</v>
      </c>
      <c r="T480" s="195">
        <f>MATCH($E480,Reference!$J$26:$J$32,0)</f>
        <v>5</v>
      </c>
      <c r="U480" s="195">
        <f>MATCH($F480,Reference!$J$45:$J$54,0)</f>
        <v>10</v>
      </c>
      <c r="V480" s="196">
        <f>MATCH($K480,Reference!$J$37:$J$39,0)</f>
        <v>3</v>
      </c>
      <c r="W480" s="197">
        <f t="shared" si="724"/>
        <v>0</v>
      </c>
      <c r="X480" s="197">
        <f t="shared" si="1"/>
        <v>0</v>
      </c>
      <c r="Y480" s="197">
        <f t="shared" si="725"/>
        <v>0</v>
      </c>
      <c r="Z480" s="197">
        <f t="shared" si="726"/>
        <v>1</v>
      </c>
      <c r="AA480" s="199" t="b">
        <f t="shared" si="3"/>
        <v>1</v>
      </c>
      <c r="AB480" s="199" t="b">
        <f t="shared" si="4"/>
        <v>0</v>
      </c>
      <c r="AC480" s="200">
        <f t="shared" ref="AC480:AD480" si="732">1-I480</f>
        <v>1</v>
      </c>
      <c r="AD480" s="200">
        <f t="shared" si="732"/>
        <v>1</v>
      </c>
      <c r="AE480" s="199">
        <f t="shared" si="6"/>
        <v>1</v>
      </c>
      <c r="AF480" s="201">
        <f t="shared" si="728"/>
        <v>0</v>
      </c>
      <c r="AG480" s="201">
        <f t="shared" si="8"/>
        <v>0</v>
      </c>
      <c r="AH480" s="202">
        <f t="shared" si="729"/>
        <v>0</v>
      </c>
      <c r="AI480" s="205"/>
      <c r="AJ480" s="173"/>
      <c r="AK480" s="173"/>
      <c r="AL480" s="173"/>
      <c r="AM480" s="173"/>
      <c r="AN480" s="173"/>
      <c r="AO480" s="173"/>
      <c r="AP480" s="173"/>
      <c r="AQ480" s="173"/>
      <c r="AR480" s="173"/>
      <c r="AS480" s="173"/>
      <c r="AT480" s="173"/>
      <c r="AU480" s="173"/>
      <c r="AV480" s="173"/>
    </row>
    <row r="481" spans="1:48" ht="14.25">
      <c r="A481" s="187"/>
      <c r="B481" s="423">
        <v>5</v>
      </c>
      <c r="C481" s="424" t="s">
        <v>1109</v>
      </c>
      <c r="D481" s="425" t="s">
        <v>70</v>
      </c>
      <c r="E481" s="425" t="s">
        <v>80</v>
      </c>
      <c r="F481" s="425" t="s">
        <v>18</v>
      </c>
      <c r="G481" s="426">
        <v>1</v>
      </c>
      <c r="H481" s="426">
        <v>0</v>
      </c>
      <c r="I481" s="427">
        <v>1</v>
      </c>
      <c r="J481" s="299"/>
      <c r="K481" s="428" t="s">
        <v>182</v>
      </c>
      <c r="L481" s="428"/>
      <c r="M481" s="428">
        <v>6</v>
      </c>
      <c r="N481" s="428">
        <v>2</v>
      </c>
      <c r="O481" s="429" t="s">
        <v>1110</v>
      </c>
      <c r="P481" s="430" t="s">
        <v>184</v>
      </c>
      <c r="Q481" s="425" t="s">
        <v>979</v>
      </c>
      <c r="R481" s="173"/>
      <c r="S481" s="195">
        <f>MATCH($D481,Reference!$J$5:$J$9,0)</f>
        <v>5</v>
      </c>
      <c r="T481" s="195">
        <f>MATCH($E481,Reference!$J$26:$J$32,0)</f>
        <v>5</v>
      </c>
      <c r="U481" s="195">
        <f>MATCH($F481,Reference!$J$45:$J$54,0)</f>
        <v>5</v>
      </c>
      <c r="V481" s="196">
        <f>MATCH($K481,Reference!$J$37:$J$39,0)</f>
        <v>3</v>
      </c>
      <c r="W481" s="197">
        <f t="shared" si="724"/>
        <v>1</v>
      </c>
      <c r="X481" s="197">
        <f t="shared" si="1"/>
        <v>1</v>
      </c>
      <c r="Y481" s="197">
        <f t="shared" si="725"/>
        <v>0</v>
      </c>
      <c r="Z481" s="197">
        <f t="shared" si="726"/>
        <v>2</v>
      </c>
      <c r="AA481" s="199" t="b">
        <f t="shared" si="3"/>
        <v>0</v>
      </c>
      <c r="AB481" s="199" t="b">
        <f t="shared" si="4"/>
        <v>0</v>
      </c>
      <c r="AC481" s="200">
        <f t="shared" ref="AC481:AD481" si="733">1-I481</f>
        <v>0</v>
      </c>
      <c r="AD481" s="200">
        <f t="shared" si="733"/>
        <v>1</v>
      </c>
      <c r="AE481" s="199">
        <f t="shared" si="6"/>
        <v>1</v>
      </c>
      <c r="AF481" s="201">
        <f t="shared" si="728"/>
        <v>0</v>
      </c>
      <c r="AG481" s="201">
        <f t="shared" si="8"/>
        <v>1</v>
      </c>
      <c r="AH481" s="202">
        <f t="shared" si="729"/>
        <v>0</v>
      </c>
      <c r="AI481" s="205"/>
      <c r="AJ481" s="173"/>
      <c r="AK481" s="173"/>
      <c r="AL481" s="173"/>
      <c r="AM481" s="173"/>
      <c r="AN481" s="173"/>
      <c r="AO481" s="173"/>
      <c r="AP481" s="173"/>
      <c r="AQ481" s="173"/>
      <c r="AR481" s="173"/>
      <c r="AS481" s="173"/>
      <c r="AT481" s="173"/>
      <c r="AU481" s="173"/>
      <c r="AV481" s="173"/>
    </row>
    <row r="482" spans="1:48" ht="14.25">
      <c r="A482" s="240"/>
      <c r="B482" s="423">
        <v>6</v>
      </c>
      <c r="C482" s="424" t="s">
        <v>1111</v>
      </c>
      <c r="D482" s="425" t="s">
        <v>70</v>
      </c>
      <c r="E482" s="425" t="s">
        <v>80</v>
      </c>
      <c r="F482" s="425" t="s">
        <v>115</v>
      </c>
      <c r="G482" s="426">
        <v>1</v>
      </c>
      <c r="H482" s="426">
        <v>0</v>
      </c>
      <c r="I482" s="427">
        <v>0</v>
      </c>
      <c r="J482" s="299"/>
      <c r="K482" s="428" t="s">
        <v>182</v>
      </c>
      <c r="L482" s="428"/>
      <c r="M482" s="428">
        <v>3</v>
      </c>
      <c r="N482" s="428">
        <v>6</v>
      </c>
      <c r="O482" s="429" t="s">
        <v>1112</v>
      </c>
      <c r="P482" s="301"/>
      <c r="Q482" s="425" t="s">
        <v>979</v>
      </c>
      <c r="R482" s="173"/>
      <c r="S482" s="195">
        <f>MATCH($D482,Reference!$J$5:$J$9,0)</f>
        <v>5</v>
      </c>
      <c r="T482" s="195">
        <f>MATCH($E482,Reference!$J$26:$J$32,0)</f>
        <v>5</v>
      </c>
      <c r="U482" s="195">
        <f>MATCH($F482,Reference!$J$45:$J$54,0)</f>
        <v>10</v>
      </c>
      <c r="V482" s="196">
        <f>MATCH($K482,Reference!$J$37:$J$39,0)</f>
        <v>3</v>
      </c>
      <c r="W482" s="197">
        <f t="shared" si="724"/>
        <v>1</v>
      </c>
      <c r="X482" s="197">
        <f t="shared" si="1"/>
        <v>1</v>
      </c>
      <c r="Y482" s="197">
        <f t="shared" si="725"/>
        <v>0</v>
      </c>
      <c r="Z482" s="197">
        <f t="shared" si="726"/>
        <v>2</v>
      </c>
      <c r="AA482" s="199" t="b">
        <f t="shared" si="3"/>
        <v>0</v>
      </c>
      <c r="AB482" s="199" t="b">
        <f t="shared" si="4"/>
        <v>0</v>
      </c>
      <c r="AC482" s="200">
        <f t="shared" ref="AC482:AD482" si="734">1-I482</f>
        <v>1</v>
      </c>
      <c r="AD482" s="200">
        <f t="shared" si="734"/>
        <v>1</v>
      </c>
      <c r="AE482" s="199">
        <f t="shared" si="6"/>
        <v>1</v>
      </c>
      <c r="AF482" s="201">
        <f t="shared" si="728"/>
        <v>0</v>
      </c>
      <c r="AG482" s="201">
        <f t="shared" si="8"/>
        <v>1</v>
      </c>
      <c r="AH482" s="202">
        <f t="shared" si="729"/>
        <v>0</v>
      </c>
      <c r="AI482" s="205"/>
      <c r="AJ482" s="173"/>
      <c r="AK482" s="173"/>
      <c r="AL482" s="173"/>
      <c r="AM482" s="173"/>
      <c r="AN482" s="173"/>
      <c r="AO482" s="173"/>
      <c r="AP482" s="173"/>
      <c r="AQ482" s="173"/>
      <c r="AR482" s="173"/>
      <c r="AS482" s="173"/>
      <c r="AT482" s="173"/>
      <c r="AU482" s="173"/>
      <c r="AV482" s="173"/>
    </row>
    <row r="483" spans="1:48" ht="14.25">
      <c r="A483" s="206"/>
      <c r="B483" s="433">
        <v>6</v>
      </c>
      <c r="C483" s="424" t="s">
        <v>1113</v>
      </c>
      <c r="D483" s="425" t="s">
        <v>70</v>
      </c>
      <c r="E483" s="425" t="s">
        <v>80</v>
      </c>
      <c r="F483" s="425" t="s">
        <v>26</v>
      </c>
      <c r="G483" s="426">
        <v>0</v>
      </c>
      <c r="H483" s="426">
        <v>0</v>
      </c>
      <c r="I483" s="427">
        <v>0.33</v>
      </c>
      <c r="J483" s="299"/>
      <c r="K483" s="428" t="s">
        <v>182</v>
      </c>
      <c r="L483" s="428" t="s">
        <v>602</v>
      </c>
      <c r="M483" s="428">
        <v>6</v>
      </c>
      <c r="N483" s="428">
        <v>5</v>
      </c>
      <c r="O483" s="429" t="s">
        <v>1114</v>
      </c>
      <c r="P483" s="430" t="s">
        <v>184</v>
      </c>
      <c r="Q483" s="425" t="s">
        <v>979</v>
      </c>
      <c r="R483" s="173"/>
      <c r="S483" s="195">
        <f>MATCH($D483,Reference!$J$5:$J$9,0)</f>
        <v>5</v>
      </c>
      <c r="T483" s="195">
        <f>MATCH($E483,Reference!$J$26:$J$32,0)</f>
        <v>5</v>
      </c>
      <c r="U483" s="195">
        <f>MATCH($F483,Reference!$J$45:$J$54,0)</f>
        <v>9</v>
      </c>
      <c r="V483" s="196">
        <f>MATCH($K483,Reference!$J$37:$J$39,0)</f>
        <v>3</v>
      </c>
      <c r="W483" s="197">
        <f t="shared" si="724"/>
        <v>0</v>
      </c>
      <c r="X483" s="197">
        <f t="shared" si="1"/>
        <v>0</v>
      </c>
      <c r="Y483" s="197">
        <f t="shared" si="725"/>
        <v>0</v>
      </c>
      <c r="Z483" s="197">
        <f t="shared" si="726"/>
        <v>1</v>
      </c>
      <c r="AA483" s="199" t="b">
        <f t="shared" si="3"/>
        <v>1</v>
      </c>
      <c r="AB483" s="199" t="b">
        <f t="shared" si="4"/>
        <v>0</v>
      </c>
      <c r="AC483" s="200">
        <f t="shared" ref="AC483:AD483" si="735">1-I483</f>
        <v>0.66999999999999993</v>
      </c>
      <c r="AD483" s="200">
        <f t="shared" si="735"/>
        <v>1</v>
      </c>
      <c r="AE483" s="199">
        <f t="shared" si="6"/>
        <v>0.66999999999999993</v>
      </c>
      <c r="AF483" s="201">
        <f t="shared" si="728"/>
        <v>0</v>
      </c>
      <c r="AG483" s="201">
        <f t="shared" si="8"/>
        <v>0</v>
      </c>
      <c r="AH483" s="202">
        <f t="shared" si="729"/>
        <v>0</v>
      </c>
      <c r="AI483" s="205"/>
      <c r="AJ483" s="173"/>
      <c r="AK483" s="173"/>
      <c r="AL483" s="173"/>
      <c r="AM483" s="173"/>
      <c r="AN483" s="173"/>
      <c r="AO483" s="173"/>
      <c r="AP483" s="173"/>
      <c r="AQ483" s="173"/>
      <c r="AR483" s="173"/>
      <c r="AS483" s="173"/>
      <c r="AT483" s="173"/>
      <c r="AU483" s="173"/>
      <c r="AV483" s="173"/>
    </row>
    <row r="484" spans="1:48" ht="14.25">
      <c r="A484" s="209"/>
      <c r="B484" s="423">
        <v>6</v>
      </c>
      <c r="C484" s="424" t="s">
        <v>1115</v>
      </c>
      <c r="D484" s="425" t="s">
        <v>70</v>
      </c>
      <c r="E484" s="425" t="s">
        <v>80</v>
      </c>
      <c r="F484" s="425" t="s">
        <v>115</v>
      </c>
      <c r="G484" s="426">
        <v>0</v>
      </c>
      <c r="H484" s="426">
        <v>0</v>
      </c>
      <c r="I484" s="427">
        <v>0</v>
      </c>
      <c r="J484" s="299"/>
      <c r="K484" s="425" t="s">
        <v>182</v>
      </c>
      <c r="L484" s="425"/>
      <c r="M484" s="431">
        <v>7</v>
      </c>
      <c r="N484" s="432">
        <v>6</v>
      </c>
      <c r="O484" s="429" t="s">
        <v>1116</v>
      </c>
      <c r="P484" s="301"/>
      <c r="Q484" s="425" t="s">
        <v>979</v>
      </c>
      <c r="R484" s="173"/>
      <c r="S484" s="195">
        <f>MATCH($D484,Reference!$J$5:$J$9,0)</f>
        <v>5</v>
      </c>
      <c r="T484" s="195">
        <f>MATCH($E484,Reference!$J$26:$J$32,0)</f>
        <v>5</v>
      </c>
      <c r="U484" s="195">
        <f>MATCH($F484,Reference!$J$45:$J$54,0)</f>
        <v>10</v>
      </c>
      <c r="V484" s="196">
        <f>MATCH($K484,Reference!$J$37:$J$39,0)</f>
        <v>3</v>
      </c>
      <c r="W484" s="197">
        <f t="shared" si="724"/>
        <v>0</v>
      </c>
      <c r="X484" s="197">
        <f t="shared" si="1"/>
        <v>0</v>
      </c>
      <c r="Y484" s="197">
        <f t="shared" si="725"/>
        <v>0</v>
      </c>
      <c r="Z484" s="197">
        <f t="shared" si="726"/>
        <v>1</v>
      </c>
      <c r="AA484" s="199" t="b">
        <f t="shared" si="3"/>
        <v>1</v>
      </c>
      <c r="AB484" s="199" t="b">
        <f t="shared" si="4"/>
        <v>0</v>
      </c>
      <c r="AC484" s="200">
        <f t="shared" ref="AC484:AD484" si="736">1-I484</f>
        <v>1</v>
      </c>
      <c r="AD484" s="200">
        <f t="shared" si="736"/>
        <v>1</v>
      </c>
      <c r="AE484" s="199">
        <f t="shared" si="6"/>
        <v>1</v>
      </c>
      <c r="AF484" s="201">
        <f t="shared" si="728"/>
        <v>0</v>
      </c>
      <c r="AG484" s="201">
        <f t="shared" si="8"/>
        <v>0</v>
      </c>
      <c r="AH484" s="202">
        <f t="shared" si="729"/>
        <v>0</v>
      </c>
      <c r="AI484" s="205"/>
      <c r="AJ484" s="173"/>
      <c r="AK484" s="173"/>
      <c r="AL484" s="173"/>
      <c r="AM484" s="173"/>
      <c r="AN484" s="173"/>
      <c r="AO484" s="173"/>
      <c r="AP484" s="173"/>
      <c r="AQ484" s="173"/>
      <c r="AR484" s="173"/>
      <c r="AS484" s="173"/>
      <c r="AT484" s="173"/>
      <c r="AU484" s="173"/>
      <c r="AV484" s="173"/>
    </row>
    <row r="485" spans="1:48" ht="14.25">
      <c r="A485" s="209"/>
      <c r="B485" s="423">
        <v>6</v>
      </c>
      <c r="C485" s="424" t="s">
        <v>1117</v>
      </c>
      <c r="D485" s="425" t="s">
        <v>70</v>
      </c>
      <c r="E485" s="425" t="s">
        <v>80</v>
      </c>
      <c r="F485" s="425" t="s">
        <v>115</v>
      </c>
      <c r="G485" s="426">
        <v>0</v>
      </c>
      <c r="H485" s="426">
        <v>0</v>
      </c>
      <c r="I485" s="427">
        <v>0.66</v>
      </c>
      <c r="J485" s="299"/>
      <c r="K485" s="428" t="s">
        <v>182</v>
      </c>
      <c r="L485" s="428"/>
      <c r="M485" s="428">
        <v>5</v>
      </c>
      <c r="N485" s="428">
        <v>7</v>
      </c>
      <c r="O485" s="429" t="s">
        <v>1118</v>
      </c>
      <c r="P485" s="430" t="s">
        <v>1119</v>
      </c>
      <c r="Q485" s="425" t="s">
        <v>979</v>
      </c>
      <c r="R485" s="173"/>
      <c r="S485" s="195">
        <f>MATCH($D485,Reference!$J$5:$J$9,0)</f>
        <v>5</v>
      </c>
      <c r="T485" s="195">
        <f>MATCH($E485,Reference!$J$26:$J$32,0)</f>
        <v>5</v>
      </c>
      <c r="U485" s="195">
        <f>MATCH($F485,Reference!$J$45:$J$54,0)</f>
        <v>10</v>
      </c>
      <c r="V485" s="196">
        <f>MATCH($K485,Reference!$J$37:$J$39,0)</f>
        <v>3</v>
      </c>
      <c r="W485" s="197">
        <f t="shared" si="724"/>
        <v>0</v>
      </c>
      <c r="X485" s="197">
        <f t="shared" si="1"/>
        <v>0</v>
      </c>
      <c r="Y485" s="197">
        <f t="shared" si="725"/>
        <v>0</v>
      </c>
      <c r="Z485" s="197">
        <f t="shared" si="726"/>
        <v>1</v>
      </c>
      <c r="AA485" s="199" t="b">
        <f t="shared" si="3"/>
        <v>1</v>
      </c>
      <c r="AB485" s="199" t="b">
        <f t="shared" si="4"/>
        <v>0</v>
      </c>
      <c r="AC485" s="200">
        <f t="shared" ref="AC485:AD485" si="737">1-I485</f>
        <v>0.33999999999999997</v>
      </c>
      <c r="AD485" s="200">
        <f t="shared" si="737"/>
        <v>1</v>
      </c>
      <c r="AE485" s="199">
        <f t="shared" si="6"/>
        <v>0.33999999999999997</v>
      </c>
      <c r="AF485" s="201">
        <f t="shared" si="728"/>
        <v>0</v>
      </c>
      <c r="AG485" s="201">
        <f t="shared" si="8"/>
        <v>0</v>
      </c>
      <c r="AH485" s="202">
        <f t="shared" si="729"/>
        <v>0</v>
      </c>
      <c r="AI485" s="205"/>
      <c r="AJ485" s="173"/>
      <c r="AK485" s="173"/>
      <c r="AL485" s="173"/>
      <c r="AM485" s="173"/>
      <c r="AN485" s="173"/>
      <c r="AO485" s="173"/>
      <c r="AP485" s="173"/>
      <c r="AQ485" s="173"/>
      <c r="AR485" s="173"/>
      <c r="AS485" s="173"/>
      <c r="AT485" s="173"/>
      <c r="AU485" s="173"/>
      <c r="AV485" s="173"/>
    </row>
    <row r="486" spans="1:48" ht="14.25">
      <c r="A486" s="240"/>
      <c r="B486" s="423">
        <v>6</v>
      </c>
      <c r="C486" s="424" t="s">
        <v>1120</v>
      </c>
      <c r="D486" s="425" t="s">
        <v>70</v>
      </c>
      <c r="E486" s="425" t="s">
        <v>80</v>
      </c>
      <c r="F486" s="425" t="s">
        <v>20</v>
      </c>
      <c r="G486" s="426">
        <v>0</v>
      </c>
      <c r="H486" s="426">
        <v>0</v>
      </c>
      <c r="I486" s="427">
        <v>0.33</v>
      </c>
      <c r="J486" s="299"/>
      <c r="K486" s="428" t="s">
        <v>182</v>
      </c>
      <c r="L486" s="428"/>
      <c r="M486" s="428">
        <v>5</v>
      </c>
      <c r="N486" s="428">
        <v>8</v>
      </c>
      <c r="O486" s="429" t="s">
        <v>1121</v>
      </c>
      <c r="P486" s="301"/>
      <c r="Q486" s="425" t="s">
        <v>979</v>
      </c>
      <c r="R486" s="173"/>
      <c r="S486" s="195">
        <f>MATCH($D486,Reference!$J$5:$J$9,0)</f>
        <v>5</v>
      </c>
      <c r="T486" s="195">
        <f>MATCH($E486,Reference!$J$26:$J$32,0)</f>
        <v>5</v>
      </c>
      <c r="U486" s="195">
        <f>MATCH($F486,Reference!$J$45:$J$54,0)</f>
        <v>6</v>
      </c>
      <c r="V486" s="196">
        <f>MATCH($K486,Reference!$J$37:$J$39,0)</f>
        <v>3</v>
      </c>
      <c r="W486" s="197">
        <f t="shared" si="724"/>
        <v>0</v>
      </c>
      <c r="X486" s="197">
        <f t="shared" si="1"/>
        <v>0</v>
      </c>
      <c r="Y486" s="197">
        <f t="shared" si="725"/>
        <v>0</v>
      </c>
      <c r="Z486" s="197">
        <f t="shared" si="726"/>
        <v>1</v>
      </c>
      <c r="AA486" s="199" t="b">
        <f t="shared" si="3"/>
        <v>1</v>
      </c>
      <c r="AB486" s="199" t="b">
        <f t="shared" si="4"/>
        <v>0</v>
      </c>
      <c r="AC486" s="200">
        <f t="shared" ref="AC486:AD486" si="738">1-I486</f>
        <v>0.66999999999999993</v>
      </c>
      <c r="AD486" s="200">
        <f t="shared" si="738"/>
        <v>1</v>
      </c>
      <c r="AE486" s="199">
        <f t="shared" si="6"/>
        <v>0.66999999999999993</v>
      </c>
      <c r="AF486" s="201">
        <f t="shared" si="728"/>
        <v>0</v>
      </c>
      <c r="AG486" s="201">
        <f t="shared" si="8"/>
        <v>0</v>
      </c>
      <c r="AH486" s="202">
        <f t="shared" si="729"/>
        <v>0</v>
      </c>
      <c r="AI486" s="205"/>
      <c r="AJ486" s="173"/>
      <c r="AK486" s="173"/>
      <c r="AL486" s="173"/>
      <c r="AM486" s="173"/>
      <c r="AN486" s="173"/>
      <c r="AO486" s="173"/>
      <c r="AP486" s="173"/>
      <c r="AQ486" s="173"/>
      <c r="AR486" s="173"/>
      <c r="AS486" s="173"/>
      <c r="AT486" s="173"/>
      <c r="AU486" s="173"/>
      <c r="AV486" s="173"/>
    </row>
    <row r="487" spans="1:48" ht="14.25">
      <c r="A487" s="206"/>
      <c r="B487" s="423">
        <v>7</v>
      </c>
      <c r="C487" s="424" t="s">
        <v>1122</v>
      </c>
      <c r="D487" s="425" t="s">
        <v>70</v>
      </c>
      <c r="E487" s="425" t="s">
        <v>80</v>
      </c>
      <c r="F487" s="425" t="s">
        <v>115</v>
      </c>
      <c r="G487" s="426">
        <v>1</v>
      </c>
      <c r="H487" s="426">
        <v>0</v>
      </c>
      <c r="I487" s="427">
        <v>1</v>
      </c>
      <c r="J487" s="299"/>
      <c r="K487" s="428" t="s">
        <v>182</v>
      </c>
      <c r="L487" s="428"/>
      <c r="M487" s="428">
        <v>7</v>
      </c>
      <c r="N487" s="428">
        <v>7</v>
      </c>
      <c r="O487" s="429" t="s">
        <v>1123</v>
      </c>
      <c r="P487" s="430" t="s">
        <v>184</v>
      </c>
      <c r="Q487" s="425" t="s">
        <v>979</v>
      </c>
      <c r="R487" s="173"/>
      <c r="S487" s="195">
        <f>MATCH($D487,Reference!$J$5:$J$9,0)</f>
        <v>5</v>
      </c>
      <c r="T487" s="195">
        <f>MATCH($E487,Reference!$J$26:$J$32,0)</f>
        <v>5</v>
      </c>
      <c r="U487" s="195">
        <f>MATCH($F487,Reference!$J$45:$J$54,0)</f>
        <v>10</v>
      </c>
      <c r="V487" s="196">
        <f>MATCH($K487,Reference!$J$37:$J$39,0)</f>
        <v>3</v>
      </c>
      <c r="W487" s="197">
        <f t="shared" si="724"/>
        <v>1</v>
      </c>
      <c r="X487" s="197">
        <f t="shared" si="1"/>
        <v>1</v>
      </c>
      <c r="Y487" s="197">
        <f t="shared" si="725"/>
        <v>0</v>
      </c>
      <c r="Z487" s="197">
        <f t="shared" si="726"/>
        <v>2</v>
      </c>
      <c r="AA487" s="199" t="b">
        <f t="shared" si="3"/>
        <v>0</v>
      </c>
      <c r="AB487" s="199" t="b">
        <f t="shared" si="4"/>
        <v>0</v>
      </c>
      <c r="AC487" s="200">
        <f t="shared" ref="AC487:AD487" si="739">1-I487</f>
        <v>0</v>
      </c>
      <c r="AD487" s="200">
        <f t="shared" si="739"/>
        <v>1</v>
      </c>
      <c r="AE487" s="199">
        <f t="shared" si="6"/>
        <v>1</v>
      </c>
      <c r="AF487" s="201">
        <f t="shared" si="728"/>
        <v>0</v>
      </c>
      <c r="AG487" s="201">
        <f t="shared" si="8"/>
        <v>1</v>
      </c>
      <c r="AH487" s="202">
        <f t="shared" si="729"/>
        <v>0</v>
      </c>
      <c r="AI487" s="205"/>
      <c r="AJ487" s="173"/>
      <c r="AK487" s="173"/>
      <c r="AL487" s="173"/>
      <c r="AM487" s="173"/>
      <c r="AN487" s="173"/>
      <c r="AO487" s="173"/>
      <c r="AP487" s="173"/>
      <c r="AQ487" s="173"/>
      <c r="AR487" s="173"/>
      <c r="AS487" s="173"/>
      <c r="AT487" s="173"/>
      <c r="AU487" s="173"/>
      <c r="AV487" s="173"/>
    </row>
    <row r="488" spans="1:48" ht="14.25">
      <c r="A488" s="240"/>
      <c r="B488" s="423">
        <v>7</v>
      </c>
      <c r="C488" s="424" t="s">
        <v>1124</v>
      </c>
      <c r="D488" s="425" t="s">
        <v>70</v>
      </c>
      <c r="E488" s="425" t="s">
        <v>80</v>
      </c>
      <c r="F488" s="425" t="s">
        <v>13</v>
      </c>
      <c r="G488" s="426">
        <v>0</v>
      </c>
      <c r="H488" s="426">
        <v>0</v>
      </c>
      <c r="I488" s="427">
        <v>0</v>
      </c>
      <c r="J488" s="299"/>
      <c r="K488" s="428" t="s">
        <v>182</v>
      </c>
      <c r="L488" s="428" t="s">
        <v>602</v>
      </c>
      <c r="M488" s="428">
        <v>7</v>
      </c>
      <c r="N488" s="428">
        <v>7</v>
      </c>
      <c r="O488" s="429" t="s">
        <v>1125</v>
      </c>
      <c r="P488" s="301"/>
      <c r="Q488" s="425" t="s">
        <v>979</v>
      </c>
      <c r="R488" s="173"/>
      <c r="S488" s="195">
        <f>MATCH($D488,Reference!$J$5:$J$9,0)</f>
        <v>5</v>
      </c>
      <c r="T488" s="195">
        <f>MATCH($E488,Reference!$J$26:$J$32,0)</f>
        <v>5</v>
      </c>
      <c r="U488" s="195">
        <f>MATCH($F488,Reference!$J$45:$J$54,0)</f>
        <v>3</v>
      </c>
      <c r="V488" s="196">
        <f>MATCH($K488,Reference!$J$37:$J$39,0)</f>
        <v>3</v>
      </c>
      <c r="W488" s="197">
        <f t="shared" si="724"/>
        <v>0</v>
      </c>
      <c r="X488" s="197">
        <f t="shared" si="1"/>
        <v>0</v>
      </c>
      <c r="Y488" s="197">
        <f t="shared" si="725"/>
        <v>0</v>
      </c>
      <c r="Z488" s="197">
        <f t="shared" si="726"/>
        <v>1</v>
      </c>
      <c r="AA488" s="199" t="b">
        <f t="shared" si="3"/>
        <v>1</v>
      </c>
      <c r="AB488" s="199" t="b">
        <f t="shared" si="4"/>
        <v>0</v>
      </c>
      <c r="AC488" s="200">
        <f t="shared" ref="AC488:AD488" si="740">1-I488</f>
        <v>1</v>
      </c>
      <c r="AD488" s="200">
        <f t="shared" si="740"/>
        <v>1</v>
      </c>
      <c r="AE488" s="199">
        <f t="shared" si="6"/>
        <v>1</v>
      </c>
      <c r="AF488" s="201">
        <f t="shared" si="728"/>
        <v>0</v>
      </c>
      <c r="AG488" s="201">
        <f t="shared" si="8"/>
        <v>0</v>
      </c>
      <c r="AH488" s="202">
        <f t="shared" si="729"/>
        <v>0</v>
      </c>
      <c r="AI488" s="205"/>
      <c r="AJ488" s="173"/>
      <c r="AK488" s="173"/>
      <c r="AL488" s="173"/>
      <c r="AM488" s="173"/>
      <c r="AN488" s="173"/>
      <c r="AO488" s="173"/>
      <c r="AP488" s="173"/>
      <c r="AQ488" s="173"/>
      <c r="AR488" s="173"/>
      <c r="AS488" s="173"/>
      <c r="AT488" s="173"/>
      <c r="AU488" s="173"/>
      <c r="AV488" s="173"/>
    </row>
    <row r="489" spans="1:48" ht="14.25">
      <c r="A489" s="187"/>
      <c r="B489" s="423">
        <v>7</v>
      </c>
      <c r="C489" s="424" t="s">
        <v>1126</v>
      </c>
      <c r="D489" s="425" t="s">
        <v>70</v>
      </c>
      <c r="E489" s="425" t="s">
        <v>80</v>
      </c>
      <c r="F489" s="425" t="s">
        <v>11</v>
      </c>
      <c r="G489" s="426">
        <v>0</v>
      </c>
      <c r="H489" s="426">
        <v>0</v>
      </c>
      <c r="I489" s="427">
        <v>0.66</v>
      </c>
      <c r="J489" s="299"/>
      <c r="K489" s="428" t="s">
        <v>182</v>
      </c>
      <c r="L489" s="428" t="s">
        <v>230</v>
      </c>
      <c r="M489" s="428">
        <v>6</v>
      </c>
      <c r="N489" s="428">
        <v>9</v>
      </c>
      <c r="O489" s="429" t="s">
        <v>1127</v>
      </c>
      <c r="P489" s="301"/>
      <c r="Q489" s="425" t="s">
        <v>979</v>
      </c>
      <c r="R489" s="173"/>
      <c r="S489" s="195">
        <f>MATCH($D489,Reference!$J$5:$J$9,0)</f>
        <v>5</v>
      </c>
      <c r="T489" s="195">
        <f>MATCH($E489,Reference!$J$26:$J$32,0)</f>
        <v>5</v>
      </c>
      <c r="U489" s="195">
        <f>MATCH($F489,Reference!$J$45:$J$54,0)</f>
        <v>2</v>
      </c>
      <c r="V489" s="196">
        <f>MATCH($K489,Reference!$J$37:$J$39,0)</f>
        <v>3</v>
      </c>
      <c r="W489" s="197">
        <f t="shared" si="724"/>
        <v>0</v>
      </c>
      <c r="X489" s="197">
        <f t="shared" si="1"/>
        <v>0</v>
      </c>
      <c r="Y489" s="197">
        <f t="shared" si="725"/>
        <v>0</v>
      </c>
      <c r="Z489" s="197">
        <f t="shared" si="726"/>
        <v>1</v>
      </c>
      <c r="AA489" s="199" t="b">
        <f t="shared" si="3"/>
        <v>1</v>
      </c>
      <c r="AB489" s="199" t="b">
        <f t="shared" si="4"/>
        <v>0</v>
      </c>
      <c r="AC489" s="200">
        <f t="shared" ref="AC489:AD489" si="741">1-I489</f>
        <v>0.33999999999999997</v>
      </c>
      <c r="AD489" s="200">
        <f t="shared" si="741"/>
        <v>1</v>
      </c>
      <c r="AE489" s="199">
        <f t="shared" si="6"/>
        <v>0.33999999999999997</v>
      </c>
      <c r="AF489" s="201">
        <f t="shared" si="728"/>
        <v>0</v>
      </c>
      <c r="AG489" s="201">
        <f t="shared" si="8"/>
        <v>0</v>
      </c>
      <c r="AH489" s="202">
        <f t="shared" si="729"/>
        <v>0</v>
      </c>
      <c r="AI489" s="205"/>
      <c r="AJ489" s="173"/>
      <c r="AK489" s="173"/>
      <c r="AL489" s="173"/>
      <c r="AM489" s="173"/>
      <c r="AN489" s="173"/>
      <c r="AO489" s="173"/>
      <c r="AP489" s="173"/>
      <c r="AQ489" s="173"/>
      <c r="AR489" s="173"/>
      <c r="AS489" s="173"/>
      <c r="AT489" s="173"/>
      <c r="AU489" s="173"/>
      <c r="AV489" s="173"/>
    </row>
    <row r="490" spans="1:48" ht="14.25">
      <c r="A490" s="187"/>
      <c r="B490" s="423">
        <v>7</v>
      </c>
      <c r="C490" s="424" t="s">
        <v>1128</v>
      </c>
      <c r="D490" s="425" t="s">
        <v>70</v>
      </c>
      <c r="E490" s="425" t="s">
        <v>80</v>
      </c>
      <c r="F490" s="425" t="s">
        <v>8</v>
      </c>
      <c r="G490" s="426">
        <v>0</v>
      </c>
      <c r="H490" s="426">
        <v>0</v>
      </c>
      <c r="I490" s="427">
        <v>0</v>
      </c>
      <c r="J490" s="299"/>
      <c r="K490" s="425" t="s">
        <v>182</v>
      </c>
      <c r="L490" s="425" t="s">
        <v>230</v>
      </c>
      <c r="M490" s="431">
        <v>9</v>
      </c>
      <c r="N490" s="432">
        <v>7</v>
      </c>
      <c r="O490" s="429" t="s">
        <v>1129</v>
      </c>
      <c r="P490" s="430" t="s">
        <v>454</v>
      </c>
      <c r="Q490" s="425" t="s">
        <v>979</v>
      </c>
      <c r="R490" s="173"/>
      <c r="S490" s="195">
        <f>MATCH($D490,Reference!$J$5:$J$9,0)</f>
        <v>5</v>
      </c>
      <c r="T490" s="195">
        <f>MATCH($E490,Reference!$J$26:$J$32,0)</f>
        <v>5</v>
      </c>
      <c r="U490" s="195">
        <f>MATCH($F490,Reference!$J$45:$J$54,0)</f>
        <v>1</v>
      </c>
      <c r="V490" s="196">
        <f>MATCH($K490,Reference!$J$37:$J$39,0)</f>
        <v>3</v>
      </c>
      <c r="W490" s="197">
        <f t="shared" si="724"/>
        <v>0</v>
      </c>
      <c r="X490" s="197">
        <f t="shared" si="1"/>
        <v>0</v>
      </c>
      <c r="Y490" s="197">
        <f t="shared" si="725"/>
        <v>0</v>
      </c>
      <c r="Z490" s="197">
        <f t="shared" si="726"/>
        <v>1</v>
      </c>
      <c r="AA490" s="199" t="b">
        <f t="shared" si="3"/>
        <v>1</v>
      </c>
      <c r="AB490" s="199" t="b">
        <f t="shared" si="4"/>
        <v>0</v>
      </c>
      <c r="AC490" s="200">
        <f t="shared" ref="AC490:AD490" si="742">1-I490</f>
        <v>1</v>
      </c>
      <c r="AD490" s="200">
        <f t="shared" si="742"/>
        <v>1</v>
      </c>
      <c r="AE490" s="199">
        <f t="shared" si="6"/>
        <v>1</v>
      </c>
      <c r="AF490" s="201">
        <f t="shared" si="728"/>
        <v>0</v>
      </c>
      <c r="AG490" s="201">
        <f t="shared" si="8"/>
        <v>0</v>
      </c>
      <c r="AH490" s="202">
        <f t="shared" si="729"/>
        <v>0</v>
      </c>
      <c r="AI490" s="205"/>
      <c r="AJ490" s="173"/>
      <c r="AK490" s="173"/>
      <c r="AL490" s="173"/>
      <c r="AM490" s="173"/>
      <c r="AN490" s="173"/>
      <c r="AO490" s="173"/>
      <c r="AP490" s="173"/>
      <c r="AQ490" s="173"/>
      <c r="AR490" s="173"/>
      <c r="AS490" s="173"/>
      <c r="AT490" s="173"/>
      <c r="AU490" s="173"/>
      <c r="AV490" s="173"/>
    </row>
    <row r="491" spans="1:48" ht="14.25">
      <c r="A491" s="209"/>
      <c r="B491" s="423">
        <v>7</v>
      </c>
      <c r="C491" s="424" t="s">
        <v>1130</v>
      </c>
      <c r="D491" s="425" t="s">
        <v>70</v>
      </c>
      <c r="E491" s="425" t="s">
        <v>80</v>
      </c>
      <c r="F491" s="425" t="s">
        <v>21</v>
      </c>
      <c r="G491" s="426">
        <v>0</v>
      </c>
      <c r="H491" s="426">
        <v>0</v>
      </c>
      <c r="I491" s="427">
        <v>1</v>
      </c>
      <c r="J491" s="299"/>
      <c r="K491" s="425" t="s">
        <v>182</v>
      </c>
      <c r="L491" s="425"/>
      <c r="M491" s="431">
        <v>7</v>
      </c>
      <c r="N491" s="432">
        <v>7</v>
      </c>
      <c r="O491" s="429" t="s">
        <v>1131</v>
      </c>
      <c r="P491" s="430" t="s">
        <v>184</v>
      </c>
      <c r="Q491" s="425" t="s">
        <v>979</v>
      </c>
      <c r="R491" s="173"/>
      <c r="S491" s="195">
        <f>MATCH($D491,Reference!$J$5:$J$9,0)</f>
        <v>5</v>
      </c>
      <c r="T491" s="195">
        <f>MATCH($E491,Reference!$J$26:$J$32,0)</f>
        <v>5</v>
      </c>
      <c r="U491" s="195">
        <f>MATCH($F491,Reference!$J$45:$J$54,0)</f>
        <v>7</v>
      </c>
      <c r="V491" s="196">
        <f>MATCH($K491,Reference!$J$37:$J$39,0)</f>
        <v>3</v>
      </c>
      <c r="W491" s="197">
        <f t="shared" si="724"/>
        <v>0</v>
      </c>
      <c r="X491" s="197">
        <f t="shared" si="1"/>
        <v>0</v>
      </c>
      <c r="Y491" s="197">
        <f t="shared" si="725"/>
        <v>0</v>
      </c>
      <c r="Z491" s="197">
        <f t="shared" si="726"/>
        <v>1</v>
      </c>
      <c r="AA491" s="199" t="b">
        <f t="shared" si="3"/>
        <v>1</v>
      </c>
      <c r="AB491" s="199" t="b">
        <f t="shared" si="4"/>
        <v>0</v>
      </c>
      <c r="AC491" s="200">
        <f t="shared" ref="AC491:AD491" si="743">1-I491</f>
        <v>0</v>
      </c>
      <c r="AD491" s="200">
        <f t="shared" si="743"/>
        <v>1</v>
      </c>
      <c r="AE491" s="199">
        <f t="shared" si="6"/>
        <v>0</v>
      </c>
      <c r="AF491" s="201">
        <f t="shared" si="728"/>
        <v>0</v>
      </c>
      <c r="AG491" s="201">
        <f t="shared" si="8"/>
        <v>0</v>
      </c>
      <c r="AH491" s="202">
        <f t="shared" si="729"/>
        <v>0</v>
      </c>
      <c r="AI491" s="205"/>
      <c r="AJ491" s="173"/>
      <c r="AK491" s="173"/>
      <c r="AL491" s="173"/>
      <c r="AM491" s="173"/>
      <c r="AN491" s="173"/>
      <c r="AO491" s="173"/>
      <c r="AP491" s="173"/>
      <c r="AQ491" s="173"/>
      <c r="AR491" s="173"/>
      <c r="AS491" s="173"/>
      <c r="AT491" s="173"/>
      <c r="AU491" s="173"/>
      <c r="AV491" s="173"/>
    </row>
    <row r="492" spans="1:48" ht="14.25">
      <c r="A492" s="187"/>
      <c r="B492" s="423">
        <v>7</v>
      </c>
      <c r="C492" s="424" t="s">
        <v>1132</v>
      </c>
      <c r="D492" s="425" t="s">
        <v>70</v>
      </c>
      <c r="E492" s="425" t="s">
        <v>80</v>
      </c>
      <c r="F492" s="425" t="s">
        <v>115</v>
      </c>
      <c r="G492" s="434">
        <v>1</v>
      </c>
      <c r="H492" s="426">
        <v>0</v>
      </c>
      <c r="I492" s="427">
        <v>0.33</v>
      </c>
      <c r="J492" s="299"/>
      <c r="K492" s="435" t="s">
        <v>182</v>
      </c>
      <c r="L492" s="428"/>
      <c r="M492" s="435">
        <v>6</v>
      </c>
      <c r="N492" s="435">
        <v>6</v>
      </c>
      <c r="O492" s="429" t="s">
        <v>1133</v>
      </c>
      <c r="P492" s="301"/>
      <c r="Q492" s="425" t="s">
        <v>979</v>
      </c>
      <c r="R492" s="173"/>
      <c r="S492" s="195">
        <f>MATCH($D492,Reference!$J$5:$J$9,0)</f>
        <v>5</v>
      </c>
      <c r="T492" s="195">
        <f>MATCH($E492,Reference!$J$26:$J$32,0)</f>
        <v>5</v>
      </c>
      <c r="U492" s="195">
        <f>MATCH($F492,Reference!$J$45:$J$54,0)</f>
        <v>10</v>
      </c>
      <c r="V492" s="196">
        <f>MATCH($K492,Reference!$J$37:$J$39,0)</f>
        <v>3</v>
      </c>
      <c r="W492" s="197">
        <f t="shared" si="724"/>
        <v>1</v>
      </c>
      <c r="X492" s="197">
        <f t="shared" si="1"/>
        <v>1</v>
      </c>
      <c r="Y492" s="197">
        <f t="shared" si="725"/>
        <v>0</v>
      </c>
      <c r="Z492" s="197">
        <f t="shared" si="726"/>
        <v>2</v>
      </c>
      <c r="AA492" s="199" t="b">
        <f t="shared" si="3"/>
        <v>0</v>
      </c>
      <c r="AB492" s="199" t="b">
        <f t="shared" si="4"/>
        <v>0</v>
      </c>
      <c r="AC492" s="200">
        <f t="shared" ref="AC492:AD492" si="744">1-I492</f>
        <v>0.66999999999999993</v>
      </c>
      <c r="AD492" s="200">
        <f t="shared" si="744"/>
        <v>1</v>
      </c>
      <c r="AE492" s="199">
        <f t="shared" si="6"/>
        <v>1</v>
      </c>
      <c r="AF492" s="201">
        <f t="shared" si="728"/>
        <v>0</v>
      </c>
      <c r="AG492" s="201">
        <f t="shared" si="8"/>
        <v>1</v>
      </c>
      <c r="AH492" s="202">
        <f t="shared" si="729"/>
        <v>0</v>
      </c>
      <c r="AI492" s="205"/>
      <c r="AJ492" s="173"/>
      <c r="AK492" s="173"/>
      <c r="AL492" s="173"/>
      <c r="AM492" s="173"/>
      <c r="AN492" s="173"/>
      <c r="AO492" s="173"/>
      <c r="AP492" s="173"/>
      <c r="AQ492" s="173"/>
      <c r="AR492" s="173"/>
      <c r="AS492" s="173"/>
      <c r="AT492" s="173"/>
      <c r="AU492" s="173"/>
      <c r="AV492" s="173"/>
    </row>
    <row r="493" spans="1:48" ht="14.25">
      <c r="A493" s="211"/>
      <c r="B493" s="423">
        <v>8</v>
      </c>
      <c r="C493" s="424" t="s">
        <v>1134</v>
      </c>
      <c r="D493" s="425" t="s">
        <v>70</v>
      </c>
      <c r="E493" s="425" t="s">
        <v>80</v>
      </c>
      <c r="F493" s="425" t="s">
        <v>115</v>
      </c>
      <c r="G493" s="426">
        <v>0</v>
      </c>
      <c r="H493" s="426">
        <v>0</v>
      </c>
      <c r="I493" s="427">
        <v>0.33</v>
      </c>
      <c r="J493" s="299"/>
      <c r="K493" s="428" t="s">
        <v>182</v>
      </c>
      <c r="L493" s="428" t="s">
        <v>602</v>
      </c>
      <c r="M493" s="428">
        <v>6</v>
      </c>
      <c r="N493" s="428">
        <v>9</v>
      </c>
      <c r="O493" s="429" t="s">
        <v>1135</v>
      </c>
      <c r="P493" s="301"/>
      <c r="Q493" s="425" t="s">
        <v>979</v>
      </c>
      <c r="R493" s="173"/>
      <c r="S493" s="195">
        <f>MATCH($D493,Reference!$J$5:$J$9,0)</f>
        <v>5</v>
      </c>
      <c r="T493" s="195">
        <f>MATCH($E493,Reference!$J$26:$J$32,0)</f>
        <v>5</v>
      </c>
      <c r="U493" s="195">
        <f>MATCH($F493,Reference!$J$45:$J$54,0)</f>
        <v>10</v>
      </c>
      <c r="V493" s="196">
        <f>MATCH($K493,Reference!$J$37:$J$39,0)</f>
        <v>3</v>
      </c>
      <c r="W493" s="197">
        <f t="shared" si="724"/>
        <v>0</v>
      </c>
      <c r="X493" s="197">
        <f t="shared" si="1"/>
        <v>0</v>
      </c>
      <c r="Y493" s="197">
        <f t="shared" si="725"/>
        <v>0</v>
      </c>
      <c r="Z493" s="197">
        <f t="shared" si="726"/>
        <v>1</v>
      </c>
      <c r="AA493" s="199" t="b">
        <f t="shared" si="3"/>
        <v>1</v>
      </c>
      <c r="AB493" s="199" t="b">
        <f t="shared" si="4"/>
        <v>0</v>
      </c>
      <c r="AC493" s="200">
        <f t="shared" ref="AC493:AD493" si="745">1-I493</f>
        <v>0.66999999999999993</v>
      </c>
      <c r="AD493" s="200">
        <f t="shared" si="745"/>
        <v>1</v>
      </c>
      <c r="AE493" s="199">
        <f t="shared" si="6"/>
        <v>0.66999999999999993</v>
      </c>
      <c r="AF493" s="201">
        <f t="shared" si="728"/>
        <v>0</v>
      </c>
      <c r="AG493" s="201">
        <f t="shared" si="8"/>
        <v>0</v>
      </c>
      <c r="AH493" s="202">
        <f t="shared" si="729"/>
        <v>0</v>
      </c>
      <c r="AI493" s="205"/>
      <c r="AJ493" s="173"/>
      <c r="AK493" s="173"/>
      <c r="AL493" s="173"/>
      <c r="AM493" s="173"/>
      <c r="AN493" s="173"/>
      <c r="AO493" s="173"/>
      <c r="AP493" s="173"/>
      <c r="AQ493" s="173"/>
      <c r="AR493" s="173"/>
      <c r="AS493" s="173"/>
      <c r="AT493" s="173"/>
      <c r="AU493" s="173"/>
      <c r="AV493" s="173"/>
    </row>
    <row r="494" spans="1:48" ht="14.25">
      <c r="A494" s="240"/>
      <c r="B494" s="423">
        <v>8</v>
      </c>
      <c r="C494" s="424" t="s">
        <v>1136</v>
      </c>
      <c r="D494" s="425" t="s">
        <v>70</v>
      </c>
      <c r="E494" s="425" t="s">
        <v>80</v>
      </c>
      <c r="F494" s="425" t="s">
        <v>115</v>
      </c>
      <c r="G494" s="426">
        <v>0</v>
      </c>
      <c r="H494" s="426">
        <v>0</v>
      </c>
      <c r="I494" s="427">
        <v>0.66</v>
      </c>
      <c r="J494" s="299"/>
      <c r="K494" s="428" t="s">
        <v>182</v>
      </c>
      <c r="L494" s="428" t="s">
        <v>602</v>
      </c>
      <c r="M494" s="428">
        <v>5</v>
      </c>
      <c r="N494" s="428">
        <v>7</v>
      </c>
      <c r="O494" s="429" t="s">
        <v>1137</v>
      </c>
      <c r="P494" s="430" t="s">
        <v>454</v>
      </c>
      <c r="Q494" s="425" t="s">
        <v>979</v>
      </c>
      <c r="R494" s="173"/>
      <c r="S494" s="195">
        <f>MATCH($D494,Reference!$J$5:$J$9,0)</f>
        <v>5</v>
      </c>
      <c r="T494" s="195">
        <f>MATCH($E494,Reference!$J$26:$J$32,0)</f>
        <v>5</v>
      </c>
      <c r="U494" s="195">
        <f>MATCH($F494,Reference!$J$45:$J$54,0)</f>
        <v>10</v>
      </c>
      <c r="V494" s="196">
        <f>MATCH($K494,Reference!$J$37:$J$39,0)</f>
        <v>3</v>
      </c>
      <c r="W494" s="197">
        <f t="shared" si="724"/>
        <v>0</v>
      </c>
      <c r="X494" s="197">
        <f t="shared" si="1"/>
        <v>0</v>
      </c>
      <c r="Y494" s="197">
        <f t="shared" si="725"/>
        <v>0</v>
      </c>
      <c r="Z494" s="197">
        <f t="shared" si="726"/>
        <v>1</v>
      </c>
      <c r="AA494" s="199" t="b">
        <f t="shared" si="3"/>
        <v>1</v>
      </c>
      <c r="AB494" s="199" t="b">
        <f t="shared" si="4"/>
        <v>0</v>
      </c>
      <c r="AC494" s="200">
        <f t="shared" ref="AC494:AD494" si="746">1-I494</f>
        <v>0.33999999999999997</v>
      </c>
      <c r="AD494" s="200">
        <f t="shared" si="746"/>
        <v>1</v>
      </c>
      <c r="AE494" s="199">
        <f t="shared" si="6"/>
        <v>0.33999999999999997</v>
      </c>
      <c r="AF494" s="201">
        <f t="shared" si="728"/>
        <v>0</v>
      </c>
      <c r="AG494" s="201">
        <f t="shared" si="8"/>
        <v>0</v>
      </c>
      <c r="AH494" s="202">
        <f t="shared" si="729"/>
        <v>0</v>
      </c>
      <c r="AI494" s="205"/>
      <c r="AJ494" s="173"/>
      <c r="AK494" s="173"/>
      <c r="AL494" s="173"/>
      <c r="AM494" s="173"/>
      <c r="AN494" s="173"/>
      <c r="AO494" s="173"/>
      <c r="AP494" s="173"/>
      <c r="AQ494" s="173"/>
      <c r="AR494" s="173"/>
      <c r="AS494" s="173"/>
      <c r="AT494" s="173"/>
      <c r="AU494" s="173"/>
      <c r="AV494" s="173"/>
    </row>
    <row r="495" spans="1:48" ht="14.25">
      <c r="A495" s="187"/>
      <c r="B495" s="423">
        <v>9</v>
      </c>
      <c r="C495" s="424" t="s">
        <v>1138</v>
      </c>
      <c r="D495" s="425" t="s">
        <v>70</v>
      </c>
      <c r="E495" s="425" t="s">
        <v>80</v>
      </c>
      <c r="F495" s="425" t="s">
        <v>25</v>
      </c>
      <c r="G495" s="434">
        <v>1</v>
      </c>
      <c r="H495" s="426">
        <v>0</v>
      </c>
      <c r="I495" s="427">
        <v>1</v>
      </c>
      <c r="J495" s="299"/>
      <c r="K495" s="425" t="s">
        <v>182</v>
      </c>
      <c r="L495" s="425" t="s">
        <v>239</v>
      </c>
      <c r="M495" s="431">
        <v>9</v>
      </c>
      <c r="N495" s="436">
        <v>7</v>
      </c>
      <c r="O495" s="429" t="s">
        <v>1139</v>
      </c>
      <c r="P495" s="430" t="s">
        <v>193</v>
      </c>
      <c r="Q495" s="425" t="s">
        <v>979</v>
      </c>
      <c r="R495" s="173"/>
      <c r="S495" s="195">
        <f>MATCH($D495,Reference!$J$5:$J$9,0)</f>
        <v>5</v>
      </c>
      <c r="T495" s="195">
        <f>MATCH($E495,Reference!$J$26:$J$32,0)</f>
        <v>5</v>
      </c>
      <c r="U495" s="195">
        <f>MATCH($F495,Reference!$J$45:$J$54,0)</f>
        <v>8</v>
      </c>
      <c r="V495" s="196">
        <f>MATCH($K495,Reference!$J$37:$J$39,0)</f>
        <v>3</v>
      </c>
      <c r="W495" s="197">
        <f t="shared" si="724"/>
        <v>1</v>
      </c>
      <c r="X495" s="197">
        <f t="shared" si="1"/>
        <v>1</v>
      </c>
      <c r="Y495" s="197">
        <f t="shared" si="725"/>
        <v>0</v>
      </c>
      <c r="Z495" s="197">
        <f t="shared" si="726"/>
        <v>2</v>
      </c>
      <c r="AA495" s="199" t="b">
        <f t="shared" si="3"/>
        <v>0</v>
      </c>
      <c r="AB495" s="199" t="b">
        <f t="shared" si="4"/>
        <v>0</v>
      </c>
      <c r="AC495" s="200">
        <f t="shared" ref="AC495:AD495" si="747">1-I495</f>
        <v>0</v>
      </c>
      <c r="AD495" s="200">
        <f t="shared" si="747"/>
        <v>1</v>
      </c>
      <c r="AE495" s="199">
        <f t="shared" si="6"/>
        <v>1</v>
      </c>
      <c r="AF495" s="201">
        <f t="shared" si="728"/>
        <v>0</v>
      </c>
      <c r="AG495" s="201">
        <f t="shared" si="8"/>
        <v>1</v>
      </c>
      <c r="AH495" s="202">
        <f t="shared" si="729"/>
        <v>0</v>
      </c>
      <c r="AI495" s="205"/>
      <c r="AJ495" s="173"/>
      <c r="AK495" s="173"/>
      <c r="AL495" s="173"/>
      <c r="AM495" s="173"/>
      <c r="AN495" s="173"/>
      <c r="AO495" s="173"/>
      <c r="AP495" s="173"/>
      <c r="AQ495" s="173"/>
      <c r="AR495" s="173"/>
      <c r="AS495" s="173"/>
      <c r="AT495" s="173"/>
      <c r="AU495" s="173"/>
      <c r="AV495" s="173"/>
    </row>
    <row r="496" spans="1:48" ht="14.25">
      <c r="A496" s="240"/>
      <c r="B496" s="423">
        <v>9</v>
      </c>
      <c r="C496" s="424" t="s">
        <v>1140</v>
      </c>
      <c r="D496" s="425" t="s">
        <v>70</v>
      </c>
      <c r="E496" s="425" t="s">
        <v>80</v>
      </c>
      <c r="F496" s="425" t="s">
        <v>115</v>
      </c>
      <c r="G496" s="434">
        <v>0</v>
      </c>
      <c r="H496" s="426">
        <v>0</v>
      </c>
      <c r="I496" s="427">
        <v>0</v>
      </c>
      <c r="J496" s="299"/>
      <c r="K496" s="425" t="s">
        <v>182</v>
      </c>
      <c r="L496" s="425" t="s">
        <v>602</v>
      </c>
      <c r="M496" s="431">
        <v>9</v>
      </c>
      <c r="N496" s="432">
        <v>7</v>
      </c>
      <c r="O496" s="429" t="s">
        <v>1141</v>
      </c>
      <c r="P496" s="301"/>
      <c r="Q496" s="425" t="s">
        <v>979</v>
      </c>
      <c r="R496" s="173"/>
      <c r="S496" s="195">
        <f>MATCH($D496,Reference!$J$5:$J$9,0)</f>
        <v>5</v>
      </c>
      <c r="T496" s="195">
        <f>MATCH($E496,Reference!$J$26:$J$32,0)</f>
        <v>5</v>
      </c>
      <c r="U496" s="195">
        <f>MATCH($F496,Reference!$J$45:$J$54,0)</f>
        <v>10</v>
      </c>
      <c r="V496" s="196">
        <f>MATCH($K496,Reference!$J$37:$J$39,0)</f>
        <v>3</v>
      </c>
      <c r="W496" s="197">
        <f t="shared" si="724"/>
        <v>0</v>
      </c>
      <c r="X496" s="197">
        <f t="shared" si="1"/>
        <v>0</v>
      </c>
      <c r="Y496" s="197">
        <f t="shared" si="725"/>
        <v>0</v>
      </c>
      <c r="Z496" s="197">
        <f t="shared" si="726"/>
        <v>1</v>
      </c>
      <c r="AA496" s="199" t="b">
        <f t="shared" si="3"/>
        <v>1</v>
      </c>
      <c r="AB496" s="199" t="b">
        <f t="shared" si="4"/>
        <v>0</v>
      </c>
      <c r="AC496" s="200">
        <f t="shared" ref="AC496:AD496" si="748">1-I496</f>
        <v>1</v>
      </c>
      <c r="AD496" s="200">
        <f t="shared" si="748"/>
        <v>1</v>
      </c>
      <c r="AE496" s="199">
        <f t="shared" si="6"/>
        <v>1</v>
      </c>
      <c r="AF496" s="201">
        <f t="shared" si="728"/>
        <v>0</v>
      </c>
      <c r="AG496" s="201">
        <f t="shared" si="8"/>
        <v>0</v>
      </c>
      <c r="AH496" s="202">
        <f t="shared" si="729"/>
        <v>0</v>
      </c>
      <c r="AI496" s="205"/>
      <c r="AJ496" s="173"/>
      <c r="AK496" s="173"/>
      <c r="AL496" s="173"/>
      <c r="AM496" s="173"/>
      <c r="AN496" s="173"/>
      <c r="AO496" s="173"/>
      <c r="AP496" s="173"/>
      <c r="AQ496" s="173"/>
      <c r="AR496" s="173"/>
      <c r="AS496" s="173"/>
      <c r="AT496" s="173"/>
      <c r="AU496" s="173"/>
      <c r="AV496" s="173"/>
    </row>
    <row r="497" spans="1:48" ht="14.25">
      <c r="A497" s="370"/>
      <c r="B497" s="437">
        <v>0</v>
      </c>
      <c r="C497" s="438" t="s">
        <v>1142</v>
      </c>
      <c r="D497" s="439" t="s">
        <v>68</v>
      </c>
      <c r="E497" s="439" t="s">
        <v>80</v>
      </c>
      <c r="F497" s="439" t="s">
        <v>115</v>
      </c>
      <c r="G497" s="440">
        <v>2</v>
      </c>
      <c r="H497" s="440">
        <v>0</v>
      </c>
      <c r="I497" s="441">
        <v>0</v>
      </c>
      <c r="J497" s="441">
        <v>0</v>
      </c>
      <c r="K497" s="442" t="s">
        <v>182</v>
      </c>
      <c r="L497" s="442" t="s">
        <v>602</v>
      </c>
      <c r="M497" s="442">
        <v>0</v>
      </c>
      <c r="N497" s="442">
        <v>2</v>
      </c>
      <c r="O497" s="443" t="s">
        <v>192</v>
      </c>
      <c r="P497" s="444" t="s">
        <v>1143</v>
      </c>
      <c r="Q497" s="439" t="s">
        <v>979</v>
      </c>
      <c r="R497" s="173"/>
      <c r="S497" s="195">
        <f>MATCH($D497,Reference!$J$5:$J$9,0)</f>
        <v>3</v>
      </c>
      <c r="T497" s="195">
        <f>MATCH($E497,Reference!$J$26:$J$32,0)</f>
        <v>5</v>
      </c>
      <c r="U497" s="195">
        <f>MATCH($F497,Reference!$J$45:$J$54,0)</f>
        <v>10</v>
      </c>
      <c r="V497" s="196">
        <f>MATCH($K497,Reference!$J$37:$J$39,0)</f>
        <v>3</v>
      </c>
      <c r="W497" s="197">
        <f t="shared" ref="W497:W560" si="749">MIN((G497+H497),2)</f>
        <v>2</v>
      </c>
      <c r="X497" s="197">
        <f t="shared" si="1"/>
        <v>1</v>
      </c>
      <c r="Y497" s="197">
        <f t="shared" ref="Y497:Y533" si="750">(MIN(G497,2)+H497-W497)*100</f>
        <v>0</v>
      </c>
      <c r="Z497" s="197">
        <f t="shared" ref="Z497:Z560" si="751">MIN((G497+H497),2)</f>
        <v>2</v>
      </c>
      <c r="AA497" s="199" t="b">
        <f t="shared" si="3"/>
        <v>0</v>
      </c>
      <c r="AB497" s="199" t="b">
        <f t="shared" si="4"/>
        <v>0</v>
      </c>
      <c r="AC497" s="200">
        <f t="shared" ref="AC497:AD497" si="752">1-I497</f>
        <v>1</v>
      </c>
      <c r="AD497" s="200">
        <f t="shared" si="752"/>
        <v>1</v>
      </c>
      <c r="AE497" s="199">
        <f t="shared" si="6"/>
        <v>2</v>
      </c>
      <c r="AF497" s="201">
        <f t="shared" ref="AF497:AF560" si="753">MIN((H497),2)</f>
        <v>0</v>
      </c>
      <c r="AG497" s="201">
        <f t="shared" si="8"/>
        <v>1</v>
      </c>
      <c r="AH497" s="202">
        <f t="shared" ref="AH497:AH533" si="754">(MIN(H497,2)+G497-W497)*20</f>
        <v>0</v>
      </c>
      <c r="AI497" s="205"/>
      <c r="AJ497" s="173"/>
      <c r="AK497" s="173"/>
      <c r="AL497" s="173"/>
      <c r="AM497" s="173"/>
      <c r="AN497" s="173"/>
      <c r="AO497" s="173"/>
      <c r="AP497" s="173"/>
      <c r="AQ497" s="173"/>
      <c r="AR497" s="173"/>
      <c r="AS497" s="173"/>
      <c r="AT497" s="173"/>
      <c r="AU497" s="173"/>
      <c r="AV497" s="173"/>
    </row>
    <row r="498" spans="1:48" ht="14.25">
      <c r="A498" s="206"/>
      <c r="B498" s="437">
        <v>1</v>
      </c>
      <c r="C498" s="438" t="s">
        <v>1144</v>
      </c>
      <c r="D498" s="439" t="s">
        <v>68</v>
      </c>
      <c r="E498" s="439" t="s">
        <v>80</v>
      </c>
      <c r="F498" s="439" t="s">
        <v>18</v>
      </c>
      <c r="G498" s="440">
        <v>2</v>
      </c>
      <c r="H498" s="440">
        <v>0</v>
      </c>
      <c r="I498" s="441">
        <v>1</v>
      </c>
      <c r="J498" s="441">
        <v>1</v>
      </c>
      <c r="K498" s="442" t="s">
        <v>146</v>
      </c>
      <c r="L498" s="442"/>
      <c r="M498" s="442"/>
      <c r="N498" s="442"/>
      <c r="O498" s="443" t="s">
        <v>1145</v>
      </c>
      <c r="P498" s="313"/>
      <c r="Q498" s="439" t="s">
        <v>979</v>
      </c>
      <c r="R498" s="173"/>
      <c r="S498" s="195">
        <f>MATCH($D498,Reference!$J$5:$J$9,0)</f>
        <v>3</v>
      </c>
      <c r="T498" s="195">
        <f>MATCH($E498,Reference!$J$26:$J$32,0)</f>
        <v>5</v>
      </c>
      <c r="U498" s="195">
        <f>MATCH($F498,Reference!$J$45:$J$54,0)</f>
        <v>5</v>
      </c>
      <c r="V498" s="196">
        <f>MATCH($K498,Reference!$J$37:$J$39,0)</f>
        <v>2</v>
      </c>
      <c r="W498" s="197">
        <f t="shared" si="749"/>
        <v>2</v>
      </c>
      <c r="X498" s="197">
        <f t="shared" si="1"/>
        <v>1</v>
      </c>
      <c r="Y498" s="197">
        <f t="shared" si="750"/>
        <v>0</v>
      </c>
      <c r="Z498" s="197">
        <f t="shared" si="751"/>
        <v>2</v>
      </c>
      <c r="AA498" s="199" t="b">
        <f t="shared" si="3"/>
        <v>0</v>
      </c>
      <c r="AB498" s="199" t="b">
        <f t="shared" si="4"/>
        <v>0</v>
      </c>
      <c r="AC498" s="200">
        <f t="shared" ref="AC498:AD498" si="755">1-I498</f>
        <v>0</v>
      </c>
      <c r="AD498" s="200">
        <f t="shared" si="755"/>
        <v>0</v>
      </c>
      <c r="AE498" s="199">
        <f t="shared" si="6"/>
        <v>2</v>
      </c>
      <c r="AF498" s="201">
        <f t="shared" si="753"/>
        <v>0</v>
      </c>
      <c r="AG498" s="201">
        <f t="shared" si="8"/>
        <v>1</v>
      </c>
      <c r="AH498" s="202">
        <f t="shared" si="754"/>
        <v>0</v>
      </c>
      <c r="AI498" s="205"/>
      <c r="AJ498" s="173"/>
      <c r="AK498" s="173"/>
      <c r="AL498" s="173"/>
      <c r="AM498" s="173"/>
      <c r="AN498" s="173"/>
      <c r="AO498" s="173"/>
      <c r="AP498" s="173"/>
      <c r="AQ498" s="173"/>
      <c r="AR498" s="173"/>
      <c r="AS498" s="173"/>
      <c r="AT498" s="173"/>
      <c r="AU498" s="173"/>
      <c r="AV498" s="173"/>
    </row>
    <row r="499" spans="1:48" ht="14.25">
      <c r="A499" s="209"/>
      <c r="B499" s="437">
        <v>2</v>
      </c>
      <c r="C499" s="438" t="s">
        <v>1146</v>
      </c>
      <c r="D499" s="439" t="s">
        <v>68</v>
      </c>
      <c r="E499" s="439" t="s">
        <v>80</v>
      </c>
      <c r="F499" s="439" t="s">
        <v>11</v>
      </c>
      <c r="G499" s="445">
        <v>2</v>
      </c>
      <c r="H499" s="445">
        <v>0</v>
      </c>
      <c r="I499" s="441">
        <v>0.33</v>
      </c>
      <c r="J499" s="446">
        <v>0.33</v>
      </c>
      <c r="K499" s="447" t="s">
        <v>146</v>
      </c>
      <c r="L499" s="447"/>
      <c r="M499" s="447"/>
      <c r="N499" s="447"/>
      <c r="O499" s="448" t="s">
        <v>1147</v>
      </c>
      <c r="P499" s="313"/>
      <c r="Q499" s="439" t="s">
        <v>979</v>
      </c>
      <c r="R499" s="173"/>
      <c r="S499" s="195">
        <f>MATCH($D499,Reference!$J$5:$J$9,0)</f>
        <v>3</v>
      </c>
      <c r="T499" s="195">
        <f>MATCH($E499,Reference!$J$26:$J$32,0)</f>
        <v>5</v>
      </c>
      <c r="U499" s="195">
        <f>MATCH($F499,Reference!$J$45:$J$54,0)</f>
        <v>2</v>
      </c>
      <c r="V499" s="196">
        <f>MATCH($K499,Reference!$J$37:$J$39,0)</f>
        <v>2</v>
      </c>
      <c r="W499" s="197">
        <f t="shared" si="749"/>
        <v>2</v>
      </c>
      <c r="X499" s="197">
        <f t="shared" si="1"/>
        <v>1</v>
      </c>
      <c r="Y499" s="197">
        <f t="shared" si="750"/>
        <v>0</v>
      </c>
      <c r="Z499" s="197">
        <f t="shared" si="751"/>
        <v>2</v>
      </c>
      <c r="AA499" s="199" t="b">
        <f t="shared" si="3"/>
        <v>0</v>
      </c>
      <c r="AB499" s="199" t="b">
        <f t="shared" si="4"/>
        <v>0</v>
      </c>
      <c r="AC499" s="200">
        <f t="shared" ref="AC499:AD499" si="756">1-I499</f>
        <v>0.66999999999999993</v>
      </c>
      <c r="AD499" s="200">
        <f t="shared" si="756"/>
        <v>0.66999999999999993</v>
      </c>
      <c r="AE499" s="199">
        <f t="shared" si="6"/>
        <v>2</v>
      </c>
      <c r="AF499" s="201">
        <f t="shared" si="753"/>
        <v>0</v>
      </c>
      <c r="AG499" s="201">
        <f t="shared" si="8"/>
        <v>1</v>
      </c>
      <c r="AH499" s="202">
        <f t="shared" si="754"/>
        <v>0</v>
      </c>
      <c r="AI499" s="205"/>
      <c r="AJ499" s="173"/>
      <c r="AK499" s="173"/>
      <c r="AL499" s="173"/>
      <c r="AM499" s="173"/>
      <c r="AN499" s="173"/>
      <c r="AO499" s="173"/>
      <c r="AP499" s="173"/>
      <c r="AQ499" s="173"/>
      <c r="AR499" s="173"/>
      <c r="AS499" s="173"/>
      <c r="AT499" s="173"/>
      <c r="AU499" s="173"/>
      <c r="AV499" s="173"/>
    </row>
    <row r="500" spans="1:48" ht="14.25">
      <c r="A500" s="209"/>
      <c r="B500" s="437">
        <v>2</v>
      </c>
      <c r="C500" s="438" t="s">
        <v>1148</v>
      </c>
      <c r="D500" s="439" t="s">
        <v>68</v>
      </c>
      <c r="E500" s="439" t="s">
        <v>80</v>
      </c>
      <c r="F500" s="439" t="s">
        <v>25</v>
      </c>
      <c r="G500" s="440">
        <v>2</v>
      </c>
      <c r="H500" s="449">
        <v>0</v>
      </c>
      <c r="I500" s="441">
        <v>0.33</v>
      </c>
      <c r="J500" s="441">
        <v>0.33</v>
      </c>
      <c r="K500" s="439" t="s">
        <v>182</v>
      </c>
      <c r="L500" s="439" t="s">
        <v>239</v>
      </c>
      <c r="M500" s="450">
        <v>1</v>
      </c>
      <c r="N500" s="451">
        <v>4</v>
      </c>
      <c r="O500" s="452" t="s">
        <v>1149</v>
      </c>
      <c r="P500" s="318"/>
      <c r="Q500" s="439" t="s">
        <v>979</v>
      </c>
      <c r="R500" s="173"/>
      <c r="S500" s="195">
        <f>MATCH($D500,Reference!$J$5:$J$9,0)</f>
        <v>3</v>
      </c>
      <c r="T500" s="195">
        <f>MATCH($E500,Reference!$J$26:$J$32,0)</f>
        <v>5</v>
      </c>
      <c r="U500" s="195">
        <f>MATCH($F500,Reference!$J$45:$J$54,0)</f>
        <v>8</v>
      </c>
      <c r="V500" s="196">
        <f>MATCH($K500,Reference!$J$37:$J$39,0)</f>
        <v>3</v>
      </c>
      <c r="W500" s="197">
        <f t="shared" si="749"/>
        <v>2</v>
      </c>
      <c r="X500" s="197">
        <f t="shared" si="1"/>
        <v>1</v>
      </c>
      <c r="Y500" s="197">
        <f t="shared" si="750"/>
        <v>0</v>
      </c>
      <c r="Z500" s="197">
        <f t="shared" si="751"/>
        <v>2</v>
      </c>
      <c r="AA500" s="199" t="b">
        <f t="shared" si="3"/>
        <v>0</v>
      </c>
      <c r="AB500" s="199" t="b">
        <f t="shared" si="4"/>
        <v>0</v>
      </c>
      <c r="AC500" s="200">
        <f t="shared" ref="AC500:AD500" si="757">1-I500</f>
        <v>0.66999999999999993</v>
      </c>
      <c r="AD500" s="200">
        <f t="shared" si="757"/>
        <v>0.66999999999999993</v>
      </c>
      <c r="AE500" s="199">
        <f t="shared" si="6"/>
        <v>2</v>
      </c>
      <c r="AF500" s="201">
        <f t="shared" si="753"/>
        <v>0</v>
      </c>
      <c r="AG500" s="201">
        <f t="shared" si="8"/>
        <v>1</v>
      </c>
      <c r="AH500" s="202">
        <f t="shared" si="754"/>
        <v>0</v>
      </c>
      <c r="AI500" s="205"/>
      <c r="AJ500" s="173"/>
      <c r="AK500" s="173"/>
      <c r="AL500" s="173"/>
      <c r="AM500" s="173"/>
      <c r="AN500" s="173"/>
      <c r="AO500" s="173"/>
      <c r="AP500" s="173"/>
      <c r="AQ500" s="173"/>
      <c r="AR500" s="173"/>
      <c r="AS500" s="173"/>
      <c r="AT500" s="173"/>
      <c r="AU500" s="173"/>
      <c r="AV500" s="173"/>
    </row>
    <row r="501" spans="1:48" ht="14.25">
      <c r="A501" s="187"/>
      <c r="B501" s="437">
        <v>2</v>
      </c>
      <c r="C501" s="438" t="s">
        <v>1150</v>
      </c>
      <c r="D501" s="439" t="s">
        <v>68</v>
      </c>
      <c r="E501" s="439" t="s">
        <v>80</v>
      </c>
      <c r="F501" s="439" t="s">
        <v>20</v>
      </c>
      <c r="G501" s="440">
        <v>2</v>
      </c>
      <c r="H501" s="440">
        <v>0</v>
      </c>
      <c r="I501" s="441">
        <v>0.33</v>
      </c>
      <c r="J501" s="441">
        <v>0.33</v>
      </c>
      <c r="K501" s="442" t="s">
        <v>182</v>
      </c>
      <c r="L501" s="442" t="s">
        <v>536</v>
      </c>
      <c r="M501" s="442">
        <v>4</v>
      </c>
      <c r="N501" s="442">
        <v>1</v>
      </c>
      <c r="O501" s="443" t="s">
        <v>1151</v>
      </c>
      <c r="P501" s="444" t="s">
        <v>497</v>
      </c>
      <c r="Q501" s="439" t="s">
        <v>979</v>
      </c>
      <c r="R501" s="173"/>
      <c r="S501" s="195">
        <f>MATCH($D501,Reference!$J$5:$J$9,0)</f>
        <v>3</v>
      </c>
      <c r="T501" s="195">
        <f>MATCH($E501,Reference!$J$26:$J$32,0)</f>
        <v>5</v>
      </c>
      <c r="U501" s="195">
        <f>MATCH($F501,Reference!$J$45:$J$54,0)</f>
        <v>6</v>
      </c>
      <c r="V501" s="196">
        <f>MATCH($K501,Reference!$J$37:$J$39,0)</f>
        <v>3</v>
      </c>
      <c r="W501" s="197">
        <f t="shared" si="749"/>
        <v>2</v>
      </c>
      <c r="X501" s="197">
        <f t="shared" si="1"/>
        <v>1</v>
      </c>
      <c r="Y501" s="197">
        <f t="shared" si="750"/>
        <v>0</v>
      </c>
      <c r="Z501" s="197">
        <f t="shared" si="751"/>
        <v>2</v>
      </c>
      <c r="AA501" s="199" t="b">
        <f t="shared" si="3"/>
        <v>0</v>
      </c>
      <c r="AB501" s="199" t="b">
        <f t="shared" si="4"/>
        <v>0</v>
      </c>
      <c r="AC501" s="200">
        <f t="shared" ref="AC501:AD501" si="758">1-I501</f>
        <v>0.66999999999999993</v>
      </c>
      <c r="AD501" s="200">
        <f t="shared" si="758"/>
        <v>0.66999999999999993</v>
      </c>
      <c r="AE501" s="199">
        <f t="shared" si="6"/>
        <v>2</v>
      </c>
      <c r="AF501" s="201">
        <f t="shared" si="753"/>
        <v>0</v>
      </c>
      <c r="AG501" s="201">
        <f t="shared" si="8"/>
        <v>1</v>
      </c>
      <c r="AH501" s="202">
        <f t="shared" si="754"/>
        <v>0</v>
      </c>
      <c r="AI501" s="205"/>
      <c r="AJ501" s="173"/>
      <c r="AK501" s="173"/>
      <c r="AL501" s="173"/>
      <c r="AM501" s="173"/>
      <c r="AN501" s="173"/>
      <c r="AO501" s="173"/>
      <c r="AP501" s="173"/>
      <c r="AQ501" s="173"/>
      <c r="AR501" s="173"/>
      <c r="AS501" s="173"/>
      <c r="AT501" s="173"/>
      <c r="AU501" s="173"/>
      <c r="AV501" s="173"/>
    </row>
    <row r="502" spans="1:48" ht="14.25">
      <c r="A502" s="213"/>
      <c r="B502" s="437">
        <v>2</v>
      </c>
      <c r="C502" s="438" t="s">
        <v>1152</v>
      </c>
      <c r="D502" s="439" t="s">
        <v>68</v>
      </c>
      <c r="E502" s="439" t="s">
        <v>80</v>
      </c>
      <c r="F502" s="439" t="s">
        <v>18</v>
      </c>
      <c r="G502" s="440">
        <v>2</v>
      </c>
      <c r="H502" s="449">
        <v>0</v>
      </c>
      <c r="I502" s="441">
        <v>0.66</v>
      </c>
      <c r="J502" s="441">
        <v>0.66</v>
      </c>
      <c r="K502" s="442" t="s">
        <v>182</v>
      </c>
      <c r="L502" s="453" t="s">
        <v>602</v>
      </c>
      <c r="M502" s="442">
        <v>2</v>
      </c>
      <c r="N502" s="442">
        <v>3</v>
      </c>
      <c r="O502" s="452" t="s">
        <v>1153</v>
      </c>
      <c r="P502" s="318"/>
      <c r="Q502" s="439" t="s">
        <v>979</v>
      </c>
      <c r="R502" s="173"/>
      <c r="S502" s="195">
        <f>MATCH($D502,Reference!$J$5:$J$9,0)</f>
        <v>3</v>
      </c>
      <c r="T502" s="195">
        <f>MATCH($E502,Reference!$J$26:$J$32,0)</f>
        <v>5</v>
      </c>
      <c r="U502" s="195">
        <f>MATCH($F502,Reference!$J$45:$J$54,0)</f>
        <v>5</v>
      </c>
      <c r="V502" s="196">
        <f>MATCH($K502,Reference!$J$37:$J$39,0)</f>
        <v>3</v>
      </c>
      <c r="W502" s="197">
        <f t="shared" si="749"/>
        <v>2</v>
      </c>
      <c r="X502" s="197">
        <f t="shared" si="1"/>
        <v>1</v>
      </c>
      <c r="Y502" s="197">
        <f t="shared" si="750"/>
        <v>0</v>
      </c>
      <c r="Z502" s="197">
        <f t="shared" si="751"/>
        <v>2</v>
      </c>
      <c r="AA502" s="199" t="b">
        <f t="shared" si="3"/>
        <v>0</v>
      </c>
      <c r="AB502" s="199" t="b">
        <f t="shared" si="4"/>
        <v>0</v>
      </c>
      <c r="AC502" s="200">
        <f t="shared" ref="AC502:AD502" si="759">1-I502</f>
        <v>0.33999999999999997</v>
      </c>
      <c r="AD502" s="200">
        <f t="shared" si="759"/>
        <v>0.33999999999999997</v>
      </c>
      <c r="AE502" s="199">
        <f t="shared" si="6"/>
        <v>2</v>
      </c>
      <c r="AF502" s="201">
        <f t="shared" si="753"/>
        <v>0</v>
      </c>
      <c r="AG502" s="201">
        <f t="shared" si="8"/>
        <v>1</v>
      </c>
      <c r="AH502" s="202">
        <f t="shared" si="754"/>
        <v>0</v>
      </c>
      <c r="AI502" s="205"/>
      <c r="AJ502" s="173"/>
      <c r="AK502" s="173"/>
      <c r="AL502" s="173"/>
      <c r="AM502" s="173"/>
      <c r="AN502" s="173"/>
      <c r="AO502" s="173"/>
      <c r="AP502" s="173"/>
      <c r="AQ502" s="173"/>
      <c r="AR502" s="173"/>
      <c r="AS502" s="173"/>
      <c r="AT502" s="173"/>
      <c r="AU502" s="173"/>
      <c r="AV502" s="173"/>
    </row>
    <row r="503" spans="1:48" ht="14.25">
      <c r="A503" s="240"/>
      <c r="B503" s="437">
        <v>2</v>
      </c>
      <c r="C503" s="438" t="s">
        <v>1154</v>
      </c>
      <c r="D503" s="439" t="s">
        <v>68</v>
      </c>
      <c r="E503" s="439" t="s">
        <v>80</v>
      </c>
      <c r="F503" s="439" t="s">
        <v>13</v>
      </c>
      <c r="G503" s="440">
        <v>2</v>
      </c>
      <c r="H503" s="440">
        <v>0</v>
      </c>
      <c r="I503" s="441">
        <v>1</v>
      </c>
      <c r="J503" s="441">
        <v>1</v>
      </c>
      <c r="K503" s="442" t="s">
        <v>146</v>
      </c>
      <c r="L503" s="442"/>
      <c r="M503" s="442"/>
      <c r="N503" s="442"/>
      <c r="O503" s="443" t="s">
        <v>1155</v>
      </c>
      <c r="P503" s="313"/>
      <c r="Q503" s="439" t="s">
        <v>979</v>
      </c>
      <c r="R503" s="173"/>
      <c r="S503" s="195">
        <f>MATCH($D503,Reference!$J$5:$J$9,0)</f>
        <v>3</v>
      </c>
      <c r="T503" s="195">
        <f>MATCH($E503,Reference!$J$26:$J$32,0)</f>
        <v>5</v>
      </c>
      <c r="U503" s="195">
        <f>MATCH($F503,Reference!$J$45:$J$54,0)</f>
        <v>3</v>
      </c>
      <c r="V503" s="196">
        <f>MATCH($K503,Reference!$J$37:$J$39,0)</f>
        <v>2</v>
      </c>
      <c r="W503" s="197">
        <f t="shared" si="749"/>
        <v>2</v>
      </c>
      <c r="X503" s="197">
        <f t="shared" si="1"/>
        <v>1</v>
      </c>
      <c r="Y503" s="197">
        <f t="shared" si="750"/>
        <v>0</v>
      </c>
      <c r="Z503" s="197">
        <f t="shared" si="751"/>
        <v>2</v>
      </c>
      <c r="AA503" s="199" t="b">
        <f t="shared" si="3"/>
        <v>0</v>
      </c>
      <c r="AB503" s="199" t="b">
        <f t="shared" si="4"/>
        <v>0</v>
      </c>
      <c r="AC503" s="200">
        <f t="shared" ref="AC503:AD503" si="760">1-I503</f>
        <v>0</v>
      </c>
      <c r="AD503" s="200">
        <f t="shared" si="760"/>
        <v>0</v>
      </c>
      <c r="AE503" s="199">
        <f t="shared" si="6"/>
        <v>2</v>
      </c>
      <c r="AF503" s="201">
        <f t="shared" si="753"/>
        <v>0</v>
      </c>
      <c r="AG503" s="201">
        <f t="shared" si="8"/>
        <v>1</v>
      </c>
      <c r="AH503" s="202">
        <f t="shared" si="754"/>
        <v>0</v>
      </c>
      <c r="AI503" s="205"/>
      <c r="AJ503" s="173"/>
      <c r="AK503" s="173"/>
      <c r="AL503" s="173"/>
      <c r="AM503" s="173"/>
      <c r="AN503" s="173"/>
      <c r="AO503" s="173"/>
      <c r="AP503" s="173"/>
      <c r="AQ503" s="173"/>
      <c r="AR503" s="173"/>
      <c r="AS503" s="173"/>
      <c r="AT503" s="173"/>
      <c r="AU503" s="173"/>
      <c r="AV503" s="173"/>
    </row>
    <row r="504" spans="1:48" ht="14.25">
      <c r="A504" s="187"/>
      <c r="B504" s="437">
        <v>2</v>
      </c>
      <c r="C504" s="438" t="s">
        <v>1156</v>
      </c>
      <c r="D504" s="439" t="s">
        <v>68</v>
      </c>
      <c r="E504" s="439" t="s">
        <v>80</v>
      </c>
      <c r="F504" s="439" t="s">
        <v>21</v>
      </c>
      <c r="G504" s="440">
        <v>1</v>
      </c>
      <c r="H504" s="440">
        <v>0</v>
      </c>
      <c r="I504" s="441">
        <v>0</v>
      </c>
      <c r="J504" s="441">
        <v>0</v>
      </c>
      <c r="K504" s="442" t="s">
        <v>182</v>
      </c>
      <c r="L504" s="442" t="s">
        <v>257</v>
      </c>
      <c r="M504" s="442">
        <v>0</v>
      </c>
      <c r="N504" s="442">
        <v>3</v>
      </c>
      <c r="O504" s="443" t="s">
        <v>1157</v>
      </c>
      <c r="P504" s="313"/>
      <c r="Q504" s="439" t="s">
        <v>979</v>
      </c>
      <c r="R504" s="173"/>
      <c r="S504" s="195">
        <f>MATCH($D504,Reference!$J$5:$J$9,0)</f>
        <v>3</v>
      </c>
      <c r="T504" s="195">
        <f>MATCH($E504,Reference!$J$26:$J$32,0)</f>
        <v>5</v>
      </c>
      <c r="U504" s="195">
        <f>MATCH($F504,Reference!$J$45:$J$54,0)</f>
        <v>7</v>
      </c>
      <c r="V504" s="196">
        <f>MATCH($K504,Reference!$J$37:$J$39,0)</f>
        <v>3</v>
      </c>
      <c r="W504" s="197">
        <f t="shared" si="749"/>
        <v>1</v>
      </c>
      <c r="X504" s="197">
        <f t="shared" si="1"/>
        <v>1</v>
      </c>
      <c r="Y504" s="197">
        <f t="shared" si="750"/>
        <v>0</v>
      </c>
      <c r="Z504" s="197">
        <f t="shared" si="751"/>
        <v>1</v>
      </c>
      <c r="AA504" s="199" t="b">
        <f t="shared" si="3"/>
        <v>0</v>
      </c>
      <c r="AB504" s="199" t="b">
        <f t="shared" si="4"/>
        <v>1</v>
      </c>
      <c r="AC504" s="200">
        <f t="shared" ref="AC504:AD504" si="761">1-I504</f>
        <v>1</v>
      </c>
      <c r="AD504" s="200">
        <f t="shared" si="761"/>
        <v>1</v>
      </c>
      <c r="AE504" s="199">
        <f t="shared" si="6"/>
        <v>2</v>
      </c>
      <c r="AF504" s="201">
        <f t="shared" si="753"/>
        <v>0</v>
      </c>
      <c r="AG504" s="201">
        <f t="shared" si="8"/>
        <v>1</v>
      </c>
      <c r="AH504" s="202">
        <f t="shared" si="754"/>
        <v>0</v>
      </c>
      <c r="AI504" s="205"/>
      <c r="AJ504" s="173"/>
      <c r="AK504" s="173"/>
      <c r="AL504" s="173"/>
      <c r="AM504" s="173"/>
      <c r="AN504" s="173"/>
      <c r="AO504" s="173"/>
      <c r="AP504" s="173"/>
      <c r="AQ504" s="173"/>
      <c r="AR504" s="173"/>
      <c r="AS504" s="173"/>
      <c r="AT504" s="173"/>
      <c r="AU504" s="173"/>
      <c r="AV504" s="173"/>
    </row>
    <row r="505" spans="1:48" ht="14.25">
      <c r="A505" s="187"/>
      <c r="B505" s="437">
        <v>3</v>
      </c>
      <c r="C505" s="438" t="s">
        <v>1158</v>
      </c>
      <c r="D505" s="439" t="s">
        <v>68</v>
      </c>
      <c r="E505" s="439" t="s">
        <v>80</v>
      </c>
      <c r="F505" s="439" t="s">
        <v>115</v>
      </c>
      <c r="G505" s="440">
        <v>0</v>
      </c>
      <c r="H505" s="440">
        <v>0</v>
      </c>
      <c r="I505" s="441">
        <v>0.66</v>
      </c>
      <c r="J505" s="441">
        <v>0.66</v>
      </c>
      <c r="K505" s="442" t="s">
        <v>182</v>
      </c>
      <c r="L505" s="442"/>
      <c r="M505" s="442">
        <v>3</v>
      </c>
      <c r="N505" s="442">
        <v>2</v>
      </c>
      <c r="O505" s="443" t="s">
        <v>1159</v>
      </c>
      <c r="P505" s="444" t="s">
        <v>184</v>
      </c>
      <c r="Q505" s="439" t="s">
        <v>979</v>
      </c>
      <c r="R505" s="173"/>
      <c r="S505" s="195">
        <f>MATCH($D505,Reference!$J$5:$J$9,0)</f>
        <v>3</v>
      </c>
      <c r="T505" s="195">
        <f>MATCH($E505,Reference!$J$26:$J$32,0)</f>
        <v>5</v>
      </c>
      <c r="U505" s="195">
        <f>MATCH($F505,Reference!$J$45:$J$54,0)</f>
        <v>10</v>
      </c>
      <c r="V505" s="196">
        <f>MATCH($K505,Reference!$J$37:$J$39,0)</f>
        <v>3</v>
      </c>
      <c r="W505" s="197">
        <f t="shared" si="749"/>
        <v>0</v>
      </c>
      <c r="X505" s="197">
        <f t="shared" si="1"/>
        <v>0</v>
      </c>
      <c r="Y505" s="197">
        <f t="shared" si="750"/>
        <v>0</v>
      </c>
      <c r="Z505" s="197">
        <f t="shared" si="751"/>
        <v>0</v>
      </c>
      <c r="AA505" s="199" t="b">
        <f t="shared" si="3"/>
        <v>1</v>
      </c>
      <c r="AB505" s="199" t="b">
        <f t="shared" si="4"/>
        <v>1</v>
      </c>
      <c r="AC505" s="200">
        <f t="shared" ref="AC505:AD505" si="762">1-I505</f>
        <v>0.33999999999999997</v>
      </c>
      <c r="AD505" s="200">
        <f t="shared" si="762"/>
        <v>0.33999999999999997</v>
      </c>
      <c r="AE505" s="199">
        <f t="shared" si="6"/>
        <v>0.67999999999999994</v>
      </c>
      <c r="AF505" s="201">
        <f t="shared" si="753"/>
        <v>0</v>
      </c>
      <c r="AG505" s="201">
        <f t="shared" si="8"/>
        <v>0</v>
      </c>
      <c r="AH505" s="202">
        <f t="shared" si="754"/>
        <v>0</v>
      </c>
      <c r="AI505" s="205"/>
      <c r="AJ505" s="173"/>
      <c r="AK505" s="173"/>
      <c r="AL505" s="173"/>
      <c r="AM505" s="173"/>
      <c r="AN505" s="173"/>
      <c r="AO505" s="173"/>
      <c r="AP505" s="173"/>
      <c r="AQ505" s="173"/>
      <c r="AR505" s="173"/>
      <c r="AS505" s="173"/>
      <c r="AT505" s="173"/>
      <c r="AU505" s="173"/>
      <c r="AV505" s="173"/>
    </row>
    <row r="506" spans="1:48" ht="14.25">
      <c r="A506" s="209"/>
      <c r="B506" s="437">
        <v>3</v>
      </c>
      <c r="C506" s="438" t="s">
        <v>1160</v>
      </c>
      <c r="D506" s="439" t="s">
        <v>68</v>
      </c>
      <c r="E506" s="439" t="s">
        <v>80</v>
      </c>
      <c r="F506" s="439" t="s">
        <v>115</v>
      </c>
      <c r="G506" s="440">
        <v>2</v>
      </c>
      <c r="H506" s="449">
        <v>0</v>
      </c>
      <c r="I506" s="441">
        <v>0</v>
      </c>
      <c r="J506" s="441">
        <v>0</v>
      </c>
      <c r="K506" s="442" t="s">
        <v>182</v>
      </c>
      <c r="L506" s="442"/>
      <c r="M506" s="442">
        <v>2</v>
      </c>
      <c r="N506" s="442">
        <v>4</v>
      </c>
      <c r="O506" s="443" t="s">
        <v>1161</v>
      </c>
      <c r="P506" s="313"/>
      <c r="Q506" s="439" t="s">
        <v>979</v>
      </c>
      <c r="R506" s="173"/>
      <c r="S506" s="195">
        <f>MATCH($D506,Reference!$J$5:$J$9,0)</f>
        <v>3</v>
      </c>
      <c r="T506" s="195">
        <f>MATCH($E506,Reference!$J$26:$J$32,0)</f>
        <v>5</v>
      </c>
      <c r="U506" s="195">
        <f>MATCH($F506,Reference!$J$45:$J$54,0)</f>
        <v>10</v>
      </c>
      <c r="V506" s="196">
        <f>MATCH($K506,Reference!$J$37:$J$39,0)</f>
        <v>3</v>
      </c>
      <c r="W506" s="197">
        <f t="shared" si="749"/>
        <v>2</v>
      </c>
      <c r="X506" s="197">
        <f t="shared" si="1"/>
        <v>1</v>
      </c>
      <c r="Y506" s="197">
        <f t="shared" si="750"/>
        <v>0</v>
      </c>
      <c r="Z506" s="197">
        <f t="shared" si="751"/>
        <v>2</v>
      </c>
      <c r="AA506" s="199" t="b">
        <f t="shared" si="3"/>
        <v>0</v>
      </c>
      <c r="AB506" s="199" t="b">
        <f t="shared" si="4"/>
        <v>0</v>
      </c>
      <c r="AC506" s="200">
        <f t="shared" ref="AC506:AD506" si="763">1-I506</f>
        <v>1</v>
      </c>
      <c r="AD506" s="200">
        <f t="shared" si="763"/>
        <v>1</v>
      </c>
      <c r="AE506" s="199">
        <f t="shared" si="6"/>
        <v>2</v>
      </c>
      <c r="AF506" s="201">
        <f t="shared" si="753"/>
        <v>0</v>
      </c>
      <c r="AG506" s="201">
        <f t="shared" si="8"/>
        <v>1</v>
      </c>
      <c r="AH506" s="202">
        <f t="shared" si="754"/>
        <v>0</v>
      </c>
      <c r="AI506" s="205"/>
      <c r="AJ506" s="173"/>
      <c r="AK506" s="173"/>
      <c r="AL506" s="173"/>
      <c r="AM506" s="173"/>
      <c r="AN506" s="173"/>
      <c r="AO506" s="173"/>
      <c r="AP506" s="173"/>
      <c r="AQ506" s="173"/>
      <c r="AR506" s="173"/>
      <c r="AS506" s="173"/>
      <c r="AT506" s="173"/>
      <c r="AU506" s="173"/>
      <c r="AV506" s="173"/>
    </row>
    <row r="507" spans="1:48" ht="14.25">
      <c r="A507" s="187"/>
      <c r="B507" s="437">
        <v>3</v>
      </c>
      <c r="C507" s="438" t="s">
        <v>1162</v>
      </c>
      <c r="D507" s="439" t="s">
        <v>68</v>
      </c>
      <c r="E507" s="439" t="s">
        <v>80</v>
      </c>
      <c r="F507" s="439" t="s">
        <v>8</v>
      </c>
      <c r="G507" s="445">
        <v>2</v>
      </c>
      <c r="H507" s="454">
        <v>0</v>
      </c>
      <c r="I507" s="441">
        <v>0.33</v>
      </c>
      <c r="J507" s="446">
        <v>0.33</v>
      </c>
      <c r="K507" s="447" t="s">
        <v>182</v>
      </c>
      <c r="L507" s="455"/>
      <c r="M507" s="447">
        <v>2</v>
      </c>
      <c r="N507" s="447">
        <v>4</v>
      </c>
      <c r="O507" s="456" t="s">
        <v>1163</v>
      </c>
      <c r="P507" s="457" t="s">
        <v>651</v>
      </c>
      <c r="Q507" s="439" t="s">
        <v>979</v>
      </c>
      <c r="R507" s="173"/>
      <c r="S507" s="195">
        <f>MATCH($D507,Reference!$J$5:$J$9,0)</f>
        <v>3</v>
      </c>
      <c r="T507" s="195">
        <f>MATCH($E507,Reference!$J$26:$J$32,0)</f>
        <v>5</v>
      </c>
      <c r="U507" s="195">
        <f>MATCH($F507,Reference!$J$45:$J$54,0)</f>
        <v>1</v>
      </c>
      <c r="V507" s="196">
        <f>MATCH($K507,Reference!$J$37:$J$39,0)</f>
        <v>3</v>
      </c>
      <c r="W507" s="197">
        <f t="shared" si="749"/>
        <v>2</v>
      </c>
      <c r="X507" s="197">
        <f t="shared" si="1"/>
        <v>1</v>
      </c>
      <c r="Y507" s="197">
        <f t="shared" si="750"/>
        <v>0</v>
      </c>
      <c r="Z507" s="197">
        <f t="shared" si="751"/>
        <v>2</v>
      </c>
      <c r="AA507" s="199" t="b">
        <f t="shared" si="3"/>
        <v>0</v>
      </c>
      <c r="AB507" s="199" t="b">
        <f t="shared" si="4"/>
        <v>0</v>
      </c>
      <c r="AC507" s="200">
        <f t="shared" ref="AC507:AD507" si="764">1-I507</f>
        <v>0.66999999999999993</v>
      </c>
      <c r="AD507" s="200">
        <f t="shared" si="764"/>
        <v>0.66999999999999993</v>
      </c>
      <c r="AE507" s="199">
        <f t="shared" si="6"/>
        <v>2</v>
      </c>
      <c r="AF507" s="201">
        <f t="shared" si="753"/>
        <v>0</v>
      </c>
      <c r="AG507" s="201">
        <f t="shared" si="8"/>
        <v>1</v>
      </c>
      <c r="AH507" s="202">
        <f t="shared" si="754"/>
        <v>0</v>
      </c>
      <c r="AI507" s="205"/>
      <c r="AJ507" s="173"/>
      <c r="AK507" s="173"/>
      <c r="AL507" s="173"/>
      <c r="AM507" s="173"/>
      <c r="AN507" s="173"/>
      <c r="AO507" s="173"/>
      <c r="AP507" s="173"/>
      <c r="AQ507" s="173"/>
      <c r="AR507" s="173"/>
      <c r="AS507" s="173"/>
      <c r="AT507" s="173"/>
      <c r="AU507" s="173"/>
      <c r="AV507" s="173"/>
    </row>
    <row r="508" spans="1:48" ht="14.25">
      <c r="A508" s="209"/>
      <c r="B508" s="437">
        <v>3</v>
      </c>
      <c r="C508" s="438" t="s">
        <v>1164</v>
      </c>
      <c r="D508" s="439" t="s">
        <v>68</v>
      </c>
      <c r="E508" s="439" t="s">
        <v>80</v>
      </c>
      <c r="F508" s="439" t="s">
        <v>115</v>
      </c>
      <c r="G508" s="440">
        <v>2</v>
      </c>
      <c r="H508" s="440">
        <v>0</v>
      </c>
      <c r="I508" s="441">
        <v>0.33</v>
      </c>
      <c r="J508" s="441">
        <v>0.33</v>
      </c>
      <c r="K508" s="442" t="s">
        <v>182</v>
      </c>
      <c r="L508" s="442"/>
      <c r="M508" s="442">
        <v>2</v>
      </c>
      <c r="N508" s="442">
        <v>4</v>
      </c>
      <c r="O508" s="443" t="s">
        <v>1165</v>
      </c>
      <c r="P508" s="313"/>
      <c r="Q508" s="439" t="s">
        <v>979</v>
      </c>
      <c r="R508" s="173"/>
      <c r="S508" s="195">
        <f>MATCH($D508,Reference!$J$5:$J$9,0)</f>
        <v>3</v>
      </c>
      <c r="T508" s="195">
        <f>MATCH($E508,Reference!$J$26:$J$32,0)</f>
        <v>5</v>
      </c>
      <c r="U508" s="195">
        <f>MATCH($F508,Reference!$J$45:$J$54,0)</f>
        <v>10</v>
      </c>
      <c r="V508" s="196">
        <f>MATCH($K508,Reference!$J$37:$J$39,0)</f>
        <v>3</v>
      </c>
      <c r="W508" s="197">
        <f t="shared" si="749"/>
        <v>2</v>
      </c>
      <c r="X508" s="197">
        <f t="shared" si="1"/>
        <v>1</v>
      </c>
      <c r="Y508" s="197">
        <f t="shared" si="750"/>
        <v>0</v>
      </c>
      <c r="Z508" s="197">
        <f t="shared" si="751"/>
        <v>2</v>
      </c>
      <c r="AA508" s="199" t="b">
        <f t="shared" si="3"/>
        <v>0</v>
      </c>
      <c r="AB508" s="199" t="b">
        <f t="shared" si="4"/>
        <v>0</v>
      </c>
      <c r="AC508" s="200">
        <f t="shared" ref="AC508:AD508" si="765">1-I508</f>
        <v>0.66999999999999993</v>
      </c>
      <c r="AD508" s="200">
        <f t="shared" si="765"/>
        <v>0.66999999999999993</v>
      </c>
      <c r="AE508" s="199">
        <f t="shared" si="6"/>
        <v>2</v>
      </c>
      <c r="AF508" s="201">
        <f t="shared" si="753"/>
        <v>0</v>
      </c>
      <c r="AG508" s="201">
        <f t="shared" si="8"/>
        <v>1</v>
      </c>
      <c r="AH508" s="202">
        <f t="shared" si="754"/>
        <v>0</v>
      </c>
      <c r="AI508" s="205"/>
      <c r="AJ508" s="173"/>
      <c r="AK508" s="173"/>
      <c r="AL508" s="173"/>
      <c r="AM508" s="173"/>
      <c r="AN508" s="173"/>
      <c r="AO508" s="173"/>
      <c r="AP508" s="173"/>
      <c r="AQ508" s="173"/>
      <c r="AR508" s="173"/>
      <c r="AS508" s="173"/>
      <c r="AT508" s="173"/>
      <c r="AU508" s="173"/>
      <c r="AV508" s="173"/>
    </row>
    <row r="509" spans="1:48" ht="14.25">
      <c r="A509" s="240"/>
      <c r="B509" s="437">
        <v>3</v>
      </c>
      <c r="C509" s="438" t="s">
        <v>1166</v>
      </c>
      <c r="D509" s="439" t="s">
        <v>68</v>
      </c>
      <c r="E509" s="439" t="s">
        <v>80</v>
      </c>
      <c r="F509" s="439" t="s">
        <v>20</v>
      </c>
      <c r="G509" s="440">
        <v>1</v>
      </c>
      <c r="H509" s="440">
        <v>0</v>
      </c>
      <c r="I509" s="441">
        <v>0.66</v>
      </c>
      <c r="J509" s="441">
        <v>0.66</v>
      </c>
      <c r="K509" s="442" t="s">
        <v>182</v>
      </c>
      <c r="L509" s="442" t="s">
        <v>602</v>
      </c>
      <c r="M509" s="442">
        <v>2</v>
      </c>
      <c r="N509" s="442">
        <v>2</v>
      </c>
      <c r="O509" s="443" t="s">
        <v>1167</v>
      </c>
      <c r="P509" s="313"/>
      <c r="Q509" s="439" t="s">
        <v>979</v>
      </c>
      <c r="R509" s="173"/>
      <c r="S509" s="195">
        <f>MATCH($D509,Reference!$J$5:$J$9,0)</f>
        <v>3</v>
      </c>
      <c r="T509" s="195">
        <f>MATCH($E509,Reference!$J$26:$J$32,0)</f>
        <v>5</v>
      </c>
      <c r="U509" s="195">
        <f>MATCH($F509,Reference!$J$45:$J$54,0)</f>
        <v>6</v>
      </c>
      <c r="V509" s="196">
        <f>MATCH($K509,Reference!$J$37:$J$39,0)</f>
        <v>3</v>
      </c>
      <c r="W509" s="197">
        <f t="shared" si="749"/>
        <v>1</v>
      </c>
      <c r="X509" s="197">
        <f t="shared" si="1"/>
        <v>1</v>
      </c>
      <c r="Y509" s="197">
        <f t="shared" si="750"/>
        <v>0</v>
      </c>
      <c r="Z509" s="197">
        <f t="shared" si="751"/>
        <v>1</v>
      </c>
      <c r="AA509" s="199" t="b">
        <f t="shared" si="3"/>
        <v>0</v>
      </c>
      <c r="AB509" s="199" t="b">
        <f t="shared" si="4"/>
        <v>1</v>
      </c>
      <c r="AC509" s="200">
        <f t="shared" ref="AC509:AD509" si="766">1-I509</f>
        <v>0.33999999999999997</v>
      </c>
      <c r="AD509" s="200">
        <f t="shared" si="766"/>
        <v>0.33999999999999997</v>
      </c>
      <c r="AE509" s="199">
        <f t="shared" si="6"/>
        <v>1.3399999999999999</v>
      </c>
      <c r="AF509" s="201">
        <f t="shared" si="753"/>
        <v>0</v>
      </c>
      <c r="AG509" s="201">
        <f t="shared" si="8"/>
        <v>1</v>
      </c>
      <c r="AH509" s="202">
        <f t="shared" si="754"/>
        <v>0</v>
      </c>
      <c r="AI509" s="205"/>
      <c r="AJ509" s="173"/>
      <c r="AK509" s="173"/>
      <c r="AL509" s="173"/>
      <c r="AM509" s="173"/>
      <c r="AN509" s="173"/>
      <c r="AO509" s="173"/>
      <c r="AP509" s="173"/>
      <c r="AQ509" s="173"/>
      <c r="AR509" s="173"/>
      <c r="AS509" s="173"/>
      <c r="AT509" s="173"/>
      <c r="AU509" s="173"/>
      <c r="AV509" s="173"/>
    </row>
    <row r="510" spans="1:48" ht="14.25">
      <c r="A510" s="187"/>
      <c r="B510" s="437">
        <v>3</v>
      </c>
      <c r="C510" s="438" t="s">
        <v>1168</v>
      </c>
      <c r="D510" s="439" t="s">
        <v>68</v>
      </c>
      <c r="E510" s="439" t="s">
        <v>80</v>
      </c>
      <c r="F510" s="439" t="s">
        <v>115</v>
      </c>
      <c r="G510" s="440">
        <v>0</v>
      </c>
      <c r="H510" s="440">
        <v>0</v>
      </c>
      <c r="I510" s="441">
        <v>0.33</v>
      </c>
      <c r="J510" s="441">
        <v>0.33</v>
      </c>
      <c r="K510" s="442" t="s">
        <v>182</v>
      </c>
      <c r="L510" s="442"/>
      <c r="M510" s="442">
        <v>2</v>
      </c>
      <c r="N510" s="442">
        <v>3</v>
      </c>
      <c r="O510" s="443" t="s">
        <v>1169</v>
      </c>
      <c r="P510" s="444" t="s">
        <v>193</v>
      </c>
      <c r="Q510" s="439" t="s">
        <v>979</v>
      </c>
      <c r="R510" s="173"/>
      <c r="S510" s="195">
        <f>MATCH($D510,Reference!$J$5:$J$9,0)</f>
        <v>3</v>
      </c>
      <c r="T510" s="195">
        <f>MATCH($E510,Reference!$J$26:$J$32,0)</f>
        <v>5</v>
      </c>
      <c r="U510" s="195">
        <f>MATCH($F510,Reference!$J$45:$J$54,0)</f>
        <v>10</v>
      </c>
      <c r="V510" s="196">
        <f>MATCH($K510,Reference!$J$37:$J$39,0)</f>
        <v>3</v>
      </c>
      <c r="W510" s="197">
        <f t="shared" si="749"/>
        <v>0</v>
      </c>
      <c r="X510" s="197">
        <f t="shared" si="1"/>
        <v>0</v>
      </c>
      <c r="Y510" s="197">
        <f t="shared" si="750"/>
        <v>0</v>
      </c>
      <c r="Z510" s="197">
        <f t="shared" si="751"/>
        <v>0</v>
      </c>
      <c r="AA510" s="199" t="b">
        <f t="shared" si="3"/>
        <v>1</v>
      </c>
      <c r="AB510" s="199" t="b">
        <f t="shared" si="4"/>
        <v>1</v>
      </c>
      <c r="AC510" s="200">
        <f t="shared" ref="AC510:AD510" si="767">1-I510</f>
        <v>0.66999999999999993</v>
      </c>
      <c r="AD510" s="200">
        <f t="shared" si="767"/>
        <v>0.66999999999999993</v>
      </c>
      <c r="AE510" s="199">
        <f t="shared" si="6"/>
        <v>1.3399999999999999</v>
      </c>
      <c r="AF510" s="201">
        <f t="shared" si="753"/>
        <v>0</v>
      </c>
      <c r="AG510" s="201">
        <f t="shared" si="8"/>
        <v>0</v>
      </c>
      <c r="AH510" s="202">
        <f t="shared" si="754"/>
        <v>0</v>
      </c>
      <c r="AI510" s="205"/>
      <c r="AJ510" s="173"/>
      <c r="AK510" s="173"/>
      <c r="AL510" s="173"/>
      <c r="AM510" s="173"/>
      <c r="AN510" s="173"/>
      <c r="AO510" s="173"/>
      <c r="AP510" s="173"/>
      <c r="AQ510" s="173"/>
      <c r="AR510" s="173"/>
      <c r="AS510" s="173"/>
      <c r="AT510" s="173"/>
      <c r="AU510" s="173"/>
      <c r="AV510" s="173"/>
    </row>
    <row r="511" spans="1:48" ht="14.25">
      <c r="A511" s="187"/>
      <c r="B511" s="437">
        <v>3</v>
      </c>
      <c r="C511" s="438" t="s">
        <v>1170</v>
      </c>
      <c r="D511" s="439" t="s">
        <v>68</v>
      </c>
      <c r="E511" s="439" t="s">
        <v>80</v>
      </c>
      <c r="F511" s="439" t="s">
        <v>11</v>
      </c>
      <c r="G511" s="440">
        <v>2</v>
      </c>
      <c r="H511" s="440">
        <v>0</v>
      </c>
      <c r="I511" s="441">
        <v>0.33</v>
      </c>
      <c r="J511" s="441">
        <v>0.33</v>
      </c>
      <c r="K511" s="439" t="s">
        <v>182</v>
      </c>
      <c r="L511" s="439" t="s">
        <v>602</v>
      </c>
      <c r="M511" s="450">
        <v>3</v>
      </c>
      <c r="N511" s="451">
        <v>3</v>
      </c>
      <c r="O511" s="443" t="s">
        <v>1171</v>
      </c>
      <c r="P511" s="444" t="s">
        <v>184</v>
      </c>
      <c r="Q511" s="439" t="s">
        <v>979</v>
      </c>
      <c r="R511" s="34"/>
      <c r="S511" s="195">
        <f>MATCH($D511,Reference!$J$5:$J$9,0)</f>
        <v>3</v>
      </c>
      <c r="T511" s="195">
        <f>MATCH($E511,Reference!$J$26:$J$32,0)</f>
        <v>5</v>
      </c>
      <c r="U511" s="195">
        <f>MATCH($F511,Reference!$J$45:$J$54,0)</f>
        <v>2</v>
      </c>
      <c r="V511" s="196">
        <f>MATCH($K511,Reference!$J$37:$J$39,0)</f>
        <v>3</v>
      </c>
      <c r="W511" s="197">
        <f t="shared" si="749"/>
        <v>2</v>
      </c>
      <c r="X511" s="197">
        <f t="shared" si="1"/>
        <v>1</v>
      </c>
      <c r="Y511" s="197">
        <f t="shared" si="750"/>
        <v>0</v>
      </c>
      <c r="Z511" s="197">
        <f t="shared" si="751"/>
        <v>2</v>
      </c>
      <c r="AA511" s="199" t="b">
        <f t="shared" si="3"/>
        <v>0</v>
      </c>
      <c r="AB511" s="199" t="b">
        <f t="shared" si="4"/>
        <v>0</v>
      </c>
      <c r="AC511" s="200">
        <f t="shared" ref="AC511:AD511" si="768">1-I511</f>
        <v>0.66999999999999993</v>
      </c>
      <c r="AD511" s="200">
        <f t="shared" si="768"/>
        <v>0.66999999999999993</v>
      </c>
      <c r="AE511" s="199">
        <f t="shared" si="6"/>
        <v>2</v>
      </c>
      <c r="AF511" s="201">
        <f t="shared" si="753"/>
        <v>0</v>
      </c>
      <c r="AG511" s="201">
        <f t="shared" si="8"/>
        <v>1</v>
      </c>
      <c r="AH511" s="202">
        <f t="shared" si="754"/>
        <v>0</v>
      </c>
      <c r="AI511" s="205"/>
      <c r="AJ511" s="173"/>
      <c r="AK511" s="173"/>
      <c r="AL511" s="173"/>
      <c r="AM511" s="173"/>
      <c r="AN511" s="173"/>
      <c r="AO511" s="173"/>
      <c r="AP511" s="173"/>
      <c r="AQ511" s="173"/>
      <c r="AR511" s="173"/>
      <c r="AS511" s="173"/>
      <c r="AT511" s="173"/>
      <c r="AU511" s="173"/>
      <c r="AV511" s="173"/>
    </row>
    <row r="512" spans="1:48" ht="14.25">
      <c r="A512" s="187"/>
      <c r="B512" s="437">
        <v>3</v>
      </c>
      <c r="C512" s="438" t="s">
        <v>1172</v>
      </c>
      <c r="D512" s="439" t="s">
        <v>68</v>
      </c>
      <c r="E512" s="439" t="s">
        <v>80</v>
      </c>
      <c r="F512" s="439" t="s">
        <v>16</v>
      </c>
      <c r="G512" s="440">
        <v>2</v>
      </c>
      <c r="H512" s="440">
        <v>0</v>
      </c>
      <c r="I512" s="441">
        <v>1</v>
      </c>
      <c r="J512" s="441">
        <v>1</v>
      </c>
      <c r="K512" s="439" t="s">
        <v>146</v>
      </c>
      <c r="L512" s="439"/>
      <c r="M512" s="450"/>
      <c r="N512" s="451"/>
      <c r="O512" s="443" t="s">
        <v>1173</v>
      </c>
      <c r="P512" s="313"/>
      <c r="Q512" s="439" t="s">
        <v>979</v>
      </c>
      <c r="R512" s="173"/>
      <c r="S512" s="195">
        <f>MATCH($D512,Reference!$J$5:$J$9,0)</f>
        <v>3</v>
      </c>
      <c r="T512" s="195">
        <f>MATCH($E512,Reference!$J$26:$J$32,0)</f>
        <v>5</v>
      </c>
      <c r="U512" s="195">
        <f>MATCH($F512,Reference!$J$45:$J$54,0)</f>
        <v>4</v>
      </c>
      <c r="V512" s="196">
        <f>MATCH($K512,Reference!$J$37:$J$39,0)</f>
        <v>2</v>
      </c>
      <c r="W512" s="197">
        <f t="shared" si="749"/>
        <v>2</v>
      </c>
      <c r="X512" s="197">
        <f t="shared" si="1"/>
        <v>1</v>
      </c>
      <c r="Y512" s="197">
        <f t="shared" si="750"/>
        <v>0</v>
      </c>
      <c r="Z512" s="197">
        <f t="shared" si="751"/>
        <v>2</v>
      </c>
      <c r="AA512" s="199" t="b">
        <f t="shared" si="3"/>
        <v>0</v>
      </c>
      <c r="AB512" s="199" t="b">
        <f t="shared" si="4"/>
        <v>0</v>
      </c>
      <c r="AC512" s="200">
        <f t="shared" ref="AC512:AD512" si="769">1-I512</f>
        <v>0</v>
      </c>
      <c r="AD512" s="200">
        <f t="shared" si="769"/>
        <v>0</v>
      </c>
      <c r="AE512" s="199">
        <f t="shared" si="6"/>
        <v>2</v>
      </c>
      <c r="AF512" s="201">
        <f t="shared" si="753"/>
        <v>0</v>
      </c>
      <c r="AG512" s="201">
        <f t="shared" si="8"/>
        <v>1</v>
      </c>
      <c r="AH512" s="202">
        <f t="shared" si="754"/>
        <v>0</v>
      </c>
      <c r="AI512" s="205"/>
      <c r="AJ512" s="173"/>
      <c r="AK512" s="173"/>
      <c r="AL512" s="173"/>
      <c r="AM512" s="173"/>
      <c r="AN512" s="173"/>
      <c r="AO512" s="173"/>
      <c r="AP512" s="173"/>
      <c r="AQ512" s="173"/>
      <c r="AR512" s="173"/>
      <c r="AS512" s="173"/>
      <c r="AT512" s="173"/>
      <c r="AU512" s="173"/>
      <c r="AV512" s="173"/>
    </row>
    <row r="513" spans="1:48" ht="14.25">
      <c r="A513" s="187"/>
      <c r="B513" s="437">
        <v>3</v>
      </c>
      <c r="C513" s="438" t="s">
        <v>1174</v>
      </c>
      <c r="D513" s="439" t="s">
        <v>68</v>
      </c>
      <c r="E513" s="439" t="s">
        <v>80</v>
      </c>
      <c r="F513" s="439" t="s">
        <v>21</v>
      </c>
      <c r="G513" s="440">
        <v>2</v>
      </c>
      <c r="H513" s="449">
        <v>0</v>
      </c>
      <c r="I513" s="441">
        <v>0.66</v>
      </c>
      <c r="J513" s="441">
        <v>0.66</v>
      </c>
      <c r="K513" s="442" t="s">
        <v>207</v>
      </c>
      <c r="L513" s="453"/>
      <c r="M513" s="442">
        <v>3</v>
      </c>
      <c r="N513" s="442">
        <v>2</v>
      </c>
      <c r="O513" s="452" t="s">
        <v>1175</v>
      </c>
      <c r="P513" s="318"/>
      <c r="Q513" s="439" t="s">
        <v>979</v>
      </c>
      <c r="R513" s="34"/>
      <c r="S513" s="195">
        <f>MATCH($D513,Reference!$J$5:$J$9,0)</f>
        <v>3</v>
      </c>
      <c r="T513" s="195">
        <f>MATCH($E513,Reference!$J$26:$J$32,0)</f>
        <v>5</v>
      </c>
      <c r="U513" s="195">
        <f>MATCH($F513,Reference!$J$45:$J$54,0)</f>
        <v>7</v>
      </c>
      <c r="V513" s="196">
        <f>MATCH($K513,Reference!$J$37:$J$39,0)</f>
        <v>1</v>
      </c>
      <c r="W513" s="197">
        <f t="shared" si="749"/>
        <v>2</v>
      </c>
      <c r="X513" s="197">
        <f t="shared" si="1"/>
        <v>1</v>
      </c>
      <c r="Y513" s="197">
        <f t="shared" si="750"/>
        <v>0</v>
      </c>
      <c r="Z513" s="197">
        <f t="shared" si="751"/>
        <v>2</v>
      </c>
      <c r="AA513" s="199" t="b">
        <f t="shared" si="3"/>
        <v>0</v>
      </c>
      <c r="AB513" s="199" t="b">
        <f t="shared" si="4"/>
        <v>0</v>
      </c>
      <c r="AC513" s="200">
        <f t="shared" ref="AC513:AD513" si="770">1-I513</f>
        <v>0.33999999999999997</v>
      </c>
      <c r="AD513" s="200">
        <f t="shared" si="770"/>
        <v>0.33999999999999997</v>
      </c>
      <c r="AE513" s="199">
        <f t="shared" si="6"/>
        <v>2</v>
      </c>
      <c r="AF513" s="201">
        <f t="shared" si="753"/>
        <v>0</v>
      </c>
      <c r="AG513" s="201">
        <f t="shared" si="8"/>
        <v>1</v>
      </c>
      <c r="AH513" s="202">
        <f t="shared" si="754"/>
        <v>0</v>
      </c>
      <c r="AI513" s="205"/>
      <c r="AJ513" s="173"/>
      <c r="AK513" s="173"/>
      <c r="AL513" s="173"/>
      <c r="AM513" s="173"/>
      <c r="AN513" s="173"/>
      <c r="AO513" s="173"/>
      <c r="AP513" s="173"/>
      <c r="AQ513" s="173"/>
      <c r="AR513" s="173"/>
      <c r="AS513" s="173"/>
      <c r="AT513" s="173"/>
      <c r="AU513" s="173"/>
      <c r="AV513" s="173"/>
    </row>
    <row r="514" spans="1:48" ht="14.25">
      <c r="A514" s="187"/>
      <c r="B514" s="437">
        <v>3</v>
      </c>
      <c r="C514" s="438" t="s">
        <v>1176</v>
      </c>
      <c r="D514" s="439" t="s">
        <v>68</v>
      </c>
      <c r="E514" s="439" t="s">
        <v>80</v>
      </c>
      <c r="F514" s="439" t="s">
        <v>16</v>
      </c>
      <c r="G514" s="440">
        <v>1</v>
      </c>
      <c r="H514" s="440">
        <v>0</v>
      </c>
      <c r="I514" s="441">
        <v>0.66</v>
      </c>
      <c r="J514" s="441">
        <v>0.33</v>
      </c>
      <c r="K514" s="442" t="s">
        <v>182</v>
      </c>
      <c r="L514" s="442"/>
      <c r="M514" s="442">
        <v>4</v>
      </c>
      <c r="N514" s="442">
        <v>3</v>
      </c>
      <c r="O514" s="443" t="s">
        <v>1177</v>
      </c>
      <c r="P514" s="444" t="s">
        <v>184</v>
      </c>
      <c r="Q514" s="439" t="s">
        <v>979</v>
      </c>
      <c r="R514" s="173"/>
      <c r="S514" s="195">
        <f>MATCH($D514,Reference!$J$5:$J$9,0)</f>
        <v>3</v>
      </c>
      <c r="T514" s="195">
        <f>MATCH($E514,Reference!$J$26:$J$32,0)</f>
        <v>5</v>
      </c>
      <c r="U514" s="195">
        <f>MATCH($F514,Reference!$J$45:$J$54,0)</f>
        <v>4</v>
      </c>
      <c r="V514" s="196">
        <f>MATCH($K514,Reference!$J$37:$J$39,0)</f>
        <v>3</v>
      </c>
      <c r="W514" s="197">
        <f t="shared" si="749"/>
        <v>1</v>
      </c>
      <c r="X514" s="197">
        <f t="shared" si="1"/>
        <v>1</v>
      </c>
      <c r="Y514" s="197">
        <f t="shared" si="750"/>
        <v>0</v>
      </c>
      <c r="Z514" s="197">
        <f t="shared" si="751"/>
        <v>1</v>
      </c>
      <c r="AA514" s="199" t="b">
        <f t="shared" si="3"/>
        <v>0</v>
      </c>
      <c r="AB514" s="199" t="b">
        <f t="shared" si="4"/>
        <v>1</v>
      </c>
      <c r="AC514" s="200">
        <f t="shared" ref="AC514:AD514" si="771">1-I514</f>
        <v>0.33999999999999997</v>
      </c>
      <c r="AD514" s="200">
        <f t="shared" si="771"/>
        <v>0.66999999999999993</v>
      </c>
      <c r="AE514" s="199">
        <f t="shared" si="6"/>
        <v>1.67</v>
      </c>
      <c r="AF514" s="201">
        <f t="shared" si="753"/>
        <v>0</v>
      </c>
      <c r="AG514" s="201">
        <f t="shared" si="8"/>
        <v>1</v>
      </c>
      <c r="AH514" s="202">
        <f t="shared" si="754"/>
        <v>0</v>
      </c>
      <c r="AI514" s="205"/>
      <c r="AJ514" s="173"/>
      <c r="AK514" s="173"/>
      <c r="AL514" s="173"/>
      <c r="AM514" s="173"/>
      <c r="AN514" s="173"/>
      <c r="AO514" s="173"/>
      <c r="AP514" s="173"/>
      <c r="AQ514" s="173"/>
      <c r="AR514" s="173"/>
      <c r="AS514" s="173"/>
      <c r="AT514" s="173"/>
      <c r="AU514" s="173"/>
      <c r="AV514" s="173"/>
    </row>
    <row r="515" spans="1:48" ht="14.25">
      <c r="A515" s="279"/>
      <c r="B515" s="437">
        <v>3</v>
      </c>
      <c r="C515" s="438" t="s">
        <v>1178</v>
      </c>
      <c r="D515" s="439" t="s">
        <v>68</v>
      </c>
      <c r="E515" s="439" t="s">
        <v>80</v>
      </c>
      <c r="F515" s="439" t="s">
        <v>13</v>
      </c>
      <c r="G515" s="440">
        <v>1</v>
      </c>
      <c r="H515" s="440">
        <v>0</v>
      </c>
      <c r="I515" s="441">
        <v>0.33</v>
      </c>
      <c r="J515" s="441">
        <v>0.33</v>
      </c>
      <c r="K515" s="442" t="s">
        <v>182</v>
      </c>
      <c r="L515" s="442" t="s">
        <v>602</v>
      </c>
      <c r="M515" s="442">
        <v>3</v>
      </c>
      <c r="N515" s="442">
        <v>3</v>
      </c>
      <c r="O515" s="443" t="s">
        <v>267</v>
      </c>
      <c r="P515" s="444" t="s">
        <v>268</v>
      </c>
      <c r="Q515" s="439" t="s">
        <v>979</v>
      </c>
      <c r="R515" s="173"/>
      <c r="S515" s="195">
        <f>MATCH($D515,Reference!$J$5:$J$9,0)</f>
        <v>3</v>
      </c>
      <c r="T515" s="195">
        <f>MATCH($E515,Reference!$J$26:$J$32,0)</f>
        <v>5</v>
      </c>
      <c r="U515" s="195">
        <f>MATCH($F515,Reference!$J$45:$J$54,0)</f>
        <v>3</v>
      </c>
      <c r="V515" s="196">
        <f>MATCH($K515,Reference!$J$37:$J$39,0)</f>
        <v>3</v>
      </c>
      <c r="W515" s="197">
        <f t="shared" si="749"/>
        <v>1</v>
      </c>
      <c r="X515" s="197">
        <f t="shared" si="1"/>
        <v>1</v>
      </c>
      <c r="Y515" s="197">
        <f t="shared" si="750"/>
        <v>0</v>
      </c>
      <c r="Z515" s="197">
        <f t="shared" si="751"/>
        <v>1</v>
      </c>
      <c r="AA515" s="199" t="b">
        <f t="shared" si="3"/>
        <v>0</v>
      </c>
      <c r="AB515" s="199" t="b">
        <f t="shared" si="4"/>
        <v>1</v>
      </c>
      <c r="AC515" s="200">
        <f t="shared" ref="AC515:AD515" si="772">1-I515</f>
        <v>0.66999999999999993</v>
      </c>
      <c r="AD515" s="200">
        <f t="shared" si="772"/>
        <v>0.66999999999999993</v>
      </c>
      <c r="AE515" s="199">
        <f t="shared" si="6"/>
        <v>1.67</v>
      </c>
      <c r="AF515" s="201">
        <f t="shared" si="753"/>
        <v>0</v>
      </c>
      <c r="AG515" s="201">
        <f t="shared" si="8"/>
        <v>1</v>
      </c>
      <c r="AH515" s="202">
        <f t="shared" si="754"/>
        <v>0</v>
      </c>
      <c r="AI515" s="205"/>
      <c r="AJ515" s="173"/>
      <c r="AK515" s="173"/>
      <c r="AL515" s="173"/>
      <c r="AM515" s="173"/>
      <c r="AN515" s="173"/>
      <c r="AO515" s="173"/>
      <c r="AP515" s="173"/>
      <c r="AQ515" s="173"/>
      <c r="AR515" s="173"/>
      <c r="AS515" s="173"/>
      <c r="AT515" s="173"/>
      <c r="AU515" s="173"/>
      <c r="AV515" s="173"/>
    </row>
    <row r="516" spans="1:48" ht="14.25">
      <c r="A516" s="240"/>
      <c r="B516" s="437">
        <v>4</v>
      </c>
      <c r="C516" s="438" t="s">
        <v>1179</v>
      </c>
      <c r="D516" s="439" t="s">
        <v>68</v>
      </c>
      <c r="E516" s="439" t="s">
        <v>80</v>
      </c>
      <c r="F516" s="439" t="s">
        <v>115</v>
      </c>
      <c r="G516" s="440">
        <v>2</v>
      </c>
      <c r="H516" s="440">
        <v>0</v>
      </c>
      <c r="I516" s="441">
        <v>0.33</v>
      </c>
      <c r="J516" s="441">
        <v>0.33</v>
      </c>
      <c r="K516" s="442" t="s">
        <v>182</v>
      </c>
      <c r="L516" s="442" t="s">
        <v>602</v>
      </c>
      <c r="M516" s="442">
        <v>2</v>
      </c>
      <c r="N516" s="442">
        <v>5</v>
      </c>
      <c r="O516" s="443" t="s">
        <v>1180</v>
      </c>
      <c r="P516" s="444" t="s">
        <v>193</v>
      </c>
      <c r="Q516" s="439" t="s">
        <v>979</v>
      </c>
      <c r="R516" s="278"/>
      <c r="S516" s="195">
        <f>MATCH($D516,Reference!$J$5:$J$9,0)</f>
        <v>3</v>
      </c>
      <c r="T516" s="195">
        <f>MATCH($E516,Reference!$J$26:$J$32,0)</f>
        <v>5</v>
      </c>
      <c r="U516" s="195">
        <f>MATCH($F516,Reference!$J$45:$J$54,0)</f>
        <v>10</v>
      </c>
      <c r="V516" s="196">
        <f>MATCH($K516,Reference!$J$37:$J$39,0)</f>
        <v>3</v>
      </c>
      <c r="W516" s="197">
        <f t="shared" si="749"/>
        <v>2</v>
      </c>
      <c r="X516" s="197">
        <f t="shared" si="1"/>
        <v>1</v>
      </c>
      <c r="Y516" s="197">
        <f t="shared" si="750"/>
        <v>0</v>
      </c>
      <c r="Z516" s="197">
        <f t="shared" si="751"/>
        <v>2</v>
      </c>
      <c r="AA516" s="199" t="b">
        <f t="shared" si="3"/>
        <v>0</v>
      </c>
      <c r="AB516" s="199" t="b">
        <f t="shared" si="4"/>
        <v>0</v>
      </c>
      <c r="AC516" s="200">
        <f t="shared" ref="AC516:AD516" si="773">1-I516</f>
        <v>0.66999999999999993</v>
      </c>
      <c r="AD516" s="200">
        <f t="shared" si="773"/>
        <v>0.66999999999999993</v>
      </c>
      <c r="AE516" s="199">
        <f t="shared" si="6"/>
        <v>2</v>
      </c>
      <c r="AF516" s="201">
        <f t="shared" si="753"/>
        <v>0</v>
      </c>
      <c r="AG516" s="201">
        <f t="shared" si="8"/>
        <v>1</v>
      </c>
      <c r="AH516" s="202">
        <f t="shared" si="754"/>
        <v>0</v>
      </c>
      <c r="AI516" s="205"/>
      <c r="AJ516" s="173"/>
      <c r="AK516" s="173"/>
      <c r="AL516" s="173"/>
      <c r="AM516" s="173"/>
      <c r="AN516" s="173"/>
      <c r="AO516" s="173"/>
      <c r="AP516" s="173"/>
      <c r="AQ516" s="173"/>
      <c r="AR516" s="173"/>
      <c r="AS516" s="173"/>
      <c r="AT516" s="173"/>
      <c r="AU516" s="173"/>
      <c r="AV516" s="173"/>
    </row>
    <row r="517" spans="1:48" ht="14.25">
      <c r="A517" s="187"/>
      <c r="B517" s="437">
        <v>4</v>
      </c>
      <c r="C517" s="438" t="s">
        <v>1181</v>
      </c>
      <c r="D517" s="439" t="s">
        <v>68</v>
      </c>
      <c r="E517" s="439" t="s">
        <v>80</v>
      </c>
      <c r="F517" s="439" t="s">
        <v>21</v>
      </c>
      <c r="G517" s="440">
        <v>1</v>
      </c>
      <c r="H517" s="440">
        <v>0</v>
      </c>
      <c r="I517" s="441">
        <v>0</v>
      </c>
      <c r="J517" s="441">
        <v>0</v>
      </c>
      <c r="K517" s="442" t="s">
        <v>182</v>
      </c>
      <c r="L517" s="442"/>
      <c r="M517" s="442">
        <v>5</v>
      </c>
      <c r="N517" s="442">
        <v>4</v>
      </c>
      <c r="O517" s="443" t="s">
        <v>1182</v>
      </c>
      <c r="P517" s="444" t="s">
        <v>1183</v>
      </c>
      <c r="Q517" s="439" t="s">
        <v>979</v>
      </c>
      <c r="R517" s="173"/>
      <c r="S517" s="195">
        <f>MATCH($D517,Reference!$J$5:$J$9,0)</f>
        <v>3</v>
      </c>
      <c r="T517" s="195">
        <f>MATCH($E517,Reference!$J$26:$J$32,0)</f>
        <v>5</v>
      </c>
      <c r="U517" s="195">
        <f>MATCH($F517,Reference!$J$45:$J$54,0)</f>
        <v>7</v>
      </c>
      <c r="V517" s="196">
        <f>MATCH($K517,Reference!$J$37:$J$39,0)</f>
        <v>3</v>
      </c>
      <c r="W517" s="197">
        <f t="shared" si="749"/>
        <v>1</v>
      </c>
      <c r="X517" s="197">
        <f t="shared" si="1"/>
        <v>1</v>
      </c>
      <c r="Y517" s="197">
        <f t="shared" si="750"/>
        <v>0</v>
      </c>
      <c r="Z517" s="197">
        <f t="shared" si="751"/>
        <v>1</v>
      </c>
      <c r="AA517" s="199" t="b">
        <f t="shared" si="3"/>
        <v>0</v>
      </c>
      <c r="AB517" s="199" t="b">
        <f t="shared" si="4"/>
        <v>1</v>
      </c>
      <c r="AC517" s="200">
        <f t="shared" ref="AC517:AD517" si="774">1-I517</f>
        <v>1</v>
      </c>
      <c r="AD517" s="200">
        <f t="shared" si="774"/>
        <v>1</v>
      </c>
      <c r="AE517" s="199">
        <f t="shared" si="6"/>
        <v>2</v>
      </c>
      <c r="AF517" s="201">
        <f t="shared" si="753"/>
        <v>0</v>
      </c>
      <c r="AG517" s="201">
        <f t="shared" si="8"/>
        <v>1</v>
      </c>
      <c r="AH517" s="202">
        <f t="shared" si="754"/>
        <v>0</v>
      </c>
      <c r="AI517" s="205"/>
      <c r="AJ517" s="173"/>
      <c r="AK517" s="173"/>
      <c r="AL517" s="173"/>
      <c r="AM517" s="173"/>
      <c r="AN517" s="173"/>
      <c r="AO517" s="173"/>
      <c r="AP517" s="173"/>
      <c r="AQ517" s="173"/>
      <c r="AR517" s="173"/>
      <c r="AS517" s="173"/>
      <c r="AT517" s="173"/>
      <c r="AU517" s="173"/>
      <c r="AV517" s="173"/>
    </row>
    <row r="518" spans="1:48" ht="14.25">
      <c r="A518" s="209"/>
      <c r="B518" s="437">
        <v>4</v>
      </c>
      <c r="C518" s="438" t="s">
        <v>1184</v>
      </c>
      <c r="D518" s="439" t="s">
        <v>68</v>
      </c>
      <c r="E518" s="439" t="s">
        <v>80</v>
      </c>
      <c r="F518" s="439" t="s">
        <v>25</v>
      </c>
      <c r="G518" s="440">
        <v>2</v>
      </c>
      <c r="H518" s="449">
        <v>0</v>
      </c>
      <c r="I518" s="441">
        <v>0</v>
      </c>
      <c r="J518" s="441">
        <v>0</v>
      </c>
      <c r="K518" s="442" t="s">
        <v>182</v>
      </c>
      <c r="L518" s="442" t="s">
        <v>602</v>
      </c>
      <c r="M518" s="442">
        <v>3</v>
      </c>
      <c r="N518" s="442">
        <v>5</v>
      </c>
      <c r="O518" s="443" t="s">
        <v>1185</v>
      </c>
      <c r="P518" s="313"/>
      <c r="Q518" s="439" t="s">
        <v>979</v>
      </c>
      <c r="R518" s="173"/>
      <c r="S518" s="195">
        <f>MATCH($D518,Reference!$J$5:$J$9,0)</f>
        <v>3</v>
      </c>
      <c r="T518" s="195">
        <f>MATCH($E518,Reference!$J$26:$J$32,0)</f>
        <v>5</v>
      </c>
      <c r="U518" s="195">
        <f>MATCH($F518,Reference!$J$45:$J$54,0)</f>
        <v>8</v>
      </c>
      <c r="V518" s="196">
        <f>MATCH($K518,Reference!$J$37:$J$39,0)</f>
        <v>3</v>
      </c>
      <c r="W518" s="197">
        <f t="shared" si="749"/>
        <v>2</v>
      </c>
      <c r="X518" s="197">
        <f t="shared" si="1"/>
        <v>1</v>
      </c>
      <c r="Y518" s="197">
        <f t="shared" si="750"/>
        <v>0</v>
      </c>
      <c r="Z518" s="197">
        <f t="shared" si="751"/>
        <v>2</v>
      </c>
      <c r="AA518" s="199" t="b">
        <f t="shared" si="3"/>
        <v>0</v>
      </c>
      <c r="AB518" s="199" t="b">
        <f t="shared" si="4"/>
        <v>0</v>
      </c>
      <c r="AC518" s="200">
        <f t="shared" ref="AC518:AD518" si="775">1-I518</f>
        <v>1</v>
      </c>
      <c r="AD518" s="200">
        <f t="shared" si="775"/>
        <v>1</v>
      </c>
      <c r="AE518" s="199">
        <f t="shared" si="6"/>
        <v>2</v>
      </c>
      <c r="AF518" s="201">
        <f t="shared" si="753"/>
        <v>0</v>
      </c>
      <c r="AG518" s="201">
        <f t="shared" si="8"/>
        <v>1</v>
      </c>
      <c r="AH518" s="202">
        <f t="shared" si="754"/>
        <v>0</v>
      </c>
      <c r="AI518" s="205"/>
      <c r="AJ518" s="173"/>
      <c r="AK518" s="173"/>
      <c r="AL518" s="173"/>
      <c r="AM518" s="173"/>
      <c r="AN518" s="173"/>
      <c r="AO518" s="173"/>
      <c r="AP518" s="173"/>
      <c r="AQ518" s="173"/>
      <c r="AR518" s="173"/>
      <c r="AS518" s="173"/>
      <c r="AT518" s="173"/>
      <c r="AU518" s="173"/>
      <c r="AV518" s="173"/>
    </row>
    <row r="519" spans="1:48" ht="14.25">
      <c r="A519" s="187"/>
      <c r="B519" s="437">
        <v>4</v>
      </c>
      <c r="C519" s="438" t="s">
        <v>1186</v>
      </c>
      <c r="D519" s="439" t="s">
        <v>68</v>
      </c>
      <c r="E519" s="439" t="s">
        <v>80</v>
      </c>
      <c r="F519" s="439" t="s">
        <v>13</v>
      </c>
      <c r="G519" s="440">
        <v>2</v>
      </c>
      <c r="H519" s="440">
        <v>0</v>
      </c>
      <c r="I519" s="441">
        <v>1</v>
      </c>
      <c r="J519" s="441">
        <v>1</v>
      </c>
      <c r="K519" s="442" t="s">
        <v>182</v>
      </c>
      <c r="L519" s="442"/>
      <c r="M519" s="442">
        <v>5</v>
      </c>
      <c r="N519" s="442">
        <v>4</v>
      </c>
      <c r="O519" s="443" t="s">
        <v>1187</v>
      </c>
      <c r="P519" s="444" t="s">
        <v>184</v>
      </c>
      <c r="Q519" s="439" t="s">
        <v>979</v>
      </c>
      <c r="R519" s="173"/>
      <c r="S519" s="195">
        <f>MATCH($D519,Reference!$J$5:$J$9,0)</f>
        <v>3</v>
      </c>
      <c r="T519" s="195">
        <f>MATCH($E519,Reference!$J$26:$J$32,0)</f>
        <v>5</v>
      </c>
      <c r="U519" s="195">
        <f>MATCH($F519,Reference!$J$45:$J$54,0)</f>
        <v>3</v>
      </c>
      <c r="V519" s="196">
        <f>MATCH($K519,Reference!$J$37:$J$39,0)</f>
        <v>3</v>
      </c>
      <c r="W519" s="197">
        <f t="shared" si="749"/>
        <v>2</v>
      </c>
      <c r="X519" s="197">
        <f t="shared" si="1"/>
        <v>1</v>
      </c>
      <c r="Y519" s="197">
        <f t="shared" si="750"/>
        <v>0</v>
      </c>
      <c r="Z519" s="197">
        <f t="shared" si="751"/>
        <v>2</v>
      </c>
      <c r="AA519" s="199" t="b">
        <f t="shared" si="3"/>
        <v>0</v>
      </c>
      <c r="AB519" s="199" t="b">
        <f t="shared" si="4"/>
        <v>0</v>
      </c>
      <c r="AC519" s="200">
        <f t="shared" ref="AC519:AD519" si="776">1-I519</f>
        <v>0</v>
      </c>
      <c r="AD519" s="200">
        <f t="shared" si="776"/>
        <v>0</v>
      </c>
      <c r="AE519" s="199">
        <f t="shared" si="6"/>
        <v>2</v>
      </c>
      <c r="AF519" s="201">
        <f t="shared" si="753"/>
        <v>0</v>
      </c>
      <c r="AG519" s="201">
        <f t="shared" si="8"/>
        <v>1</v>
      </c>
      <c r="AH519" s="202">
        <f t="shared" si="754"/>
        <v>0</v>
      </c>
      <c r="AI519" s="205"/>
      <c r="AJ519" s="173"/>
      <c r="AK519" s="173"/>
      <c r="AL519" s="173"/>
      <c r="AM519" s="173"/>
      <c r="AN519" s="173"/>
      <c r="AO519" s="173"/>
      <c r="AP519" s="173"/>
      <c r="AQ519" s="173"/>
      <c r="AR519" s="173"/>
      <c r="AS519" s="173"/>
      <c r="AT519" s="173"/>
      <c r="AU519" s="173"/>
      <c r="AV519" s="173"/>
    </row>
    <row r="520" spans="1:48" ht="14.25">
      <c r="A520" s="209"/>
      <c r="B520" s="437">
        <v>4</v>
      </c>
      <c r="C520" s="438" t="s">
        <v>1188</v>
      </c>
      <c r="D520" s="439" t="s">
        <v>68</v>
      </c>
      <c r="E520" s="439" t="s">
        <v>80</v>
      </c>
      <c r="F520" s="439" t="s">
        <v>25</v>
      </c>
      <c r="G520" s="440">
        <v>2</v>
      </c>
      <c r="H520" s="440">
        <v>1</v>
      </c>
      <c r="I520" s="441">
        <v>1</v>
      </c>
      <c r="J520" s="441">
        <v>1</v>
      </c>
      <c r="K520" s="442" t="s">
        <v>146</v>
      </c>
      <c r="L520" s="442"/>
      <c r="M520" s="442"/>
      <c r="N520" s="442"/>
      <c r="O520" s="443" t="s">
        <v>1189</v>
      </c>
      <c r="P520" s="313"/>
      <c r="Q520" s="439" t="s">
        <v>979</v>
      </c>
      <c r="R520" s="173"/>
      <c r="S520" s="195">
        <f>MATCH($D520,Reference!$J$5:$J$9,0)</f>
        <v>3</v>
      </c>
      <c r="T520" s="195">
        <f>MATCH($E520,Reference!$J$26:$J$32,0)</f>
        <v>5</v>
      </c>
      <c r="U520" s="195">
        <f>MATCH($F520,Reference!$J$45:$J$54,0)</f>
        <v>8</v>
      </c>
      <c r="V520" s="196">
        <f>MATCH($K520,Reference!$J$37:$J$39,0)</f>
        <v>2</v>
      </c>
      <c r="W520" s="197">
        <f t="shared" si="749"/>
        <v>2</v>
      </c>
      <c r="X520" s="197">
        <f t="shared" si="1"/>
        <v>1</v>
      </c>
      <c r="Y520" s="197">
        <f t="shared" si="750"/>
        <v>100</v>
      </c>
      <c r="Z520" s="197">
        <f t="shared" si="751"/>
        <v>2</v>
      </c>
      <c r="AA520" s="199" t="b">
        <f t="shared" si="3"/>
        <v>0</v>
      </c>
      <c r="AB520" s="199" t="b">
        <f t="shared" si="4"/>
        <v>0</v>
      </c>
      <c r="AC520" s="200">
        <f t="shared" ref="AC520:AD520" si="777">1-I520</f>
        <v>0</v>
      </c>
      <c r="AD520" s="200">
        <f t="shared" si="777"/>
        <v>0</v>
      </c>
      <c r="AE520" s="199">
        <f t="shared" si="6"/>
        <v>2</v>
      </c>
      <c r="AF520" s="201">
        <f t="shared" si="753"/>
        <v>1</v>
      </c>
      <c r="AG520" s="201">
        <f t="shared" si="8"/>
        <v>1</v>
      </c>
      <c r="AH520" s="202">
        <f t="shared" si="754"/>
        <v>20</v>
      </c>
      <c r="AI520" s="205"/>
      <c r="AJ520" s="173"/>
      <c r="AK520" s="173"/>
      <c r="AL520" s="173"/>
      <c r="AM520" s="173"/>
      <c r="AN520" s="173"/>
      <c r="AO520" s="173"/>
      <c r="AP520" s="173"/>
      <c r="AQ520" s="173"/>
      <c r="AR520" s="173"/>
      <c r="AS520" s="173"/>
      <c r="AT520" s="173"/>
      <c r="AU520" s="173"/>
      <c r="AV520" s="173"/>
    </row>
    <row r="521" spans="1:48" ht="14.25">
      <c r="A521" s="206"/>
      <c r="B521" s="437">
        <v>4</v>
      </c>
      <c r="C521" s="438" t="s">
        <v>1190</v>
      </c>
      <c r="D521" s="439" t="s">
        <v>68</v>
      </c>
      <c r="E521" s="439" t="s">
        <v>80</v>
      </c>
      <c r="F521" s="439" t="s">
        <v>115</v>
      </c>
      <c r="G521" s="440">
        <v>2</v>
      </c>
      <c r="H521" s="440">
        <v>0</v>
      </c>
      <c r="I521" s="441">
        <v>0.33</v>
      </c>
      <c r="J521" s="441">
        <v>0.33</v>
      </c>
      <c r="K521" s="442" t="s">
        <v>182</v>
      </c>
      <c r="L521" s="442" t="s">
        <v>602</v>
      </c>
      <c r="M521" s="442">
        <v>1</v>
      </c>
      <c r="N521" s="442">
        <v>4</v>
      </c>
      <c r="O521" s="443" t="s">
        <v>1191</v>
      </c>
      <c r="P521" s="313"/>
      <c r="Q521" s="439" t="s">
        <v>979</v>
      </c>
      <c r="R521" s="173"/>
      <c r="S521" s="195">
        <f>MATCH($D521,Reference!$J$5:$J$9,0)</f>
        <v>3</v>
      </c>
      <c r="T521" s="195">
        <f>MATCH($E521,Reference!$J$26:$J$32,0)</f>
        <v>5</v>
      </c>
      <c r="U521" s="195">
        <f>MATCH($F521,Reference!$J$45:$J$54,0)</f>
        <v>10</v>
      </c>
      <c r="V521" s="196">
        <f>MATCH($K521,Reference!$J$37:$J$39,0)</f>
        <v>3</v>
      </c>
      <c r="W521" s="197">
        <f t="shared" si="749"/>
        <v>2</v>
      </c>
      <c r="X521" s="197">
        <f t="shared" si="1"/>
        <v>1</v>
      </c>
      <c r="Y521" s="197">
        <f t="shared" si="750"/>
        <v>0</v>
      </c>
      <c r="Z521" s="197">
        <f t="shared" si="751"/>
        <v>2</v>
      </c>
      <c r="AA521" s="199" t="b">
        <f t="shared" si="3"/>
        <v>0</v>
      </c>
      <c r="AB521" s="199" t="b">
        <f t="shared" si="4"/>
        <v>0</v>
      </c>
      <c r="AC521" s="200">
        <f t="shared" ref="AC521:AD521" si="778">1-I521</f>
        <v>0.66999999999999993</v>
      </c>
      <c r="AD521" s="200">
        <f t="shared" si="778"/>
        <v>0.66999999999999993</v>
      </c>
      <c r="AE521" s="199">
        <f t="shared" si="6"/>
        <v>2</v>
      </c>
      <c r="AF521" s="201">
        <f t="shared" si="753"/>
        <v>0</v>
      </c>
      <c r="AG521" s="201">
        <f t="shared" si="8"/>
        <v>1</v>
      </c>
      <c r="AH521" s="202">
        <f t="shared" si="754"/>
        <v>0</v>
      </c>
      <c r="AI521" s="205"/>
      <c r="AJ521" s="173"/>
      <c r="AK521" s="173"/>
      <c r="AL521" s="173"/>
      <c r="AM521" s="173"/>
      <c r="AN521" s="173"/>
      <c r="AO521" s="173"/>
      <c r="AP521" s="173"/>
      <c r="AQ521" s="173"/>
      <c r="AR521" s="173"/>
      <c r="AS521" s="173"/>
      <c r="AT521" s="173"/>
      <c r="AU521" s="173"/>
      <c r="AV521" s="173"/>
    </row>
    <row r="522" spans="1:48" ht="14.25">
      <c r="A522" s="458"/>
      <c r="B522" s="437">
        <v>4</v>
      </c>
      <c r="C522" s="438" t="s">
        <v>1192</v>
      </c>
      <c r="D522" s="439" t="s">
        <v>68</v>
      </c>
      <c r="E522" s="439" t="s">
        <v>80</v>
      </c>
      <c r="F522" s="439" t="s">
        <v>115</v>
      </c>
      <c r="G522" s="440">
        <v>2</v>
      </c>
      <c r="H522" s="440">
        <v>0</v>
      </c>
      <c r="I522" s="441">
        <v>1</v>
      </c>
      <c r="J522" s="441">
        <v>0</v>
      </c>
      <c r="K522" s="442" t="s">
        <v>182</v>
      </c>
      <c r="L522" s="442"/>
      <c r="M522" s="442">
        <v>4</v>
      </c>
      <c r="N522" s="442">
        <v>3</v>
      </c>
      <c r="O522" s="443" t="s">
        <v>1193</v>
      </c>
      <c r="P522" s="444" t="s">
        <v>184</v>
      </c>
      <c r="Q522" s="439" t="s">
        <v>979</v>
      </c>
      <c r="R522" s="173"/>
      <c r="S522" s="195">
        <f>MATCH($D522,Reference!$J$5:$J$9,0)</f>
        <v>3</v>
      </c>
      <c r="T522" s="195">
        <f>MATCH($E522,Reference!$J$26:$J$32,0)</f>
        <v>5</v>
      </c>
      <c r="U522" s="195">
        <f>MATCH($F522,Reference!$J$45:$J$54,0)</f>
        <v>10</v>
      </c>
      <c r="V522" s="196">
        <f>MATCH($K522,Reference!$J$37:$J$39,0)</f>
        <v>3</v>
      </c>
      <c r="W522" s="197">
        <f t="shared" si="749"/>
        <v>2</v>
      </c>
      <c r="X522" s="197">
        <f t="shared" si="1"/>
        <v>1</v>
      </c>
      <c r="Y522" s="197">
        <f t="shared" si="750"/>
        <v>0</v>
      </c>
      <c r="Z522" s="197">
        <f t="shared" si="751"/>
        <v>2</v>
      </c>
      <c r="AA522" s="199" t="b">
        <f t="shared" si="3"/>
        <v>0</v>
      </c>
      <c r="AB522" s="199" t="b">
        <f t="shared" si="4"/>
        <v>0</v>
      </c>
      <c r="AC522" s="200">
        <f t="shared" ref="AC522:AD522" si="779">1-I522</f>
        <v>0</v>
      </c>
      <c r="AD522" s="200">
        <f t="shared" si="779"/>
        <v>1</v>
      </c>
      <c r="AE522" s="199">
        <f t="shared" si="6"/>
        <v>2</v>
      </c>
      <c r="AF522" s="201">
        <f t="shared" si="753"/>
        <v>0</v>
      </c>
      <c r="AG522" s="201">
        <f t="shared" si="8"/>
        <v>1</v>
      </c>
      <c r="AH522" s="202">
        <f t="shared" si="754"/>
        <v>0</v>
      </c>
      <c r="AI522" s="205"/>
      <c r="AJ522" s="173"/>
      <c r="AK522" s="173"/>
      <c r="AL522" s="173"/>
      <c r="AM522" s="173"/>
      <c r="AN522" s="173"/>
      <c r="AO522" s="173"/>
      <c r="AP522" s="173"/>
      <c r="AQ522" s="173"/>
      <c r="AR522" s="173"/>
      <c r="AS522" s="173"/>
      <c r="AT522" s="173"/>
      <c r="AU522" s="173"/>
      <c r="AV522" s="173"/>
    </row>
    <row r="523" spans="1:48" ht="14.25">
      <c r="A523" s="187"/>
      <c r="B523" s="437">
        <v>4</v>
      </c>
      <c r="C523" s="438" t="s">
        <v>1194</v>
      </c>
      <c r="D523" s="439" t="s">
        <v>68</v>
      </c>
      <c r="E523" s="439" t="s">
        <v>80</v>
      </c>
      <c r="F523" s="439" t="s">
        <v>26</v>
      </c>
      <c r="G523" s="440">
        <v>2</v>
      </c>
      <c r="H523" s="440">
        <v>0</v>
      </c>
      <c r="I523" s="441">
        <v>0.33</v>
      </c>
      <c r="J523" s="441">
        <v>0.33</v>
      </c>
      <c r="K523" s="442" t="s">
        <v>182</v>
      </c>
      <c r="L523" s="442" t="s">
        <v>602</v>
      </c>
      <c r="M523" s="442">
        <v>2</v>
      </c>
      <c r="N523" s="442">
        <v>5</v>
      </c>
      <c r="O523" s="443" t="s">
        <v>1195</v>
      </c>
      <c r="P523" s="444" t="s">
        <v>275</v>
      </c>
      <c r="Q523" s="439" t="s">
        <v>979</v>
      </c>
      <c r="R523" s="173"/>
      <c r="S523" s="195">
        <f>MATCH($D523,Reference!$J$5:$J$9,0)</f>
        <v>3</v>
      </c>
      <c r="T523" s="195">
        <f>MATCH($E523,Reference!$J$26:$J$32,0)</f>
        <v>5</v>
      </c>
      <c r="U523" s="195">
        <f>MATCH($F523,Reference!$J$45:$J$54,0)</f>
        <v>9</v>
      </c>
      <c r="V523" s="196">
        <f>MATCH($K523,Reference!$J$37:$J$39,0)</f>
        <v>3</v>
      </c>
      <c r="W523" s="197">
        <f t="shared" si="749"/>
        <v>2</v>
      </c>
      <c r="X523" s="197">
        <f t="shared" si="1"/>
        <v>1</v>
      </c>
      <c r="Y523" s="197">
        <f t="shared" si="750"/>
        <v>0</v>
      </c>
      <c r="Z523" s="197">
        <f t="shared" si="751"/>
        <v>2</v>
      </c>
      <c r="AA523" s="199" t="b">
        <f t="shared" si="3"/>
        <v>0</v>
      </c>
      <c r="AB523" s="199" t="b">
        <f t="shared" si="4"/>
        <v>0</v>
      </c>
      <c r="AC523" s="200">
        <f t="shared" ref="AC523:AD523" si="780">1-I523</f>
        <v>0.66999999999999993</v>
      </c>
      <c r="AD523" s="200">
        <f t="shared" si="780"/>
        <v>0.66999999999999993</v>
      </c>
      <c r="AE523" s="199">
        <f t="shared" si="6"/>
        <v>2</v>
      </c>
      <c r="AF523" s="201">
        <f t="shared" si="753"/>
        <v>0</v>
      </c>
      <c r="AG523" s="201">
        <f t="shared" si="8"/>
        <v>1</v>
      </c>
      <c r="AH523" s="202">
        <f t="shared" si="754"/>
        <v>0</v>
      </c>
      <c r="AI523" s="205"/>
      <c r="AJ523" s="173"/>
      <c r="AK523" s="173"/>
      <c r="AL523" s="173"/>
      <c r="AM523" s="173"/>
      <c r="AN523" s="173"/>
      <c r="AO523" s="173"/>
      <c r="AP523" s="173"/>
      <c r="AQ523" s="173"/>
      <c r="AR523" s="173"/>
      <c r="AS523" s="173"/>
      <c r="AT523" s="173"/>
      <c r="AU523" s="173"/>
      <c r="AV523" s="173"/>
    </row>
    <row r="524" spans="1:48" ht="14.25">
      <c r="A524" s="240"/>
      <c r="B524" s="437">
        <v>5</v>
      </c>
      <c r="C524" s="438" t="s">
        <v>1196</v>
      </c>
      <c r="D524" s="439" t="s">
        <v>68</v>
      </c>
      <c r="E524" s="439" t="s">
        <v>80</v>
      </c>
      <c r="F524" s="439" t="s">
        <v>115</v>
      </c>
      <c r="G524" s="440">
        <v>1</v>
      </c>
      <c r="H524" s="440">
        <v>0</v>
      </c>
      <c r="I524" s="441">
        <v>0.66</v>
      </c>
      <c r="J524" s="441">
        <v>0.66</v>
      </c>
      <c r="K524" s="442" t="s">
        <v>182</v>
      </c>
      <c r="L524" s="442"/>
      <c r="M524" s="442">
        <v>3</v>
      </c>
      <c r="N524" s="442">
        <v>3</v>
      </c>
      <c r="O524" s="443" t="s">
        <v>1197</v>
      </c>
      <c r="P524" s="444" t="s">
        <v>184</v>
      </c>
      <c r="Q524" s="439" t="s">
        <v>979</v>
      </c>
      <c r="R524" s="173"/>
      <c r="S524" s="195">
        <f>MATCH($D524,Reference!$J$5:$J$9,0)</f>
        <v>3</v>
      </c>
      <c r="T524" s="195">
        <f>MATCH($E524,Reference!$J$26:$J$32,0)</f>
        <v>5</v>
      </c>
      <c r="U524" s="195">
        <f>MATCH($F524,Reference!$J$45:$J$54,0)</f>
        <v>10</v>
      </c>
      <c r="V524" s="196">
        <f>MATCH($K524,Reference!$J$37:$J$39,0)</f>
        <v>3</v>
      </c>
      <c r="W524" s="197">
        <f t="shared" si="749"/>
        <v>1</v>
      </c>
      <c r="X524" s="197">
        <f t="shared" si="1"/>
        <v>1</v>
      </c>
      <c r="Y524" s="197">
        <f t="shared" si="750"/>
        <v>0</v>
      </c>
      <c r="Z524" s="197">
        <f t="shared" si="751"/>
        <v>1</v>
      </c>
      <c r="AA524" s="199" t="b">
        <f t="shared" si="3"/>
        <v>0</v>
      </c>
      <c r="AB524" s="199" t="b">
        <f t="shared" si="4"/>
        <v>1</v>
      </c>
      <c r="AC524" s="200">
        <f t="shared" ref="AC524:AD524" si="781">1-I524</f>
        <v>0.33999999999999997</v>
      </c>
      <c r="AD524" s="200">
        <f t="shared" si="781"/>
        <v>0.33999999999999997</v>
      </c>
      <c r="AE524" s="199">
        <f t="shared" si="6"/>
        <v>1.3399999999999999</v>
      </c>
      <c r="AF524" s="201">
        <f t="shared" si="753"/>
        <v>0</v>
      </c>
      <c r="AG524" s="201">
        <f t="shared" si="8"/>
        <v>1</v>
      </c>
      <c r="AH524" s="202">
        <f t="shared" si="754"/>
        <v>0</v>
      </c>
      <c r="AI524" s="205"/>
      <c r="AJ524" s="173"/>
      <c r="AK524" s="173"/>
      <c r="AL524" s="173"/>
      <c r="AM524" s="173"/>
      <c r="AN524" s="173"/>
      <c r="AO524" s="173"/>
      <c r="AP524" s="173"/>
      <c r="AQ524" s="173"/>
      <c r="AR524" s="173"/>
      <c r="AS524" s="173"/>
      <c r="AT524" s="173"/>
      <c r="AU524" s="173"/>
      <c r="AV524" s="173"/>
    </row>
    <row r="525" spans="1:48" ht="14.25">
      <c r="A525" s="187"/>
      <c r="B525" s="437">
        <v>5</v>
      </c>
      <c r="C525" s="438" t="s">
        <v>1198</v>
      </c>
      <c r="D525" s="439" t="s">
        <v>68</v>
      </c>
      <c r="E525" s="439" t="s">
        <v>80</v>
      </c>
      <c r="F525" s="439" t="s">
        <v>16</v>
      </c>
      <c r="G525" s="445">
        <v>2</v>
      </c>
      <c r="H525" s="445">
        <v>0</v>
      </c>
      <c r="I525" s="441">
        <v>0</v>
      </c>
      <c r="J525" s="446">
        <v>0</v>
      </c>
      <c r="K525" s="447" t="s">
        <v>182</v>
      </c>
      <c r="L525" s="447" t="s">
        <v>602</v>
      </c>
      <c r="M525" s="447">
        <v>6</v>
      </c>
      <c r="N525" s="447">
        <v>3</v>
      </c>
      <c r="O525" s="448" t="s">
        <v>1199</v>
      </c>
      <c r="P525" s="313"/>
      <c r="Q525" s="439" t="s">
        <v>979</v>
      </c>
      <c r="R525" s="173"/>
      <c r="S525" s="195">
        <f>MATCH($D525,Reference!$J$5:$J$9,0)</f>
        <v>3</v>
      </c>
      <c r="T525" s="195">
        <f>MATCH($E525,Reference!$J$26:$J$32,0)</f>
        <v>5</v>
      </c>
      <c r="U525" s="195">
        <f>MATCH($F525,Reference!$J$45:$J$54,0)</f>
        <v>4</v>
      </c>
      <c r="V525" s="196">
        <f>MATCH($K525,Reference!$J$37:$J$39,0)</f>
        <v>3</v>
      </c>
      <c r="W525" s="197">
        <f t="shared" si="749"/>
        <v>2</v>
      </c>
      <c r="X525" s="197">
        <f t="shared" si="1"/>
        <v>1</v>
      </c>
      <c r="Y525" s="197">
        <f t="shared" si="750"/>
        <v>0</v>
      </c>
      <c r="Z525" s="197">
        <f t="shared" si="751"/>
        <v>2</v>
      </c>
      <c r="AA525" s="199" t="b">
        <f t="shared" si="3"/>
        <v>0</v>
      </c>
      <c r="AB525" s="199" t="b">
        <f t="shared" si="4"/>
        <v>0</v>
      </c>
      <c r="AC525" s="200">
        <f t="shared" ref="AC525:AD525" si="782">1-I525</f>
        <v>1</v>
      </c>
      <c r="AD525" s="200">
        <f t="shared" si="782"/>
        <v>1</v>
      </c>
      <c r="AE525" s="199">
        <f t="shared" si="6"/>
        <v>2</v>
      </c>
      <c r="AF525" s="201">
        <f t="shared" si="753"/>
        <v>0</v>
      </c>
      <c r="AG525" s="201">
        <f t="shared" si="8"/>
        <v>1</v>
      </c>
      <c r="AH525" s="202">
        <f t="shared" si="754"/>
        <v>0</v>
      </c>
      <c r="AI525" s="205"/>
      <c r="AJ525" s="173"/>
      <c r="AK525" s="173"/>
      <c r="AL525" s="173"/>
      <c r="AM525" s="173"/>
      <c r="AN525" s="173"/>
      <c r="AO525" s="173"/>
      <c r="AP525" s="173"/>
      <c r="AQ525" s="173"/>
      <c r="AR525" s="173"/>
      <c r="AS525" s="173"/>
      <c r="AT525" s="173"/>
      <c r="AU525" s="173"/>
      <c r="AV525" s="173"/>
    </row>
    <row r="526" spans="1:48" ht="14.25">
      <c r="A526" s="279"/>
      <c r="B526" s="437">
        <v>5</v>
      </c>
      <c r="C526" s="438" t="s">
        <v>1200</v>
      </c>
      <c r="D526" s="439" t="s">
        <v>68</v>
      </c>
      <c r="E526" s="439" t="s">
        <v>80</v>
      </c>
      <c r="F526" s="439" t="s">
        <v>11</v>
      </c>
      <c r="G526" s="440">
        <v>1</v>
      </c>
      <c r="H526" s="440">
        <v>0</v>
      </c>
      <c r="I526" s="441">
        <v>0</v>
      </c>
      <c r="J526" s="441">
        <v>0</v>
      </c>
      <c r="K526" s="442" t="s">
        <v>182</v>
      </c>
      <c r="L526" s="442" t="s">
        <v>230</v>
      </c>
      <c r="M526" s="442">
        <v>2</v>
      </c>
      <c r="N526" s="442">
        <v>6</v>
      </c>
      <c r="O526" s="443" t="s">
        <v>1201</v>
      </c>
      <c r="P526" s="444" t="s">
        <v>193</v>
      </c>
      <c r="Q526" s="439" t="s">
        <v>979</v>
      </c>
      <c r="R526" s="173"/>
      <c r="S526" s="195">
        <f>MATCH($D526,Reference!$J$5:$J$9,0)</f>
        <v>3</v>
      </c>
      <c r="T526" s="195">
        <f>MATCH($E526,Reference!$J$26:$J$32,0)</f>
        <v>5</v>
      </c>
      <c r="U526" s="195">
        <f>MATCH($F526,Reference!$J$45:$J$54,0)</f>
        <v>2</v>
      </c>
      <c r="V526" s="196">
        <f>MATCH($K526,Reference!$J$37:$J$39,0)</f>
        <v>3</v>
      </c>
      <c r="W526" s="197">
        <f t="shared" si="749"/>
        <v>1</v>
      </c>
      <c r="X526" s="197">
        <f t="shared" si="1"/>
        <v>1</v>
      </c>
      <c r="Y526" s="197">
        <f t="shared" si="750"/>
        <v>0</v>
      </c>
      <c r="Z526" s="197">
        <f t="shared" si="751"/>
        <v>1</v>
      </c>
      <c r="AA526" s="199" t="b">
        <f t="shared" si="3"/>
        <v>0</v>
      </c>
      <c r="AB526" s="199" t="b">
        <f t="shared" si="4"/>
        <v>1</v>
      </c>
      <c r="AC526" s="200">
        <f t="shared" ref="AC526:AD526" si="783">1-I526</f>
        <v>1</v>
      </c>
      <c r="AD526" s="200">
        <f t="shared" si="783"/>
        <v>1</v>
      </c>
      <c r="AE526" s="199">
        <f t="shared" si="6"/>
        <v>2</v>
      </c>
      <c r="AF526" s="201">
        <f t="shared" si="753"/>
        <v>0</v>
      </c>
      <c r="AG526" s="201">
        <f t="shared" si="8"/>
        <v>1</v>
      </c>
      <c r="AH526" s="202">
        <f t="shared" si="754"/>
        <v>0</v>
      </c>
      <c r="AI526" s="205"/>
      <c r="AJ526" s="173"/>
      <c r="AK526" s="173"/>
      <c r="AL526" s="173"/>
      <c r="AM526" s="173"/>
      <c r="AN526" s="173"/>
      <c r="AO526" s="173"/>
      <c r="AP526" s="173"/>
      <c r="AQ526" s="173"/>
      <c r="AR526" s="173"/>
      <c r="AS526" s="173"/>
      <c r="AT526" s="173"/>
      <c r="AU526" s="173"/>
      <c r="AV526" s="173"/>
    </row>
    <row r="527" spans="1:48" ht="14.25">
      <c r="A527" s="209"/>
      <c r="B527" s="437">
        <v>5</v>
      </c>
      <c r="C527" s="438" t="s">
        <v>1202</v>
      </c>
      <c r="D527" s="439" t="s">
        <v>68</v>
      </c>
      <c r="E527" s="439" t="s">
        <v>80</v>
      </c>
      <c r="F527" s="439" t="s">
        <v>115</v>
      </c>
      <c r="G527" s="440">
        <v>1</v>
      </c>
      <c r="H527" s="440">
        <v>0</v>
      </c>
      <c r="I527" s="441">
        <v>0.33</v>
      </c>
      <c r="J527" s="441">
        <v>0.33</v>
      </c>
      <c r="K527" s="439" t="s">
        <v>182</v>
      </c>
      <c r="L527" s="439"/>
      <c r="M527" s="450">
        <v>5</v>
      </c>
      <c r="N527" s="451">
        <v>4</v>
      </c>
      <c r="O527" s="443" t="s">
        <v>1203</v>
      </c>
      <c r="P527" s="444" t="s">
        <v>184</v>
      </c>
      <c r="Q527" s="439" t="s">
        <v>979</v>
      </c>
      <c r="R527" s="278"/>
      <c r="S527" s="195">
        <f>MATCH($D527,Reference!$J$5:$J$9,0)</f>
        <v>3</v>
      </c>
      <c r="T527" s="195">
        <f>MATCH($E527,Reference!$J$26:$J$32,0)</f>
        <v>5</v>
      </c>
      <c r="U527" s="195">
        <f>MATCH($F527,Reference!$J$45:$J$54,0)</f>
        <v>10</v>
      </c>
      <c r="V527" s="196">
        <f>MATCH($K527,Reference!$J$37:$J$39,0)</f>
        <v>3</v>
      </c>
      <c r="W527" s="197">
        <f t="shared" si="749"/>
        <v>1</v>
      </c>
      <c r="X527" s="197">
        <f t="shared" si="1"/>
        <v>1</v>
      </c>
      <c r="Y527" s="197">
        <f t="shared" si="750"/>
        <v>0</v>
      </c>
      <c r="Z527" s="197">
        <f t="shared" si="751"/>
        <v>1</v>
      </c>
      <c r="AA527" s="199" t="b">
        <f t="shared" si="3"/>
        <v>0</v>
      </c>
      <c r="AB527" s="199" t="b">
        <f t="shared" si="4"/>
        <v>1</v>
      </c>
      <c r="AC527" s="200">
        <f t="shared" ref="AC527:AD527" si="784">1-I527</f>
        <v>0.66999999999999993</v>
      </c>
      <c r="AD527" s="200">
        <f t="shared" si="784"/>
        <v>0.66999999999999993</v>
      </c>
      <c r="AE527" s="199">
        <f t="shared" si="6"/>
        <v>1.67</v>
      </c>
      <c r="AF527" s="201">
        <f t="shared" si="753"/>
        <v>0</v>
      </c>
      <c r="AG527" s="201">
        <f t="shared" si="8"/>
        <v>1</v>
      </c>
      <c r="AH527" s="202">
        <f t="shared" si="754"/>
        <v>0</v>
      </c>
      <c r="AI527" s="205"/>
      <c r="AJ527" s="173"/>
      <c r="AK527" s="173"/>
      <c r="AL527" s="173"/>
      <c r="AM527" s="173"/>
      <c r="AN527" s="173"/>
      <c r="AO527" s="173"/>
      <c r="AP527" s="173"/>
      <c r="AQ527" s="173"/>
      <c r="AR527" s="173"/>
      <c r="AS527" s="173"/>
      <c r="AT527" s="173"/>
      <c r="AU527" s="173"/>
      <c r="AV527" s="173"/>
    </row>
    <row r="528" spans="1:48" ht="14.25">
      <c r="A528" s="187"/>
      <c r="B528" s="437">
        <v>5</v>
      </c>
      <c r="C528" s="438" t="s">
        <v>1204</v>
      </c>
      <c r="D528" s="439" t="s">
        <v>68</v>
      </c>
      <c r="E528" s="439" t="s">
        <v>80</v>
      </c>
      <c r="F528" s="439" t="s">
        <v>20</v>
      </c>
      <c r="G528" s="440">
        <v>2</v>
      </c>
      <c r="H528" s="440">
        <v>0</v>
      </c>
      <c r="I528" s="441">
        <v>0.33</v>
      </c>
      <c r="J528" s="441">
        <v>0.33</v>
      </c>
      <c r="K528" s="442" t="s">
        <v>182</v>
      </c>
      <c r="L528" s="442"/>
      <c r="M528" s="442">
        <v>6</v>
      </c>
      <c r="N528" s="442">
        <v>6</v>
      </c>
      <c r="O528" s="443" t="s">
        <v>1205</v>
      </c>
      <c r="P528" s="444" t="s">
        <v>497</v>
      </c>
      <c r="Q528" s="439" t="s">
        <v>979</v>
      </c>
      <c r="R528" s="173"/>
      <c r="S528" s="195">
        <f>MATCH($D528,Reference!$J$5:$J$9,0)</f>
        <v>3</v>
      </c>
      <c r="T528" s="195">
        <f>MATCH($E528,Reference!$J$26:$J$32,0)</f>
        <v>5</v>
      </c>
      <c r="U528" s="195">
        <f>MATCH($F528,Reference!$J$45:$J$54,0)</f>
        <v>6</v>
      </c>
      <c r="V528" s="196">
        <f>MATCH($K528,Reference!$J$37:$J$39,0)</f>
        <v>3</v>
      </c>
      <c r="W528" s="197">
        <f t="shared" si="749"/>
        <v>2</v>
      </c>
      <c r="X528" s="197">
        <f t="shared" si="1"/>
        <v>1</v>
      </c>
      <c r="Y528" s="197">
        <f t="shared" si="750"/>
        <v>0</v>
      </c>
      <c r="Z528" s="197">
        <f t="shared" si="751"/>
        <v>2</v>
      </c>
      <c r="AA528" s="199" t="b">
        <f t="shared" si="3"/>
        <v>0</v>
      </c>
      <c r="AB528" s="199" t="b">
        <f t="shared" si="4"/>
        <v>0</v>
      </c>
      <c r="AC528" s="200">
        <f t="shared" ref="AC528:AD528" si="785">1-I528</f>
        <v>0.66999999999999993</v>
      </c>
      <c r="AD528" s="200">
        <f t="shared" si="785"/>
        <v>0.66999999999999993</v>
      </c>
      <c r="AE528" s="199">
        <f t="shared" si="6"/>
        <v>2</v>
      </c>
      <c r="AF528" s="201">
        <f t="shared" si="753"/>
        <v>0</v>
      </c>
      <c r="AG528" s="201">
        <f t="shared" si="8"/>
        <v>1</v>
      </c>
      <c r="AH528" s="202">
        <f t="shared" si="754"/>
        <v>0</v>
      </c>
      <c r="AI528" s="205"/>
      <c r="AJ528" s="173"/>
      <c r="AK528" s="173"/>
      <c r="AL528" s="173"/>
      <c r="AM528" s="173"/>
      <c r="AN528" s="173"/>
      <c r="AO528" s="173"/>
      <c r="AP528" s="173"/>
      <c r="AQ528" s="173"/>
      <c r="AR528" s="173"/>
      <c r="AS528" s="173"/>
      <c r="AT528" s="173"/>
      <c r="AU528" s="173"/>
      <c r="AV528" s="173"/>
    </row>
    <row r="529" spans="1:48" ht="14.25">
      <c r="A529" s="187"/>
      <c r="B529" s="437">
        <v>5</v>
      </c>
      <c r="C529" s="438" t="s">
        <v>1206</v>
      </c>
      <c r="D529" s="439" t="s">
        <v>68</v>
      </c>
      <c r="E529" s="439" t="s">
        <v>80</v>
      </c>
      <c r="F529" s="439" t="s">
        <v>26</v>
      </c>
      <c r="G529" s="440">
        <v>2</v>
      </c>
      <c r="H529" s="440">
        <v>0</v>
      </c>
      <c r="I529" s="441">
        <v>0.33</v>
      </c>
      <c r="J529" s="441">
        <v>0</v>
      </c>
      <c r="K529" s="442" t="s">
        <v>182</v>
      </c>
      <c r="L529" s="442" t="s">
        <v>602</v>
      </c>
      <c r="M529" s="442">
        <v>5</v>
      </c>
      <c r="N529" s="442">
        <v>5</v>
      </c>
      <c r="O529" s="443" t="s">
        <v>1207</v>
      </c>
      <c r="P529" s="313"/>
      <c r="Q529" s="439" t="s">
        <v>979</v>
      </c>
      <c r="R529" s="173"/>
      <c r="S529" s="195">
        <f>MATCH($D529,Reference!$J$5:$J$9,0)</f>
        <v>3</v>
      </c>
      <c r="T529" s="195">
        <f>MATCH($E529,Reference!$J$26:$J$32,0)</f>
        <v>5</v>
      </c>
      <c r="U529" s="195">
        <f>MATCH($F529,Reference!$J$45:$J$54,0)</f>
        <v>9</v>
      </c>
      <c r="V529" s="196">
        <f>MATCH($K529,Reference!$J$37:$J$39,0)</f>
        <v>3</v>
      </c>
      <c r="W529" s="197">
        <f t="shared" si="749"/>
        <v>2</v>
      </c>
      <c r="X529" s="197">
        <f t="shared" si="1"/>
        <v>1</v>
      </c>
      <c r="Y529" s="197">
        <f t="shared" si="750"/>
        <v>0</v>
      </c>
      <c r="Z529" s="197">
        <f t="shared" si="751"/>
        <v>2</v>
      </c>
      <c r="AA529" s="199" t="b">
        <f t="shared" si="3"/>
        <v>0</v>
      </c>
      <c r="AB529" s="199" t="b">
        <f t="shared" si="4"/>
        <v>0</v>
      </c>
      <c r="AC529" s="200">
        <f t="shared" ref="AC529:AD529" si="786">1-I529</f>
        <v>0.66999999999999993</v>
      </c>
      <c r="AD529" s="200">
        <f t="shared" si="786"/>
        <v>1</v>
      </c>
      <c r="AE529" s="199">
        <f t="shared" si="6"/>
        <v>2</v>
      </c>
      <c r="AF529" s="201">
        <f t="shared" si="753"/>
        <v>0</v>
      </c>
      <c r="AG529" s="201">
        <f t="shared" si="8"/>
        <v>1</v>
      </c>
      <c r="AH529" s="202">
        <f t="shared" si="754"/>
        <v>0</v>
      </c>
      <c r="AI529" s="205"/>
      <c r="AJ529" s="173"/>
      <c r="AK529" s="173"/>
      <c r="AL529" s="173"/>
      <c r="AM529" s="173"/>
      <c r="AN529" s="173"/>
      <c r="AO529" s="173"/>
      <c r="AP529" s="173"/>
      <c r="AQ529" s="173"/>
      <c r="AR529" s="173"/>
      <c r="AS529" s="173"/>
      <c r="AT529" s="173"/>
      <c r="AU529" s="173"/>
      <c r="AV529" s="173"/>
    </row>
    <row r="530" spans="1:48" ht="14.25">
      <c r="A530" s="187"/>
      <c r="B530" s="437">
        <v>5</v>
      </c>
      <c r="C530" s="438" t="s">
        <v>1208</v>
      </c>
      <c r="D530" s="439" t="s">
        <v>68</v>
      </c>
      <c r="E530" s="439" t="s">
        <v>80</v>
      </c>
      <c r="F530" s="439" t="s">
        <v>18</v>
      </c>
      <c r="G530" s="440">
        <v>2</v>
      </c>
      <c r="H530" s="440">
        <v>0</v>
      </c>
      <c r="I530" s="441">
        <v>0.66</v>
      </c>
      <c r="J530" s="441">
        <v>0.66</v>
      </c>
      <c r="K530" s="442" t="s">
        <v>182</v>
      </c>
      <c r="L530" s="442" t="s">
        <v>602</v>
      </c>
      <c r="M530" s="442">
        <v>5</v>
      </c>
      <c r="N530" s="442">
        <v>5</v>
      </c>
      <c r="O530" s="443" t="s">
        <v>1209</v>
      </c>
      <c r="P530" s="444" t="s">
        <v>184</v>
      </c>
      <c r="Q530" s="439" t="s">
        <v>979</v>
      </c>
      <c r="R530" s="173"/>
      <c r="S530" s="195">
        <f>MATCH($D530,Reference!$J$5:$J$9,0)</f>
        <v>3</v>
      </c>
      <c r="T530" s="195">
        <f>MATCH($E530,Reference!$J$26:$J$32,0)</f>
        <v>5</v>
      </c>
      <c r="U530" s="195">
        <f>MATCH($F530,Reference!$J$45:$J$54,0)</f>
        <v>5</v>
      </c>
      <c r="V530" s="196">
        <f>MATCH($K530,Reference!$J$37:$J$39,0)</f>
        <v>3</v>
      </c>
      <c r="W530" s="197">
        <f t="shared" si="749"/>
        <v>2</v>
      </c>
      <c r="X530" s="197">
        <f t="shared" si="1"/>
        <v>1</v>
      </c>
      <c r="Y530" s="197">
        <f t="shared" si="750"/>
        <v>0</v>
      </c>
      <c r="Z530" s="197">
        <f t="shared" si="751"/>
        <v>2</v>
      </c>
      <c r="AA530" s="199" t="b">
        <f t="shared" si="3"/>
        <v>0</v>
      </c>
      <c r="AB530" s="199" t="b">
        <f t="shared" si="4"/>
        <v>0</v>
      </c>
      <c r="AC530" s="200">
        <f t="shared" ref="AC530:AD530" si="787">1-I530</f>
        <v>0.33999999999999997</v>
      </c>
      <c r="AD530" s="200">
        <f t="shared" si="787"/>
        <v>0.33999999999999997</v>
      </c>
      <c r="AE530" s="199">
        <f t="shared" si="6"/>
        <v>2</v>
      </c>
      <c r="AF530" s="201">
        <f t="shared" si="753"/>
        <v>0</v>
      </c>
      <c r="AG530" s="201">
        <f t="shared" si="8"/>
        <v>1</v>
      </c>
      <c r="AH530" s="202">
        <f t="shared" si="754"/>
        <v>0</v>
      </c>
      <c r="AI530" s="205"/>
      <c r="AJ530" s="173"/>
      <c r="AK530" s="173"/>
      <c r="AL530" s="173"/>
      <c r="AM530" s="173"/>
      <c r="AN530" s="173"/>
      <c r="AO530" s="173"/>
      <c r="AP530" s="173"/>
      <c r="AQ530" s="173"/>
      <c r="AR530" s="173"/>
      <c r="AS530" s="173"/>
      <c r="AT530" s="173"/>
      <c r="AU530" s="173"/>
      <c r="AV530" s="173"/>
    </row>
    <row r="531" spans="1:48" ht="14.25">
      <c r="A531" s="187"/>
      <c r="B531" s="437">
        <v>6</v>
      </c>
      <c r="C531" s="438" t="s">
        <v>1210</v>
      </c>
      <c r="D531" s="439" t="s">
        <v>68</v>
      </c>
      <c r="E531" s="439" t="s">
        <v>80</v>
      </c>
      <c r="F531" s="439" t="s">
        <v>8</v>
      </c>
      <c r="G531" s="440">
        <v>1</v>
      </c>
      <c r="H531" s="440">
        <v>0</v>
      </c>
      <c r="I531" s="441">
        <v>0.33</v>
      </c>
      <c r="J531" s="441">
        <v>0.33</v>
      </c>
      <c r="K531" s="439" t="s">
        <v>182</v>
      </c>
      <c r="L531" s="439" t="s">
        <v>602</v>
      </c>
      <c r="M531" s="450">
        <v>7</v>
      </c>
      <c r="N531" s="451">
        <v>6</v>
      </c>
      <c r="O531" s="443" t="s">
        <v>1211</v>
      </c>
      <c r="P531" s="313"/>
      <c r="Q531" s="439" t="s">
        <v>979</v>
      </c>
      <c r="R531" s="173"/>
      <c r="S531" s="195">
        <f>MATCH($D531,Reference!$J$5:$J$9,0)</f>
        <v>3</v>
      </c>
      <c r="T531" s="195">
        <f>MATCH($E531,Reference!$J$26:$J$32,0)</f>
        <v>5</v>
      </c>
      <c r="U531" s="195">
        <f>MATCH($F531,Reference!$J$45:$J$54,0)</f>
        <v>1</v>
      </c>
      <c r="V531" s="196">
        <f>MATCH($K531,Reference!$J$37:$J$39,0)</f>
        <v>3</v>
      </c>
      <c r="W531" s="197">
        <f t="shared" si="749"/>
        <v>1</v>
      </c>
      <c r="X531" s="197">
        <f t="shared" si="1"/>
        <v>1</v>
      </c>
      <c r="Y531" s="197">
        <f t="shared" si="750"/>
        <v>0</v>
      </c>
      <c r="Z531" s="197">
        <f t="shared" si="751"/>
        <v>1</v>
      </c>
      <c r="AA531" s="199" t="b">
        <f t="shared" si="3"/>
        <v>0</v>
      </c>
      <c r="AB531" s="199" t="b">
        <f t="shared" si="4"/>
        <v>1</v>
      </c>
      <c r="AC531" s="200">
        <f t="shared" ref="AC531:AD531" si="788">1-I531</f>
        <v>0.66999999999999993</v>
      </c>
      <c r="AD531" s="200">
        <f t="shared" si="788"/>
        <v>0.66999999999999993</v>
      </c>
      <c r="AE531" s="199">
        <f t="shared" si="6"/>
        <v>1.67</v>
      </c>
      <c r="AF531" s="201">
        <f t="shared" si="753"/>
        <v>0</v>
      </c>
      <c r="AG531" s="201">
        <f t="shared" si="8"/>
        <v>1</v>
      </c>
      <c r="AH531" s="202">
        <f t="shared" si="754"/>
        <v>0</v>
      </c>
      <c r="AI531" s="205"/>
      <c r="AJ531" s="173"/>
      <c r="AK531" s="173"/>
      <c r="AL531" s="173"/>
      <c r="AM531" s="173"/>
      <c r="AN531" s="173"/>
      <c r="AO531" s="173"/>
      <c r="AP531" s="173"/>
      <c r="AQ531" s="173"/>
      <c r="AR531" s="173"/>
      <c r="AS531" s="173"/>
      <c r="AT531" s="173"/>
      <c r="AU531" s="173"/>
      <c r="AV531" s="173"/>
    </row>
    <row r="532" spans="1:48" ht="14.25">
      <c r="A532" s="206"/>
      <c r="B532" s="437">
        <v>6</v>
      </c>
      <c r="C532" s="438" t="s">
        <v>1212</v>
      </c>
      <c r="D532" s="439" t="s">
        <v>68</v>
      </c>
      <c r="E532" s="439" t="s">
        <v>80</v>
      </c>
      <c r="F532" s="439" t="s">
        <v>8</v>
      </c>
      <c r="G532" s="440">
        <v>2</v>
      </c>
      <c r="H532" s="440">
        <v>0</v>
      </c>
      <c r="I532" s="441">
        <v>0</v>
      </c>
      <c r="J532" s="441">
        <v>0</v>
      </c>
      <c r="K532" s="442" t="s">
        <v>146</v>
      </c>
      <c r="L532" s="442"/>
      <c r="M532" s="442"/>
      <c r="N532" s="442"/>
      <c r="O532" s="443" t="s">
        <v>1213</v>
      </c>
      <c r="P532" s="313"/>
      <c r="Q532" s="439" t="s">
        <v>979</v>
      </c>
      <c r="R532" s="173"/>
      <c r="S532" s="195">
        <f>MATCH($D532,Reference!$J$5:$J$9,0)</f>
        <v>3</v>
      </c>
      <c r="T532" s="195">
        <f>MATCH($E532,Reference!$J$26:$J$32,0)</f>
        <v>5</v>
      </c>
      <c r="U532" s="195">
        <f>MATCH($F532,Reference!$J$45:$J$54,0)</f>
        <v>1</v>
      </c>
      <c r="V532" s="196">
        <f>MATCH($K532,Reference!$J$37:$J$39,0)</f>
        <v>2</v>
      </c>
      <c r="W532" s="197">
        <f t="shared" si="749"/>
        <v>2</v>
      </c>
      <c r="X532" s="197">
        <f t="shared" si="1"/>
        <v>1</v>
      </c>
      <c r="Y532" s="197">
        <f t="shared" si="750"/>
        <v>0</v>
      </c>
      <c r="Z532" s="197">
        <f t="shared" si="751"/>
        <v>2</v>
      </c>
      <c r="AA532" s="199" t="b">
        <f t="shared" si="3"/>
        <v>0</v>
      </c>
      <c r="AB532" s="199" t="b">
        <f t="shared" si="4"/>
        <v>0</v>
      </c>
      <c r="AC532" s="200">
        <f t="shared" ref="AC532:AD532" si="789">1-I532</f>
        <v>1</v>
      </c>
      <c r="AD532" s="200">
        <f t="shared" si="789"/>
        <v>1</v>
      </c>
      <c r="AE532" s="199">
        <f t="shared" si="6"/>
        <v>2</v>
      </c>
      <c r="AF532" s="201">
        <f t="shared" si="753"/>
        <v>0</v>
      </c>
      <c r="AG532" s="201">
        <f t="shared" si="8"/>
        <v>1</v>
      </c>
      <c r="AH532" s="202">
        <f t="shared" si="754"/>
        <v>0</v>
      </c>
      <c r="AI532" s="205"/>
      <c r="AJ532" s="173"/>
      <c r="AK532" s="173"/>
      <c r="AL532" s="173"/>
      <c r="AM532" s="173"/>
      <c r="AN532" s="173"/>
      <c r="AO532" s="173"/>
      <c r="AP532" s="173"/>
      <c r="AQ532" s="173"/>
      <c r="AR532" s="173"/>
      <c r="AS532" s="173"/>
      <c r="AT532" s="173"/>
      <c r="AU532" s="173"/>
      <c r="AV532" s="173"/>
    </row>
    <row r="533" spans="1:48" ht="14.25">
      <c r="A533" s="187"/>
      <c r="B533" s="437">
        <v>6</v>
      </c>
      <c r="C533" s="438" t="s">
        <v>1214</v>
      </c>
      <c r="D533" s="439" t="s">
        <v>68</v>
      </c>
      <c r="E533" s="439" t="s">
        <v>80</v>
      </c>
      <c r="F533" s="439" t="s">
        <v>26</v>
      </c>
      <c r="G533" s="440">
        <v>2</v>
      </c>
      <c r="H533" s="440">
        <v>0</v>
      </c>
      <c r="I533" s="441">
        <v>1</v>
      </c>
      <c r="J533" s="441">
        <v>1</v>
      </c>
      <c r="K533" s="442" t="s">
        <v>182</v>
      </c>
      <c r="L533" s="442"/>
      <c r="M533" s="442">
        <v>5</v>
      </c>
      <c r="N533" s="442">
        <v>5</v>
      </c>
      <c r="O533" s="443" t="s">
        <v>1215</v>
      </c>
      <c r="P533" s="444" t="s">
        <v>184</v>
      </c>
      <c r="Q533" s="439" t="s">
        <v>979</v>
      </c>
      <c r="R533" s="173"/>
      <c r="S533" s="195">
        <f>MATCH($D533,Reference!$J$5:$J$9,0)</f>
        <v>3</v>
      </c>
      <c r="T533" s="195">
        <f>MATCH($E533,Reference!$J$26:$J$32,0)</f>
        <v>5</v>
      </c>
      <c r="U533" s="195">
        <f>MATCH($F533,Reference!$J$45:$J$54,0)</f>
        <v>9</v>
      </c>
      <c r="V533" s="196">
        <f>MATCH($K533,Reference!$J$37:$J$39,0)</f>
        <v>3</v>
      </c>
      <c r="W533" s="197">
        <f t="shared" si="749"/>
        <v>2</v>
      </c>
      <c r="X533" s="197">
        <f t="shared" si="1"/>
        <v>1</v>
      </c>
      <c r="Y533" s="197">
        <f t="shared" si="750"/>
        <v>0</v>
      </c>
      <c r="Z533" s="197">
        <f t="shared" si="751"/>
        <v>2</v>
      </c>
      <c r="AA533" s="199" t="b">
        <f t="shared" si="3"/>
        <v>0</v>
      </c>
      <c r="AB533" s="199" t="b">
        <f t="shared" si="4"/>
        <v>0</v>
      </c>
      <c r="AC533" s="200">
        <f t="shared" ref="AC533:AD533" si="790">1-I533</f>
        <v>0</v>
      </c>
      <c r="AD533" s="200">
        <f t="shared" si="790"/>
        <v>0</v>
      </c>
      <c r="AE533" s="199">
        <f t="shared" si="6"/>
        <v>2</v>
      </c>
      <c r="AF533" s="201">
        <f t="shared" si="753"/>
        <v>0</v>
      </c>
      <c r="AG533" s="201">
        <f t="shared" si="8"/>
        <v>1</v>
      </c>
      <c r="AH533" s="202">
        <f t="shared" si="754"/>
        <v>0</v>
      </c>
      <c r="AI533" s="205"/>
      <c r="AJ533" s="173"/>
      <c r="AK533" s="173"/>
      <c r="AL533" s="173"/>
      <c r="AM533" s="173"/>
      <c r="AN533" s="173"/>
      <c r="AO533" s="173"/>
      <c r="AP533" s="173"/>
      <c r="AQ533" s="173"/>
      <c r="AR533" s="173"/>
      <c r="AS533" s="173"/>
      <c r="AT533" s="173"/>
      <c r="AU533" s="173"/>
      <c r="AV533" s="173"/>
    </row>
    <row r="534" spans="1:48" ht="14.25">
      <c r="A534" s="187"/>
      <c r="B534" s="459">
        <v>0</v>
      </c>
      <c r="C534" s="460" t="s">
        <v>1216</v>
      </c>
      <c r="D534" s="461" t="s">
        <v>63</v>
      </c>
      <c r="E534" s="461" t="s">
        <v>84</v>
      </c>
      <c r="F534" s="461" t="s">
        <v>115</v>
      </c>
      <c r="G534" s="461">
        <f>IF(Setup!$N$13&gt;=VLOOKUP(C534,Reference!$N$36:$O$117,2,0),2,0)</f>
        <v>2</v>
      </c>
      <c r="H534" s="461">
        <v>0</v>
      </c>
      <c r="I534" s="462">
        <v>1</v>
      </c>
      <c r="J534" s="463"/>
      <c r="K534" s="461" t="s">
        <v>182</v>
      </c>
      <c r="L534" s="461" t="s">
        <v>195</v>
      </c>
      <c r="M534" s="461">
        <v>1</v>
      </c>
      <c r="N534" s="461">
        <v>1</v>
      </c>
      <c r="O534" s="464"/>
      <c r="P534" s="289"/>
      <c r="Q534" s="461" t="s">
        <v>148</v>
      </c>
      <c r="R534" s="465"/>
      <c r="S534" s="289">
        <v>2</v>
      </c>
      <c r="T534" s="289">
        <v>8</v>
      </c>
      <c r="U534" s="289">
        <v>10</v>
      </c>
      <c r="V534" s="289">
        <v>3</v>
      </c>
      <c r="W534" s="197">
        <f t="shared" si="749"/>
        <v>2</v>
      </c>
      <c r="X534" s="197">
        <f t="shared" si="1"/>
        <v>1</v>
      </c>
      <c r="Y534" s="197">
        <f t="shared" ref="Y534:Y558" si="791">(MIN(G534,2)+H534-W534)*50</f>
        <v>0</v>
      </c>
      <c r="Z534" s="197">
        <f t="shared" si="751"/>
        <v>2</v>
      </c>
      <c r="AA534" s="199" t="b">
        <f t="shared" si="3"/>
        <v>0</v>
      </c>
      <c r="AB534" s="199" t="b">
        <f t="shared" si="4"/>
        <v>0</v>
      </c>
      <c r="AC534" s="200">
        <f t="shared" ref="AC534:AD534" si="792">1-I534</f>
        <v>0</v>
      </c>
      <c r="AD534" s="200">
        <f t="shared" si="792"/>
        <v>1</v>
      </c>
      <c r="AE534" s="199">
        <f t="shared" si="6"/>
        <v>2</v>
      </c>
      <c r="AF534" s="201">
        <f t="shared" si="753"/>
        <v>0</v>
      </c>
      <c r="AG534" s="201">
        <f t="shared" si="8"/>
        <v>1</v>
      </c>
      <c r="AH534" s="202">
        <f t="shared" ref="AH534:AH547" si="793">(MIN(H534,2)+G534-W534)*5</f>
        <v>0</v>
      </c>
      <c r="AI534" s="466"/>
      <c r="AJ534" s="173"/>
      <c r="AK534" s="173"/>
      <c r="AL534" s="173"/>
      <c r="AM534" s="173"/>
      <c r="AN534" s="173"/>
      <c r="AO534" s="173"/>
      <c r="AP534" s="173"/>
      <c r="AQ534" s="173"/>
      <c r="AR534" s="173"/>
      <c r="AS534" s="173"/>
      <c r="AT534" s="173"/>
      <c r="AU534" s="173"/>
      <c r="AV534" s="173"/>
    </row>
    <row r="535" spans="1:48" ht="14.25">
      <c r="A535" s="187"/>
      <c r="B535" s="459">
        <v>1</v>
      </c>
      <c r="C535" s="460" t="s">
        <v>1217</v>
      </c>
      <c r="D535" s="461" t="s">
        <v>63</v>
      </c>
      <c r="E535" s="461" t="s">
        <v>84</v>
      </c>
      <c r="F535" s="461" t="s">
        <v>20</v>
      </c>
      <c r="G535" s="461">
        <f>IF(Setup!$N$13&gt;=VLOOKUP(C535,Reference!$N$36:$O$117,2,0),2,0)</f>
        <v>2</v>
      </c>
      <c r="H535" s="461">
        <v>0</v>
      </c>
      <c r="I535" s="462">
        <v>1</v>
      </c>
      <c r="J535" s="463"/>
      <c r="K535" s="461" t="s">
        <v>182</v>
      </c>
      <c r="L535" s="467"/>
      <c r="M535" s="461">
        <v>2</v>
      </c>
      <c r="N535" s="461">
        <v>1</v>
      </c>
      <c r="O535" s="467" t="s">
        <v>880</v>
      </c>
      <c r="P535" s="289"/>
      <c r="Q535" s="461" t="s">
        <v>148</v>
      </c>
      <c r="R535" s="465"/>
      <c r="S535" s="289">
        <v>2</v>
      </c>
      <c r="T535" s="289">
        <v>8</v>
      </c>
      <c r="U535" s="289">
        <v>6</v>
      </c>
      <c r="V535" s="289">
        <v>3</v>
      </c>
      <c r="W535" s="197">
        <f t="shared" si="749"/>
        <v>2</v>
      </c>
      <c r="X535" s="197">
        <f t="shared" si="1"/>
        <v>1</v>
      </c>
      <c r="Y535" s="197">
        <f t="shared" si="791"/>
        <v>0</v>
      </c>
      <c r="Z535" s="197">
        <f t="shared" si="751"/>
        <v>2</v>
      </c>
      <c r="AA535" s="199" t="b">
        <f t="shared" si="3"/>
        <v>0</v>
      </c>
      <c r="AB535" s="199" t="b">
        <f t="shared" si="4"/>
        <v>0</v>
      </c>
      <c r="AC535" s="200">
        <f t="shared" ref="AC535:AD535" si="794">1-I535</f>
        <v>0</v>
      </c>
      <c r="AD535" s="200">
        <f t="shared" si="794"/>
        <v>1</v>
      </c>
      <c r="AE535" s="199">
        <f t="shared" si="6"/>
        <v>2</v>
      </c>
      <c r="AF535" s="201">
        <f t="shared" si="753"/>
        <v>0</v>
      </c>
      <c r="AG535" s="201">
        <f t="shared" si="8"/>
        <v>1</v>
      </c>
      <c r="AH535" s="202">
        <f t="shared" si="793"/>
        <v>0</v>
      </c>
      <c r="AI535" s="466"/>
      <c r="AJ535" s="173"/>
      <c r="AK535" s="173"/>
      <c r="AL535" s="173"/>
      <c r="AM535" s="173"/>
      <c r="AN535" s="173"/>
      <c r="AO535" s="173"/>
      <c r="AP535" s="173"/>
      <c r="AQ535" s="173"/>
      <c r="AR535" s="173"/>
      <c r="AS535" s="173"/>
      <c r="AT535" s="173"/>
      <c r="AU535" s="173"/>
      <c r="AV535" s="173"/>
    </row>
    <row r="536" spans="1:48" ht="14.25">
      <c r="A536" s="279"/>
      <c r="B536" s="459">
        <v>1</v>
      </c>
      <c r="C536" s="460" t="s">
        <v>1218</v>
      </c>
      <c r="D536" s="461" t="s">
        <v>63</v>
      </c>
      <c r="E536" s="461" t="s">
        <v>84</v>
      </c>
      <c r="F536" s="461" t="s">
        <v>8</v>
      </c>
      <c r="G536" s="461">
        <f>IF(Setup!$N$13&gt;=VLOOKUP(C536,Reference!$N$36:$O$117,2,0),2,0)</f>
        <v>2</v>
      </c>
      <c r="H536" s="461">
        <v>0</v>
      </c>
      <c r="I536" s="462">
        <v>1</v>
      </c>
      <c r="J536" s="463"/>
      <c r="K536" s="461" t="s">
        <v>146</v>
      </c>
      <c r="L536" s="467"/>
      <c r="M536" s="467"/>
      <c r="N536" s="467"/>
      <c r="O536" s="467" t="s">
        <v>1219</v>
      </c>
      <c r="P536" s="289"/>
      <c r="Q536" s="461" t="s">
        <v>148</v>
      </c>
      <c r="R536" s="465"/>
      <c r="S536" s="289">
        <v>2</v>
      </c>
      <c r="T536" s="289">
        <v>8</v>
      </c>
      <c r="U536" s="289">
        <v>1</v>
      </c>
      <c r="V536" s="289">
        <v>2</v>
      </c>
      <c r="W536" s="197">
        <f t="shared" si="749"/>
        <v>2</v>
      </c>
      <c r="X536" s="197">
        <f t="shared" si="1"/>
        <v>1</v>
      </c>
      <c r="Y536" s="197">
        <f t="shared" si="791"/>
        <v>0</v>
      </c>
      <c r="Z536" s="197">
        <f t="shared" si="751"/>
        <v>2</v>
      </c>
      <c r="AA536" s="199" t="b">
        <f t="shared" si="3"/>
        <v>0</v>
      </c>
      <c r="AB536" s="199" t="b">
        <f t="shared" si="4"/>
        <v>0</v>
      </c>
      <c r="AC536" s="200">
        <f t="shared" ref="AC536:AD536" si="795">1-I536</f>
        <v>0</v>
      </c>
      <c r="AD536" s="200">
        <f t="shared" si="795"/>
        <v>1</v>
      </c>
      <c r="AE536" s="199">
        <f t="shared" si="6"/>
        <v>2</v>
      </c>
      <c r="AF536" s="201">
        <f t="shared" si="753"/>
        <v>0</v>
      </c>
      <c r="AG536" s="201">
        <f t="shared" si="8"/>
        <v>1</v>
      </c>
      <c r="AH536" s="202">
        <f t="shared" si="793"/>
        <v>0</v>
      </c>
      <c r="AI536" s="466"/>
      <c r="AJ536" s="173"/>
      <c r="AK536" s="173"/>
      <c r="AL536" s="173"/>
      <c r="AM536" s="173"/>
      <c r="AN536" s="173"/>
      <c r="AO536" s="173"/>
      <c r="AP536" s="173"/>
      <c r="AQ536" s="173"/>
      <c r="AR536" s="173"/>
      <c r="AS536" s="173"/>
      <c r="AT536" s="173"/>
      <c r="AU536" s="173"/>
      <c r="AV536" s="173"/>
    </row>
    <row r="537" spans="1:48" ht="14.25">
      <c r="A537" s="187"/>
      <c r="B537" s="459">
        <v>1</v>
      </c>
      <c r="C537" s="460" t="s">
        <v>1220</v>
      </c>
      <c r="D537" s="461" t="s">
        <v>63</v>
      </c>
      <c r="E537" s="461" t="s">
        <v>84</v>
      </c>
      <c r="F537" s="461" t="s">
        <v>16</v>
      </c>
      <c r="G537" s="461">
        <f>IF(Setup!$N$13&gt;=VLOOKUP(C537,Reference!$N$36:$O$117,2,0),2,0)</f>
        <v>2</v>
      </c>
      <c r="H537" s="461">
        <v>0</v>
      </c>
      <c r="I537" s="462">
        <v>1</v>
      </c>
      <c r="J537" s="463"/>
      <c r="K537" s="461" t="s">
        <v>146</v>
      </c>
      <c r="L537" s="467"/>
      <c r="M537" s="467"/>
      <c r="N537" s="467"/>
      <c r="O537" s="467" t="s">
        <v>1221</v>
      </c>
      <c r="P537" s="289"/>
      <c r="Q537" s="461" t="s">
        <v>148</v>
      </c>
      <c r="R537" s="465"/>
      <c r="S537" s="289">
        <v>2</v>
      </c>
      <c r="T537" s="289">
        <v>8</v>
      </c>
      <c r="U537" s="289">
        <v>4</v>
      </c>
      <c r="V537" s="289">
        <v>2</v>
      </c>
      <c r="W537" s="197">
        <f t="shared" si="749"/>
        <v>2</v>
      </c>
      <c r="X537" s="197">
        <f t="shared" si="1"/>
        <v>1</v>
      </c>
      <c r="Y537" s="197">
        <f t="shared" si="791"/>
        <v>0</v>
      </c>
      <c r="Z537" s="197">
        <f t="shared" si="751"/>
        <v>2</v>
      </c>
      <c r="AA537" s="199" t="b">
        <f t="shared" si="3"/>
        <v>0</v>
      </c>
      <c r="AB537" s="199" t="b">
        <f t="shared" si="4"/>
        <v>0</v>
      </c>
      <c r="AC537" s="200">
        <f t="shared" ref="AC537:AD537" si="796">1-I537</f>
        <v>0</v>
      </c>
      <c r="AD537" s="200">
        <f t="shared" si="796"/>
        <v>1</v>
      </c>
      <c r="AE537" s="199">
        <f t="shared" si="6"/>
        <v>2</v>
      </c>
      <c r="AF537" s="201">
        <f t="shared" si="753"/>
        <v>0</v>
      </c>
      <c r="AG537" s="201">
        <f t="shared" si="8"/>
        <v>1</v>
      </c>
      <c r="AH537" s="202">
        <f t="shared" si="793"/>
        <v>0</v>
      </c>
      <c r="AI537" s="466"/>
      <c r="AJ537" s="173"/>
      <c r="AK537" s="173"/>
      <c r="AL537" s="173"/>
      <c r="AM537" s="173"/>
      <c r="AN537" s="173"/>
      <c r="AO537" s="173"/>
      <c r="AP537" s="173"/>
      <c r="AQ537" s="173"/>
      <c r="AR537" s="173"/>
      <c r="AS537" s="173"/>
      <c r="AT537" s="173"/>
      <c r="AU537" s="173"/>
      <c r="AV537" s="173"/>
    </row>
    <row r="538" spans="1:48" ht="14.25">
      <c r="A538" s="187"/>
      <c r="B538" s="459">
        <v>1</v>
      </c>
      <c r="C538" s="460" t="s">
        <v>1222</v>
      </c>
      <c r="D538" s="461" t="s">
        <v>63</v>
      </c>
      <c r="E538" s="461" t="s">
        <v>84</v>
      </c>
      <c r="F538" s="461" t="s">
        <v>21</v>
      </c>
      <c r="G538" s="461">
        <f>IF(Setup!$N$13&gt;=VLOOKUP(C538,Reference!$N$36:$O$117,2,0),2,0)</f>
        <v>2</v>
      </c>
      <c r="H538" s="461">
        <v>0</v>
      </c>
      <c r="I538" s="462">
        <v>1</v>
      </c>
      <c r="J538" s="463"/>
      <c r="K538" s="461" t="s">
        <v>182</v>
      </c>
      <c r="L538" s="467"/>
      <c r="M538" s="461">
        <v>1</v>
      </c>
      <c r="N538" s="461">
        <v>3</v>
      </c>
      <c r="O538" s="467" t="s">
        <v>1223</v>
      </c>
      <c r="P538" s="289"/>
      <c r="Q538" s="461" t="s">
        <v>148</v>
      </c>
      <c r="R538" s="465"/>
      <c r="S538" s="289">
        <v>2</v>
      </c>
      <c r="T538" s="289">
        <v>8</v>
      </c>
      <c r="U538" s="289">
        <v>7</v>
      </c>
      <c r="V538" s="289">
        <v>3</v>
      </c>
      <c r="W538" s="197">
        <f t="shared" si="749"/>
        <v>2</v>
      </c>
      <c r="X538" s="197">
        <f t="shared" si="1"/>
        <v>1</v>
      </c>
      <c r="Y538" s="197">
        <f t="shared" si="791"/>
        <v>0</v>
      </c>
      <c r="Z538" s="197">
        <f t="shared" si="751"/>
        <v>2</v>
      </c>
      <c r="AA538" s="199" t="b">
        <f t="shared" si="3"/>
        <v>0</v>
      </c>
      <c r="AB538" s="199" t="b">
        <f t="shared" si="4"/>
        <v>0</v>
      </c>
      <c r="AC538" s="200">
        <f t="shared" ref="AC538:AD538" si="797">1-I538</f>
        <v>0</v>
      </c>
      <c r="AD538" s="200">
        <f t="shared" si="797"/>
        <v>1</v>
      </c>
      <c r="AE538" s="199">
        <f t="shared" si="6"/>
        <v>2</v>
      </c>
      <c r="AF538" s="201">
        <f t="shared" si="753"/>
        <v>0</v>
      </c>
      <c r="AG538" s="201">
        <f t="shared" si="8"/>
        <v>1</v>
      </c>
      <c r="AH538" s="202">
        <f t="shared" si="793"/>
        <v>0</v>
      </c>
      <c r="AI538" s="466"/>
      <c r="AJ538" s="173"/>
      <c r="AK538" s="173"/>
      <c r="AL538" s="173"/>
      <c r="AM538" s="173"/>
      <c r="AN538" s="173"/>
      <c r="AO538" s="173"/>
      <c r="AP538" s="173"/>
      <c r="AQ538" s="173"/>
      <c r="AR538" s="173"/>
      <c r="AS538" s="173"/>
      <c r="AT538" s="173"/>
      <c r="AU538" s="173"/>
      <c r="AV538" s="173"/>
    </row>
    <row r="539" spans="1:48" ht="14.25">
      <c r="A539" s="209"/>
      <c r="B539" s="459">
        <v>2</v>
      </c>
      <c r="C539" s="460" t="s">
        <v>1224</v>
      </c>
      <c r="D539" s="461" t="s">
        <v>63</v>
      </c>
      <c r="E539" s="461" t="s">
        <v>84</v>
      </c>
      <c r="F539" s="461" t="s">
        <v>25</v>
      </c>
      <c r="G539" s="461">
        <f>IF(Setup!$N$13&gt;=VLOOKUP(C539,Reference!$N$36:$O$117,2,0),2,0)</f>
        <v>2</v>
      </c>
      <c r="H539" s="461">
        <v>0</v>
      </c>
      <c r="I539" s="462">
        <v>1</v>
      </c>
      <c r="J539" s="463"/>
      <c r="K539" s="461" t="s">
        <v>146</v>
      </c>
      <c r="L539" s="467"/>
      <c r="M539" s="467"/>
      <c r="N539" s="467"/>
      <c r="O539" s="467" t="s">
        <v>1225</v>
      </c>
      <c r="P539" s="289"/>
      <c r="Q539" s="461" t="s">
        <v>148</v>
      </c>
      <c r="R539" s="465"/>
      <c r="S539" s="289">
        <v>2</v>
      </c>
      <c r="T539" s="289">
        <v>8</v>
      </c>
      <c r="U539" s="289">
        <v>8</v>
      </c>
      <c r="V539" s="289">
        <v>2</v>
      </c>
      <c r="W539" s="197">
        <f t="shared" si="749"/>
        <v>2</v>
      </c>
      <c r="X539" s="197">
        <f t="shared" si="1"/>
        <v>1</v>
      </c>
      <c r="Y539" s="197">
        <f t="shared" si="791"/>
        <v>0</v>
      </c>
      <c r="Z539" s="197">
        <f t="shared" si="751"/>
        <v>2</v>
      </c>
      <c r="AA539" s="199" t="b">
        <f t="shared" si="3"/>
        <v>0</v>
      </c>
      <c r="AB539" s="199" t="b">
        <f t="shared" si="4"/>
        <v>0</v>
      </c>
      <c r="AC539" s="200">
        <f t="shared" ref="AC539:AD539" si="798">1-I539</f>
        <v>0</v>
      </c>
      <c r="AD539" s="200">
        <f t="shared" si="798"/>
        <v>1</v>
      </c>
      <c r="AE539" s="199">
        <f t="shared" si="6"/>
        <v>2</v>
      </c>
      <c r="AF539" s="201">
        <f t="shared" si="753"/>
        <v>0</v>
      </c>
      <c r="AG539" s="201">
        <f t="shared" si="8"/>
        <v>1</v>
      </c>
      <c r="AH539" s="202">
        <f t="shared" si="793"/>
        <v>0</v>
      </c>
      <c r="AI539" s="466"/>
      <c r="AJ539" s="173"/>
      <c r="AK539" s="173"/>
      <c r="AL539" s="173"/>
      <c r="AM539" s="173"/>
      <c r="AN539" s="173"/>
      <c r="AO539" s="173"/>
      <c r="AP539" s="173"/>
      <c r="AQ539" s="173"/>
      <c r="AR539" s="173"/>
      <c r="AS539" s="173"/>
      <c r="AT539" s="173"/>
      <c r="AU539" s="173"/>
      <c r="AV539" s="173"/>
    </row>
    <row r="540" spans="1:48" ht="14.25">
      <c r="A540" s="206"/>
      <c r="B540" s="459">
        <v>2</v>
      </c>
      <c r="C540" s="460" t="s">
        <v>1226</v>
      </c>
      <c r="D540" s="461" t="s">
        <v>63</v>
      </c>
      <c r="E540" s="461" t="s">
        <v>84</v>
      </c>
      <c r="F540" s="461" t="s">
        <v>25</v>
      </c>
      <c r="G540" s="461">
        <f>IF(Setup!$N$13&gt;=VLOOKUP(C540,Reference!$N$36:$O$117,2,0),2,0)</f>
        <v>2</v>
      </c>
      <c r="H540" s="461">
        <v>0</v>
      </c>
      <c r="I540" s="462">
        <v>1</v>
      </c>
      <c r="J540" s="463"/>
      <c r="K540" s="461" t="s">
        <v>182</v>
      </c>
      <c r="L540" s="467"/>
      <c r="M540" s="461">
        <v>2</v>
      </c>
      <c r="N540" s="461">
        <v>2</v>
      </c>
      <c r="O540" s="467" t="s">
        <v>1227</v>
      </c>
      <c r="P540" s="468" t="s">
        <v>184</v>
      </c>
      <c r="Q540" s="461" t="s">
        <v>148</v>
      </c>
      <c r="R540" s="465"/>
      <c r="S540" s="289">
        <v>2</v>
      </c>
      <c r="T540" s="289">
        <v>8</v>
      </c>
      <c r="U540" s="289">
        <v>8</v>
      </c>
      <c r="V540" s="289">
        <v>3</v>
      </c>
      <c r="W540" s="197">
        <f t="shared" si="749"/>
        <v>2</v>
      </c>
      <c r="X540" s="197">
        <f t="shared" si="1"/>
        <v>1</v>
      </c>
      <c r="Y540" s="197">
        <f t="shared" si="791"/>
        <v>0</v>
      </c>
      <c r="Z540" s="197">
        <f t="shared" si="751"/>
        <v>2</v>
      </c>
      <c r="AA540" s="199" t="b">
        <f t="shared" si="3"/>
        <v>0</v>
      </c>
      <c r="AB540" s="199" t="b">
        <f t="shared" si="4"/>
        <v>0</v>
      </c>
      <c r="AC540" s="200">
        <f t="shared" ref="AC540:AD540" si="799">1-I540</f>
        <v>0</v>
      </c>
      <c r="AD540" s="200">
        <f t="shared" si="799"/>
        <v>1</v>
      </c>
      <c r="AE540" s="199">
        <f t="shared" si="6"/>
        <v>2</v>
      </c>
      <c r="AF540" s="201">
        <f t="shared" si="753"/>
        <v>0</v>
      </c>
      <c r="AG540" s="201">
        <f t="shared" si="8"/>
        <v>1</v>
      </c>
      <c r="AH540" s="202">
        <f t="shared" si="793"/>
        <v>0</v>
      </c>
      <c r="AI540" s="466"/>
      <c r="AJ540" s="173"/>
      <c r="AK540" s="173"/>
      <c r="AL540" s="173"/>
      <c r="AM540" s="173"/>
      <c r="AN540" s="173"/>
      <c r="AO540" s="173"/>
      <c r="AP540" s="173"/>
      <c r="AQ540" s="173"/>
      <c r="AR540" s="173"/>
      <c r="AS540" s="173"/>
      <c r="AT540" s="173"/>
      <c r="AU540" s="173"/>
      <c r="AV540" s="173"/>
    </row>
    <row r="541" spans="1:48" ht="14.25">
      <c r="A541" s="206"/>
      <c r="B541" s="459">
        <v>2</v>
      </c>
      <c r="C541" s="469" t="s">
        <v>1228</v>
      </c>
      <c r="D541" s="461" t="s">
        <v>63</v>
      </c>
      <c r="E541" s="461" t="s">
        <v>84</v>
      </c>
      <c r="F541" s="461" t="s">
        <v>11</v>
      </c>
      <c r="G541" s="461">
        <f>IF(Setup!$N$13&gt;=VLOOKUP(C541,Reference!$N$36:$O$117,2,0),2,0)</f>
        <v>2</v>
      </c>
      <c r="H541" s="461">
        <v>0</v>
      </c>
      <c r="I541" s="462">
        <v>1</v>
      </c>
      <c r="J541" s="463"/>
      <c r="K541" s="461" t="s">
        <v>146</v>
      </c>
      <c r="L541" s="467"/>
      <c r="M541" s="467"/>
      <c r="N541" s="467"/>
      <c r="O541" s="467" t="s">
        <v>1229</v>
      </c>
      <c r="P541" s="289"/>
      <c r="Q541" s="461" t="s">
        <v>148</v>
      </c>
      <c r="R541" s="465"/>
      <c r="S541" s="289">
        <v>2</v>
      </c>
      <c r="T541" s="289">
        <v>8</v>
      </c>
      <c r="U541" s="289">
        <v>2</v>
      </c>
      <c r="V541" s="289">
        <v>2</v>
      </c>
      <c r="W541" s="197">
        <f t="shared" si="749"/>
        <v>2</v>
      </c>
      <c r="X541" s="197">
        <f t="shared" si="1"/>
        <v>1</v>
      </c>
      <c r="Y541" s="197">
        <f t="shared" si="791"/>
        <v>0</v>
      </c>
      <c r="Z541" s="197">
        <f t="shared" si="751"/>
        <v>2</v>
      </c>
      <c r="AA541" s="199" t="b">
        <f t="shared" si="3"/>
        <v>0</v>
      </c>
      <c r="AB541" s="199" t="b">
        <f t="shared" si="4"/>
        <v>0</v>
      </c>
      <c r="AC541" s="200">
        <f t="shared" ref="AC541:AD541" si="800">1-I541</f>
        <v>0</v>
      </c>
      <c r="AD541" s="200">
        <f t="shared" si="800"/>
        <v>1</v>
      </c>
      <c r="AE541" s="199">
        <f t="shared" si="6"/>
        <v>2</v>
      </c>
      <c r="AF541" s="201">
        <f t="shared" si="753"/>
        <v>0</v>
      </c>
      <c r="AG541" s="201">
        <f t="shared" si="8"/>
        <v>1</v>
      </c>
      <c r="AH541" s="202">
        <f t="shared" si="793"/>
        <v>0</v>
      </c>
      <c r="AI541" s="466"/>
      <c r="AJ541" s="173"/>
      <c r="AK541" s="173"/>
      <c r="AL541" s="173"/>
      <c r="AM541" s="173"/>
      <c r="AN541" s="173"/>
      <c r="AO541" s="173"/>
      <c r="AP541" s="173"/>
      <c r="AQ541" s="173"/>
      <c r="AR541" s="173"/>
      <c r="AS541" s="173"/>
      <c r="AT541" s="173"/>
      <c r="AU541" s="173"/>
      <c r="AV541" s="173"/>
    </row>
    <row r="542" spans="1:48" ht="14.25">
      <c r="A542" s="187"/>
      <c r="B542" s="459">
        <v>2</v>
      </c>
      <c r="C542" s="460" t="s">
        <v>1230</v>
      </c>
      <c r="D542" s="461" t="s">
        <v>63</v>
      </c>
      <c r="E542" s="461" t="s">
        <v>84</v>
      </c>
      <c r="F542" s="461" t="s">
        <v>115</v>
      </c>
      <c r="G542" s="461">
        <f>IF(Setup!$N$13&gt;=VLOOKUP(C542,Reference!$N$36:$O$117,2,0),2,0)</f>
        <v>2</v>
      </c>
      <c r="H542" s="461">
        <v>0</v>
      </c>
      <c r="I542" s="462">
        <v>1</v>
      </c>
      <c r="J542" s="463"/>
      <c r="K542" s="461" t="s">
        <v>182</v>
      </c>
      <c r="L542" s="461" t="s">
        <v>230</v>
      </c>
      <c r="M542" s="461">
        <v>3</v>
      </c>
      <c r="N542" s="461">
        <v>2</v>
      </c>
      <c r="O542" s="467" t="s">
        <v>1231</v>
      </c>
      <c r="P542" s="468" t="s">
        <v>454</v>
      </c>
      <c r="Q542" s="461" t="s">
        <v>148</v>
      </c>
      <c r="R542" s="465"/>
      <c r="S542" s="289">
        <v>2</v>
      </c>
      <c r="T542" s="289">
        <v>8</v>
      </c>
      <c r="U542" s="289">
        <v>10</v>
      </c>
      <c r="V542" s="289">
        <v>3</v>
      </c>
      <c r="W542" s="197">
        <f t="shared" si="749"/>
        <v>2</v>
      </c>
      <c r="X542" s="197">
        <f t="shared" si="1"/>
        <v>1</v>
      </c>
      <c r="Y542" s="197">
        <f t="shared" si="791"/>
        <v>0</v>
      </c>
      <c r="Z542" s="197">
        <f t="shared" si="751"/>
        <v>2</v>
      </c>
      <c r="AA542" s="199" t="b">
        <f t="shared" si="3"/>
        <v>0</v>
      </c>
      <c r="AB542" s="199" t="b">
        <f t="shared" si="4"/>
        <v>0</v>
      </c>
      <c r="AC542" s="200">
        <f t="shared" ref="AC542:AD542" si="801">1-I542</f>
        <v>0</v>
      </c>
      <c r="AD542" s="200">
        <f t="shared" si="801"/>
        <v>1</v>
      </c>
      <c r="AE542" s="199">
        <f t="shared" si="6"/>
        <v>2</v>
      </c>
      <c r="AF542" s="201">
        <f t="shared" si="753"/>
        <v>0</v>
      </c>
      <c r="AG542" s="201">
        <f t="shared" si="8"/>
        <v>1</v>
      </c>
      <c r="AH542" s="202">
        <f t="shared" si="793"/>
        <v>0</v>
      </c>
      <c r="AI542" s="466"/>
      <c r="AJ542" s="173"/>
      <c r="AK542" s="173"/>
      <c r="AL542" s="173"/>
      <c r="AM542" s="173"/>
      <c r="AN542" s="173"/>
      <c r="AO542" s="173"/>
      <c r="AP542" s="173"/>
      <c r="AQ542" s="173"/>
      <c r="AR542" s="173"/>
      <c r="AS542" s="173"/>
      <c r="AT542" s="173"/>
      <c r="AU542" s="173"/>
      <c r="AV542" s="173"/>
    </row>
    <row r="543" spans="1:48" ht="14.25">
      <c r="A543" s="187"/>
      <c r="B543" s="459">
        <v>2</v>
      </c>
      <c r="C543" s="460" t="s">
        <v>1232</v>
      </c>
      <c r="D543" s="461" t="s">
        <v>63</v>
      </c>
      <c r="E543" s="461" t="s">
        <v>84</v>
      </c>
      <c r="F543" s="461" t="s">
        <v>115</v>
      </c>
      <c r="G543" s="461">
        <f>IF(Setup!$N$13&gt;=VLOOKUP(C543,Reference!$N$36:$O$117,2,0),2,0)</f>
        <v>2</v>
      </c>
      <c r="H543" s="461">
        <v>0</v>
      </c>
      <c r="I543" s="462">
        <v>1</v>
      </c>
      <c r="J543" s="463"/>
      <c r="K543" s="461" t="s">
        <v>182</v>
      </c>
      <c r="L543" s="461" t="s">
        <v>230</v>
      </c>
      <c r="M543" s="461">
        <v>1</v>
      </c>
      <c r="N543" s="461">
        <v>1</v>
      </c>
      <c r="O543" s="467" t="s">
        <v>1233</v>
      </c>
      <c r="P543" s="468" t="s">
        <v>184</v>
      </c>
      <c r="Q543" s="461" t="s">
        <v>148</v>
      </c>
      <c r="R543" s="465"/>
      <c r="S543" s="289">
        <v>2</v>
      </c>
      <c r="T543" s="289">
        <v>8</v>
      </c>
      <c r="U543" s="289">
        <v>10</v>
      </c>
      <c r="V543" s="289">
        <v>3</v>
      </c>
      <c r="W543" s="197">
        <f t="shared" si="749"/>
        <v>2</v>
      </c>
      <c r="X543" s="197">
        <f t="shared" si="1"/>
        <v>1</v>
      </c>
      <c r="Y543" s="197">
        <f t="shared" si="791"/>
        <v>0</v>
      </c>
      <c r="Z543" s="197">
        <f t="shared" si="751"/>
        <v>2</v>
      </c>
      <c r="AA543" s="199" t="b">
        <f t="shared" si="3"/>
        <v>0</v>
      </c>
      <c r="AB543" s="199" t="b">
        <f t="shared" si="4"/>
        <v>0</v>
      </c>
      <c r="AC543" s="200">
        <f t="shared" ref="AC543:AD543" si="802">1-I543</f>
        <v>0</v>
      </c>
      <c r="AD543" s="200">
        <f t="shared" si="802"/>
        <v>1</v>
      </c>
      <c r="AE543" s="199">
        <f t="shared" si="6"/>
        <v>2</v>
      </c>
      <c r="AF543" s="201">
        <f t="shared" si="753"/>
        <v>0</v>
      </c>
      <c r="AG543" s="201">
        <f t="shared" si="8"/>
        <v>1</v>
      </c>
      <c r="AH543" s="202">
        <f t="shared" si="793"/>
        <v>0</v>
      </c>
      <c r="AI543" s="466"/>
      <c r="AJ543" s="173"/>
      <c r="AK543" s="173"/>
      <c r="AL543" s="173"/>
      <c r="AM543" s="173"/>
      <c r="AN543" s="173"/>
      <c r="AO543" s="173"/>
      <c r="AP543" s="173"/>
      <c r="AQ543" s="173"/>
      <c r="AR543" s="173"/>
      <c r="AS543" s="173"/>
      <c r="AT543" s="173"/>
      <c r="AU543" s="173"/>
      <c r="AV543" s="173"/>
    </row>
    <row r="544" spans="1:48" ht="14.25">
      <c r="A544" s="187"/>
      <c r="B544" s="459">
        <v>2</v>
      </c>
      <c r="C544" s="460" t="s">
        <v>1234</v>
      </c>
      <c r="D544" s="461" t="s">
        <v>63</v>
      </c>
      <c r="E544" s="461" t="s">
        <v>84</v>
      </c>
      <c r="F544" s="461" t="s">
        <v>18</v>
      </c>
      <c r="G544" s="461">
        <f>IF(Setup!$N$13&gt;=VLOOKUP(C544,Reference!$N$36:$O$117,2,0),2,0)</f>
        <v>2</v>
      </c>
      <c r="H544" s="461">
        <v>0</v>
      </c>
      <c r="I544" s="462">
        <v>1</v>
      </c>
      <c r="J544" s="463"/>
      <c r="K544" s="461" t="s">
        <v>182</v>
      </c>
      <c r="L544" s="467"/>
      <c r="M544" s="461">
        <v>1</v>
      </c>
      <c r="N544" s="461">
        <v>2</v>
      </c>
      <c r="O544" s="467" t="s">
        <v>1235</v>
      </c>
      <c r="P544" s="468" t="s">
        <v>184</v>
      </c>
      <c r="Q544" s="461" t="s">
        <v>148</v>
      </c>
      <c r="R544" s="465"/>
      <c r="S544" s="289">
        <v>2</v>
      </c>
      <c r="T544" s="289">
        <v>8</v>
      </c>
      <c r="U544" s="289">
        <v>5</v>
      </c>
      <c r="V544" s="289">
        <v>3</v>
      </c>
      <c r="W544" s="197">
        <f t="shared" si="749"/>
        <v>2</v>
      </c>
      <c r="X544" s="197">
        <f t="shared" si="1"/>
        <v>1</v>
      </c>
      <c r="Y544" s="197">
        <f t="shared" si="791"/>
        <v>0</v>
      </c>
      <c r="Z544" s="197">
        <f t="shared" si="751"/>
        <v>2</v>
      </c>
      <c r="AA544" s="199" t="b">
        <f t="shared" si="3"/>
        <v>0</v>
      </c>
      <c r="AB544" s="199" t="b">
        <f t="shared" si="4"/>
        <v>0</v>
      </c>
      <c r="AC544" s="200">
        <f t="shared" ref="AC544:AD544" si="803">1-I544</f>
        <v>0</v>
      </c>
      <c r="AD544" s="200">
        <f t="shared" si="803"/>
        <v>1</v>
      </c>
      <c r="AE544" s="199">
        <f t="shared" si="6"/>
        <v>2</v>
      </c>
      <c r="AF544" s="201">
        <f t="shared" si="753"/>
        <v>0</v>
      </c>
      <c r="AG544" s="201">
        <f t="shared" si="8"/>
        <v>1</v>
      </c>
      <c r="AH544" s="202">
        <f t="shared" si="793"/>
        <v>0</v>
      </c>
      <c r="AI544" s="466"/>
      <c r="AJ544" s="173"/>
      <c r="AK544" s="173"/>
      <c r="AL544" s="173"/>
      <c r="AM544" s="173"/>
      <c r="AN544" s="173"/>
      <c r="AO544" s="173"/>
      <c r="AP544" s="173"/>
      <c r="AQ544" s="173"/>
      <c r="AR544" s="173"/>
      <c r="AS544" s="173"/>
      <c r="AT544" s="173"/>
      <c r="AU544" s="173"/>
      <c r="AV544" s="173"/>
    </row>
    <row r="545" spans="1:48" ht="14.25">
      <c r="A545" s="209"/>
      <c r="B545" s="459">
        <v>3</v>
      </c>
      <c r="C545" s="460" t="s">
        <v>1236</v>
      </c>
      <c r="D545" s="461" t="s">
        <v>63</v>
      </c>
      <c r="E545" s="461" t="s">
        <v>84</v>
      </c>
      <c r="F545" s="461" t="s">
        <v>11</v>
      </c>
      <c r="G545" s="461">
        <f>IF(Setup!$N$13&gt;=VLOOKUP(C545,Reference!$N$36:$O$117,2,0),2,0)</f>
        <v>2</v>
      </c>
      <c r="H545" s="461">
        <v>0</v>
      </c>
      <c r="I545" s="462">
        <v>1</v>
      </c>
      <c r="J545" s="463"/>
      <c r="K545" s="461" t="s">
        <v>182</v>
      </c>
      <c r="L545" s="461" t="s">
        <v>230</v>
      </c>
      <c r="M545" s="461">
        <v>2</v>
      </c>
      <c r="N545" s="461">
        <v>4</v>
      </c>
      <c r="O545" s="467" t="s">
        <v>1237</v>
      </c>
      <c r="P545" s="468" t="s">
        <v>184</v>
      </c>
      <c r="Q545" s="461" t="s">
        <v>148</v>
      </c>
      <c r="R545" s="465"/>
      <c r="S545" s="289">
        <v>2</v>
      </c>
      <c r="T545" s="289">
        <v>8</v>
      </c>
      <c r="U545" s="289">
        <v>2</v>
      </c>
      <c r="V545" s="289">
        <v>3</v>
      </c>
      <c r="W545" s="197">
        <f t="shared" si="749"/>
        <v>2</v>
      </c>
      <c r="X545" s="197">
        <f t="shared" si="1"/>
        <v>1</v>
      </c>
      <c r="Y545" s="197">
        <f t="shared" si="791"/>
        <v>0</v>
      </c>
      <c r="Z545" s="197">
        <f t="shared" si="751"/>
        <v>2</v>
      </c>
      <c r="AA545" s="199" t="b">
        <f t="shared" si="3"/>
        <v>0</v>
      </c>
      <c r="AB545" s="199" t="b">
        <f t="shared" si="4"/>
        <v>0</v>
      </c>
      <c r="AC545" s="200">
        <f t="shared" ref="AC545:AD545" si="804">1-I545</f>
        <v>0</v>
      </c>
      <c r="AD545" s="200">
        <f t="shared" si="804"/>
        <v>1</v>
      </c>
      <c r="AE545" s="199">
        <f t="shared" si="6"/>
        <v>2</v>
      </c>
      <c r="AF545" s="201">
        <f t="shared" si="753"/>
        <v>0</v>
      </c>
      <c r="AG545" s="201">
        <f t="shared" si="8"/>
        <v>1</v>
      </c>
      <c r="AH545" s="202">
        <f t="shared" si="793"/>
        <v>0</v>
      </c>
      <c r="AI545" s="466"/>
      <c r="AJ545" s="173"/>
      <c r="AK545" s="173"/>
      <c r="AL545" s="173"/>
      <c r="AM545" s="173"/>
      <c r="AN545" s="173"/>
      <c r="AO545" s="173"/>
      <c r="AP545" s="173"/>
      <c r="AQ545" s="173"/>
      <c r="AR545" s="173"/>
      <c r="AS545" s="173"/>
      <c r="AT545" s="173"/>
      <c r="AU545" s="173"/>
      <c r="AV545" s="173"/>
    </row>
    <row r="546" spans="1:48" ht="14.25">
      <c r="A546" s="206"/>
      <c r="B546" s="459">
        <v>3</v>
      </c>
      <c r="C546" s="460" t="s">
        <v>1238</v>
      </c>
      <c r="D546" s="461" t="s">
        <v>63</v>
      </c>
      <c r="E546" s="461" t="s">
        <v>84</v>
      </c>
      <c r="F546" s="461" t="s">
        <v>26</v>
      </c>
      <c r="G546" s="461">
        <f>IF(Setup!$N$13&gt;=VLOOKUP(C546,Reference!$N$36:$O$117,2,0),2,0)</f>
        <v>2</v>
      </c>
      <c r="H546" s="461">
        <v>0</v>
      </c>
      <c r="I546" s="462">
        <v>1</v>
      </c>
      <c r="J546" s="463"/>
      <c r="K546" s="461" t="s">
        <v>182</v>
      </c>
      <c r="L546" s="461" t="s">
        <v>230</v>
      </c>
      <c r="M546" s="461">
        <v>3</v>
      </c>
      <c r="N546" s="461">
        <v>4</v>
      </c>
      <c r="O546" s="467" t="s">
        <v>1239</v>
      </c>
      <c r="P546" s="468" t="s">
        <v>193</v>
      </c>
      <c r="Q546" s="461" t="s">
        <v>148</v>
      </c>
      <c r="R546" s="465"/>
      <c r="S546" s="289">
        <v>2</v>
      </c>
      <c r="T546" s="289">
        <v>8</v>
      </c>
      <c r="U546" s="289">
        <v>9</v>
      </c>
      <c r="V546" s="289">
        <v>3</v>
      </c>
      <c r="W546" s="197">
        <f t="shared" si="749"/>
        <v>2</v>
      </c>
      <c r="X546" s="197">
        <f t="shared" si="1"/>
        <v>1</v>
      </c>
      <c r="Y546" s="197">
        <f t="shared" si="791"/>
        <v>0</v>
      </c>
      <c r="Z546" s="197">
        <f t="shared" si="751"/>
        <v>2</v>
      </c>
      <c r="AA546" s="199" t="b">
        <f t="shared" si="3"/>
        <v>0</v>
      </c>
      <c r="AB546" s="199" t="b">
        <f t="shared" si="4"/>
        <v>0</v>
      </c>
      <c r="AC546" s="200">
        <f t="shared" ref="AC546:AD546" si="805">1-I546</f>
        <v>0</v>
      </c>
      <c r="AD546" s="200">
        <f t="shared" si="805"/>
        <v>1</v>
      </c>
      <c r="AE546" s="199">
        <f t="shared" si="6"/>
        <v>2</v>
      </c>
      <c r="AF546" s="201">
        <f t="shared" si="753"/>
        <v>0</v>
      </c>
      <c r="AG546" s="201">
        <f t="shared" si="8"/>
        <v>1</v>
      </c>
      <c r="AH546" s="202">
        <f t="shared" si="793"/>
        <v>0</v>
      </c>
      <c r="AI546" s="466"/>
      <c r="AJ546" s="173"/>
      <c r="AK546" s="173"/>
      <c r="AL546" s="173"/>
      <c r="AM546" s="173"/>
      <c r="AN546" s="173"/>
      <c r="AO546" s="173"/>
      <c r="AP546" s="173"/>
      <c r="AQ546" s="173"/>
      <c r="AR546" s="173"/>
      <c r="AS546" s="173"/>
      <c r="AT546" s="173"/>
      <c r="AU546" s="173"/>
      <c r="AV546" s="173"/>
    </row>
    <row r="547" spans="1:48" ht="14.25">
      <c r="A547" s="187"/>
      <c r="B547" s="459">
        <v>3</v>
      </c>
      <c r="C547" s="460" t="s">
        <v>1240</v>
      </c>
      <c r="D547" s="461" t="s">
        <v>63</v>
      </c>
      <c r="E547" s="461" t="s">
        <v>84</v>
      </c>
      <c r="F547" s="461" t="s">
        <v>13</v>
      </c>
      <c r="G547" s="461">
        <f>IF(Setup!$N$13&gt;=VLOOKUP(C547,Reference!$N$36:$O$117,2,0),2,0)</f>
        <v>2</v>
      </c>
      <c r="H547" s="461">
        <v>0</v>
      </c>
      <c r="I547" s="462">
        <v>1</v>
      </c>
      <c r="J547" s="463"/>
      <c r="K547" s="461" t="s">
        <v>146</v>
      </c>
      <c r="L547" s="467"/>
      <c r="M547" s="467"/>
      <c r="N547" s="467"/>
      <c r="O547" s="467" t="s">
        <v>1241</v>
      </c>
      <c r="P547" s="289"/>
      <c r="Q547" s="461" t="s">
        <v>148</v>
      </c>
      <c r="R547" s="465"/>
      <c r="S547" s="289">
        <v>2</v>
      </c>
      <c r="T547" s="289">
        <v>8</v>
      </c>
      <c r="U547" s="289">
        <v>3</v>
      </c>
      <c r="V547" s="289">
        <v>2</v>
      </c>
      <c r="W547" s="197">
        <f t="shared" si="749"/>
        <v>2</v>
      </c>
      <c r="X547" s="197">
        <f t="shared" si="1"/>
        <v>1</v>
      </c>
      <c r="Y547" s="197">
        <f t="shared" si="791"/>
        <v>0</v>
      </c>
      <c r="Z547" s="197">
        <f t="shared" si="751"/>
        <v>2</v>
      </c>
      <c r="AA547" s="199" t="b">
        <f t="shared" si="3"/>
        <v>0</v>
      </c>
      <c r="AB547" s="199" t="b">
        <f t="shared" si="4"/>
        <v>0</v>
      </c>
      <c r="AC547" s="200">
        <f t="shared" ref="AC547:AD547" si="806">1-I547</f>
        <v>0</v>
      </c>
      <c r="AD547" s="200">
        <f t="shared" si="806"/>
        <v>1</v>
      </c>
      <c r="AE547" s="199">
        <f t="shared" si="6"/>
        <v>2</v>
      </c>
      <c r="AF547" s="201">
        <f t="shared" si="753"/>
        <v>0</v>
      </c>
      <c r="AG547" s="201">
        <f t="shared" si="8"/>
        <v>1</v>
      </c>
      <c r="AH547" s="202">
        <f t="shared" si="793"/>
        <v>0</v>
      </c>
      <c r="AI547" s="466"/>
      <c r="AJ547" s="173"/>
      <c r="AK547" s="173"/>
      <c r="AL547" s="173"/>
      <c r="AM547" s="173"/>
      <c r="AN547" s="173"/>
      <c r="AO547" s="173"/>
      <c r="AP547" s="173"/>
      <c r="AQ547" s="173"/>
      <c r="AR547" s="173"/>
      <c r="AS547" s="173"/>
      <c r="AT547" s="173"/>
      <c r="AU547" s="173"/>
      <c r="AV547" s="173"/>
    </row>
    <row r="548" spans="1:48" ht="14.25">
      <c r="A548" s="209"/>
      <c r="B548" s="459">
        <v>3</v>
      </c>
      <c r="C548" s="460" t="s">
        <v>1242</v>
      </c>
      <c r="D548" s="461" t="s">
        <v>63</v>
      </c>
      <c r="E548" s="461" t="s">
        <v>84</v>
      </c>
      <c r="F548" s="461" t="s">
        <v>8</v>
      </c>
      <c r="G548" s="461">
        <f>IF(Setup!$N$13&gt;=VLOOKUP(C548,Reference!$N$36:$O$117,2,0),2,0)</f>
        <v>2</v>
      </c>
      <c r="H548" s="461">
        <v>0</v>
      </c>
      <c r="I548" s="462">
        <v>1</v>
      </c>
      <c r="J548" s="463"/>
      <c r="K548" s="461" t="s">
        <v>182</v>
      </c>
      <c r="L548" s="461" t="s">
        <v>230</v>
      </c>
      <c r="M548" s="461">
        <v>3</v>
      </c>
      <c r="N548" s="461">
        <v>2</v>
      </c>
      <c r="O548" s="467" t="s">
        <v>1243</v>
      </c>
      <c r="P548" s="468" t="s">
        <v>454</v>
      </c>
      <c r="Q548" s="461" t="s">
        <v>148</v>
      </c>
      <c r="R548" s="470"/>
      <c r="S548" s="289">
        <v>2</v>
      </c>
      <c r="T548" s="289">
        <v>8</v>
      </c>
      <c r="U548" s="289">
        <v>1</v>
      </c>
      <c r="V548" s="289">
        <v>3</v>
      </c>
      <c r="W548" s="197">
        <f t="shared" si="749"/>
        <v>2</v>
      </c>
      <c r="X548" s="197">
        <f t="shared" si="1"/>
        <v>1</v>
      </c>
      <c r="Y548" s="197">
        <f t="shared" si="791"/>
        <v>0</v>
      </c>
      <c r="Z548" s="197">
        <f t="shared" si="751"/>
        <v>2</v>
      </c>
      <c r="AA548" s="199" t="b">
        <f t="shared" si="3"/>
        <v>0</v>
      </c>
      <c r="AB548" s="199" t="b">
        <f t="shared" si="4"/>
        <v>0</v>
      </c>
      <c r="AC548" s="200">
        <f t="shared" ref="AC548:AD548" si="807">1-I548</f>
        <v>0</v>
      </c>
      <c r="AD548" s="200">
        <f t="shared" si="807"/>
        <v>1</v>
      </c>
      <c r="AE548" s="199">
        <f t="shared" si="6"/>
        <v>2</v>
      </c>
      <c r="AF548" s="201">
        <f t="shared" si="753"/>
        <v>0</v>
      </c>
      <c r="AG548" s="201">
        <f t="shared" si="8"/>
        <v>1</v>
      </c>
      <c r="AH548" s="202">
        <f>(MIN(H548,2)+G548-W548)*20</f>
        <v>0</v>
      </c>
      <c r="AI548" s="466"/>
      <c r="AJ548" s="173"/>
      <c r="AK548" s="173"/>
      <c r="AL548" s="173"/>
      <c r="AM548" s="173"/>
      <c r="AN548" s="173"/>
      <c r="AO548" s="173"/>
      <c r="AP548" s="173"/>
      <c r="AQ548" s="173"/>
      <c r="AR548" s="173"/>
      <c r="AS548" s="173"/>
      <c r="AT548" s="173"/>
      <c r="AU548" s="173"/>
      <c r="AV548" s="173"/>
    </row>
    <row r="549" spans="1:48" ht="14.25">
      <c r="A549" s="240"/>
      <c r="B549" s="459">
        <v>4</v>
      </c>
      <c r="C549" s="460" t="s">
        <v>1244</v>
      </c>
      <c r="D549" s="461" t="s">
        <v>63</v>
      </c>
      <c r="E549" s="461" t="s">
        <v>84</v>
      </c>
      <c r="F549" s="461" t="s">
        <v>115</v>
      </c>
      <c r="G549" s="461">
        <f>IF(Setup!$N$13&gt;=VLOOKUP(C549,Reference!$N$36:$O$117,2,0),2,0)</f>
        <v>2</v>
      </c>
      <c r="H549" s="461">
        <v>0</v>
      </c>
      <c r="I549" s="462">
        <v>1</v>
      </c>
      <c r="J549" s="463"/>
      <c r="K549" s="461" t="s">
        <v>182</v>
      </c>
      <c r="L549" s="461" t="s">
        <v>602</v>
      </c>
      <c r="M549" s="461">
        <v>3</v>
      </c>
      <c r="N549" s="461">
        <v>4</v>
      </c>
      <c r="O549" s="467" t="s">
        <v>1245</v>
      </c>
      <c r="P549" s="468" t="s">
        <v>184</v>
      </c>
      <c r="Q549" s="461" t="s">
        <v>148</v>
      </c>
      <c r="R549" s="465"/>
      <c r="S549" s="289">
        <v>2</v>
      </c>
      <c r="T549" s="289">
        <v>8</v>
      </c>
      <c r="U549" s="289">
        <v>10</v>
      </c>
      <c r="V549" s="289">
        <v>3</v>
      </c>
      <c r="W549" s="197">
        <f t="shared" si="749"/>
        <v>2</v>
      </c>
      <c r="X549" s="197">
        <f t="shared" si="1"/>
        <v>1</v>
      </c>
      <c r="Y549" s="197">
        <f t="shared" si="791"/>
        <v>0</v>
      </c>
      <c r="Z549" s="197">
        <f t="shared" si="751"/>
        <v>2</v>
      </c>
      <c r="AA549" s="199" t="b">
        <f t="shared" si="3"/>
        <v>0</v>
      </c>
      <c r="AB549" s="199" t="b">
        <f t="shared" si="4"/>
        <v>0</v>
      </c>
      <c r="AC549" s="200">
        <f t="shared" ref="AC549:AD549" si="808">1-I549</f>
        <v>0</v>
      </c>
      <c r="AD549" s="200">
        <f t="shared" si="808"/>
        <v>1</v>
      </c>
      <c r="AE549" s="199">
        <f t="shared" si="6"/>
        <v>2</v>
      </c>
      <c r="AF549" s="201">
        <f t="shared" si="753"/>
        <v>0</v>
      </c>
      <c r="AG549" s="201">
        <f t="shared" si="8"/>
        <v>1</v>
      </c>
      <c r="AH549" s="202">
        <f t="shared" ref="AH549:AH558" si="809">(MIN(H549,2)+G549-W549)*5</f>
        <v>0</v>
      </c>
      <c r="AI549" s="466"/>
      <c r="AJ549" s="173"/>
      <c r="AK549" s="173"/>
      <c r="AL549" s="173"/>
      <c r="AM549" s="173"/>
      <c r="AN549" s="173"/>
      <c r="AO549" s="173"/>
      <c r="AP549" s="173"/>
      <c r="AQ549" s="173"/>
      <c r="AR549" s="173"/>
      <c r="AS549" s="173"/>
      <c r="AT549" s="173"/>
      <c r="AU549" s="173"/>
      <c r="AV549" s="173"/>
    </row>
    <row r="550" spans="1:48" ht="14.25">
      <c r="A550" s="209"/>
      <c r="B550" s="459">
        <v>4</v>
      </c>
      <c r="C550" s="460" t="s">
        <v>1246</v>
      </c>
      <c r="D550" s="461" t="s">
        <v>63</v>
      </c>
      <c r="E550" s="461" t="s">
        <v>84</v>
      </c>
      <c r="F550" s="461" t="s">
        <v>16</v>
      </c>
      <c r="G550" s="461">
        <f>IF(Setup!$N$13&gt;=VLOOKUP(C550,Reference!$N$36:$O$117,2,0),2,0)</f>
        <v>2</v>
      </c>
      <c r="H550" s="461">
        <v>0</v>
      </c>
      <c r="I550" s="462">
        <v>1</v>
      </c>
      <c r="J550" s="463"/>
      <c r="K550" s="461" t="s">
        <v>182</v>
      </c>
      <c r="L550" s="467"/>
      <c r="M550" s="461">
        <v>3</v>
      </c>
      <c r="N550" s="461">
        <v>4</v>
      </c>
      <c r="O550" s="467" t="s">
        <v>1247</v>
      </c>
      <c r="P550" s="468" t="s">
        <v>184</v>
      </c>
      <c r="Q550" s="461" t="s">
        <v>148</v>
      </c>
      <c r="R550" s="465"/>
      <c r="S550" s="289">
        <v>2</v>
      </c>
      <c r="T550" s="289">
        <v>8</v>
      </c>
      <c r="U550" s="289">
        <v>4</v>
      </c>
      <c r="V550" s="289">
        <v>3</v>
      </c>
      <c r="W550" s="197">
        <f t="shared" si="749"/>
        <v>2</v>
      </c>
      <c r="X550" s="197">
        <f t="shared" si="1"/>
        <v>1</v>
      </c>
      <c r="Y550" s="197">
        <f t="shared" si="791"/>
        <v>0</v>
      </c>
      <c r="Z550" s="197">
        <f t="shared" si="751"/>
        <v>2</v>
      </c>
      <c r="AA550" s="199" t="b">
        <f t="shared" si="3"/>
        <v>0</v>
      </c>
      <c r="AB550" s="199" t="b">
        <f t="shared" si="4"/>
        <v>0</v>
      </c>
      <c r="AC550" s="200">
        <f t="shared" ref="AC550:AD550" si="810">1-I550</f>
        <v>0</v>
      </c>
      <c r="AD550" s="200">
        <f t="shared" si="810"/>
        <v>1</v>
      </c>
      <c r="AE550" s="199">
        <f t="shared" si="6"/>
        <v>2</v>
      </c>
      <c r="AF550" s="201">
        <f t="shared" si="753"/>
        <v>0</v>
      </c>
      <c r="AG550" s="201">
        <f t="shared" si="8"/>
        <v>1</v>
      </c>
      <c r="AH550" s="202">
        <f t="shared" si="809"/>
        <v>0</v>
      </c>
      <c r="AI550" s="466"/>
      <c r="AJ550" s="173"/>
      <c r="AK550" s="173"/>
      <c r="AL550" s="173"/>
      <c r="AM550" s="173"/>
      <c r="AN550" s="173"/>
      <c r="AO550" s="173"/>
      <c r="AP550" s="173"/>
      <c r="AQ550" s="173"/>
      <c r="AR550" s="173"/>
      <c r="AS550" s="173"/>
      <c r="AT550" s="173"/>
      <c r="AU550" s="173"/>
      <c r="AV550" s="173"/>
    </row>
    <row r="551" spans="1:48" ht="14.25">
      <c r="A551" s="206"/>
      <c r="B551" s="459">
        <v>4</v>
      </c>
      <c r="C551" s="460" t="s">
        <v>1248</v>
      </c>
      <c r="D551" s="461" t="s">
        <v>63</v>
      </c>
      <c r="E551" s="461" t="s">
        <v>84</v>
      </c>
      <c r="F551" s="461" t="s">
        <v>21</v>
      </c>
      <c r="G551" s="461">
        <f>IF(Setup!$N$13&gt;=VLOOKUP(C551,Reference!$N$36:$O$117,2,0),2,0)</f>
        <v>2</v>
      </c>
      <c r="H551" s="461">
        <v>0</v>
      </c>
      <c r="I551" s="462">
        <v>1</v>
      </c>
      <c r="J551" s="463"/>
      <c r="K551" s="461" t="s">
        <v>182</v>
      </c>
      <c r="L551" s="467"/>
      <c r="M551" s="461">
        <v>2</v>
      </c>
      <c r="N551" s="461">
        <v>6</v>
      </c>
      <c r="O551" s="467" t="s">
        <v>1249</v>
      </c>
      <c r="P551" s="289"/>
      <c r="Q551" s="461" t="s">
        <v>148</v>
      </c>
      <c r="R551" s="465"/>
      <c r="S551" s="289">
        <v>2</v>
      </c>
      <c r="T551" s="289">
        <v>8</v>
      </c>
      <c r="U551" s="289">
        <v>7</v>
      </c>
      <c r="V551" s="289">
        <v>3</v>
      </c>
      <c r="W551" s="197">
        <f t="shared" si="749"/>
        <v>2</v>
      </c>
      <c r="X551" s="197">
        <f t="shared" si="1"/>
        <v>1</v>
      </c>
      <c r="Y551" s="197">
        <f t="shared" si="791"/>
        <v>0</v>
      </c>
      <c r="Z551" s="197">
        <f t="shared" si="751"/>
        <v>2</v>
      </c>
      <c r="AA551" s="199" t="b">
        <f t="shared" si="3"/>
        <v>0</v>
      </c>
      <c r="AB551" s="199" t="b">
        <f t="shared" si="4"/>
        <v>0</v>
      </c>
      <c r="AC551" s="200">
        <f t="shared" ref="AC551:AD551" si="811">1-I551</f>
        <v>0</v>
      </c>
      <c r="AD551" s="200">
        <f t="shared" si="811"/>
        <v>1</v>
      </c>
      <c r="AE551" s="199">
        <f t="shared" si="6"/>
        <v>2</v>
      </c>
      <c r="AF551" s="201">
        <f t="shared" si="753"/>
        <v>0</v>
      </c>
      <c r="AG551" s="201">
        <f t="shared" si="8"/>
        <v>1</v>
      </c>
      <c r="AH551" s="202">
        <f t="shared" si="809"/>
        <v>0</v>
      </c>
      <c r="AI551" s="466"/>
      <c r="AJ551" s="173"/>
      <c r="AK551" s="173"/>
      <c r="AL551" s="173"/>
      <c r="AM551" s="173"/>
      <c r="AN551" s="173"/>
      <c r="AO551" s="173"/>
      <c r="AP551" s="173"/>
      <c r="AQ551" s="173"/>
      <c r="AR551" s="173"/>
      <c r="AS551" s="173"/>
      <c r="AT551" s="173"/>
      <c r="AU551" s="173"/>
      <c r="AV551" s="173"/>
    </row>
    <row r="552" spans="1:48" ht="14.25">
      <c r="A552" s="206"/>
      <c r="B552" s="459">
        <v>4</v>
      </c>
      <c r="C552" s="460" t="s">
        <v>1250</v>
      </c>
      <c r="D552" s="461" t="s">
        <v>63</v>
      </c>
      <c r="E552" s="461" t="s">
        <v>84</v>
      </c>
      <c r="F552" s="461" t="s">
        <v>20</v>
      </c>
      <c r="G552" s="461">
        <f>IF(Setup!$N$13&gt;=VLOOKUP(C552,Reference!$N$36:$O$117,2,0),2,0)</f>
        <v>2</v>
      </c>
      <c r="H552" s="461">
        <v>0</v>
      </c>
      <c r="I552" s="462">
        <v>1</v>
      </c>
      <c r="J552" s="463"/>
      <c r="K552" s="461" t="s">
        <v>182</v>
      </c>
      <c r="L552" s="467"/>
      <c r="M552" s="461">
        <v>5</v>
      </c>
      <c r="N552" s="461">
        <v>4</v>
      </c>
      <c r="O552" s="467" t="s">
        <v>1251</v>
      </c>
      <c r="P552" s="468" t="s">
        <v>454</v>
      </c>
      <c r="Q552" s="461" t="s">
        <v>148</v>
      </c>
      <c r="R552" s="465"/>
      <c r="S552" s="289">
        <v>2</v>
      </c>
      <c r="T552" s="289">
        <v>8</v>
      </c>
      <c r="U552" s="289">
        <v>6</v>
      </c>
      <c r="V552" s="289">
        <v>3</v>
      </c>
      <c r="W552" s="197">
        <f t="shared" si="749"/>
        <v>2</v>
      </c>
      <c r="X552" s="197">
        <f t="shared" si="1"/>
        <v>1</v>
      </c>
      <c r="Y552" s="197">
        <f t="shared" si="791"/>
        <v>0</v>
      </c>
      <c r="Z552" s="197">
        <f t="shared" si="751"/>
        <v>2</v>
      </c>
      <c r="AA552" s="199" t="b">
        <f t="shared" si="3"/>
        <v>0</v>
      </c>
      <c r="AB552" s="199" t="b">
        <f t="shared" si="4"/>
        <v>0</v>
      </c>
      <c r="AC552" s="200">
        <f t="shared" ref="AC552:AD552" si="812">1-I552</f>
        <v>0</v>
      </c>
      <c r="AD552" s="200">
        <f t="shared" si="812"/>
        <v>1</v>
      </c>
      <c r="AE552" s="199">
        <f t="shared" si="6"/>
        <v>2</v>
      </c>
      <c r="AF552" s="201">
        <f t="shared" si="753"/>
        <v>0</v>
      </c>
      <c r="AG552" s="201">
        <f t="shared" si="8"/>
        <v>1</v>
      </c>
      <c r="AH552" s="202">
        <f t="shared" si="809"/>
        <v>0</v>
      </c>
      <c r="AI552" s="466"/>
      <c r="AJ552" s="173"/>
      <c r="AK552" s="173"/>
      <c r="AL552" s="173"/>
      <c r="AM552" s="173"/>
      <c r="AN552" s="173"/>
      <c r="AO552" s="173"/>
      <c r="AP552" s="173"/>
      <c r="AQ552" s="173"/>
      <c r="AR552" s="173"/>
      <c r="AS552" s="173"/>
      <c r="AT552" s="173"/>
      <c r="AU552" s="173"/>
      <c r="AV552" s="173"/>
    </row>
    <row r="553" spans="1:48" ht="14.25">
      <c r="A553" s="279"/>
      <c r="B553" s="459">
        <v>4</v>
      </c>
      <c r="C553" s="460" t="s">
        <v>1252</v>
      </c>
      <c r="D553" s="461" t="s">
        <v>63</v>
      </c>
      <c r="E553" s="461" t="s">
        <v>84</v>
      </c>
      <c r="F553" s="461" t="s">
        <v>115</v>
      </c>
      <c r="G553" s="461">
        <f>IF(Setup!$N$13&gt;=VLOOKUP(C553,Reference!$N$36:$O$117,2,0),2,0)</f>
        <v>2</v>
      </c>
      <c r="H553" s="461">
        <v>0</v>
      </c>
      <c r="I553" s="462">
        <v>1</v>
      </c>
      <c r="J553" s="463"/>
      <c r="K553" s="461" t="s">
        <v>182</v>
      </c>
      <c r="L553" s="461" t="s">
        <v>230</v>
      </c>
      <c r="M553" s="461">
        <v>3</v>
      </c>
      <c r="N553" s="461">
        <v>3</v>
      </c>
      <c r="O553" s="467" t="s">
        <v>1253</v>
      </c>
      <c r="P553" s="468" t="s">
        <v>184</v>
      </c>
      <c r="Q553" s="461" t="s">
        <v>148</v>
      </c>
      <c r="R553" s="465"/>
      <c r="S553" s="289">
        <v>2</v>
      </c>
      <c r="T553" s="289">
        <v>8</v>
      </c>
      <c r="U553" s="289">
        <v>10</v>
      </c>
      <c r="V553" s="289">
        <v>3</v>
      </c>
      <c r="W553" s="197">
        <f t="shared" si="749"/>
        <v>2</v>
      </c>
      <c r="X553" s="197">
        <f t="shared" si="1"/>
        <v>1</v>
      </c>
      <c r="Y553" s="197">
        <f t="shared" si="791"/>
        <v>0</v>
      </c>
      <c r="Z553" s="197">
        <f t="shared" si="751"/>
        <v>2</v>
      </c>
      <c r="AA553" s="199" t="b">
        <f t="shared" si="3"/>
        <v>0</v>
      </c>
      <c r="AB553" s="199" t="b">
        <f t="shared" si="4"/>
        <v>0</v>
      </c>
      <c r="AC553" s="200">
        <f t="shared" ref="AC553:AD553" si="813">1-I553</f>
        <v>0</v>
      </c>
      <c r="AD553" s="200">
        <f t="shared" si="813"/>
        <v>1</v>
      </c>
      <c r="AE553" s="199">
        <f t="shared" si="6"/>
        <v>2</v>
      </c>
      <c r="AF553" s="201">
        <f t="shared" si="753"/>
        <v>0</v>
      </c>
      <c r="AG553" s="201">
        <f t="shared" si="8"/>
        <v>1</v>
      </c>
      <c r="AH553" s="202">
        <f t="shared" si="809"/>
        <v>0</v>
      </c>
      <c r="AI553" s="466"/>
      <c r="AJ553" s="173"/>
      <c r="AK553" s="173"/>
      <c r="AL553" s="173"/>
      <c r="AM553" s="173"/>
      <c r="AN553" s="173"/>
      <c r="AO553" s="173"/>
      <c r="AP553" s="173"/>
      <c r="AQ553" s="173"/>
      <c r="AR553" s="173"/>
      <c r="AS553" s="173"/>
      <c r="AT553" s="173"/>
      <c r="AU553" s="173"/>
      <c r="AV553" s="173"/>
    </row>
    <row r="554" spans="1:48" ht="14.25">
      <c r="A554" s="206"/>
      <c r="B554" s="459">
        <v>5</v>
      </c>
      <c r="C554" s="460" t="s">
        <v>1254</v>
      </c>
      <c r="D554" s="461" t="s">
        <v>63</v>
      </c>
      <c r="E554" s="461" t="s">
        <v>84</v>
      </c>
      <c r="F554" s="461" t="s">
        <v>115</v>
      </c>
      <c r="G554" s="461">
        <f>IF(Setup!$N$13&gt;=VLOOKUP(C554,Reference!$N$36:$O$117,2,0),2,0)</f>
        <v>2</v>
      </c>
      <c r="H554" s="461">
        <v>0</v>
      </c>
      <c r="I554" s="462">
        <v>1</v>
      </c>
      <c r="J554" s="463"/>
      <c r="K554" s="461" t="s">
        <v>182</v>
      </c>
      <c r="L554" s="467"/>
      <c r="M554" s="461">
        <v>4</v>
      </c>
      <c r="N554" s="461">
        <v>4</v>
      </c>
      <c r="O554" s="467" t="s">
        <v>1255</v>
      </c>
      <c r="P554" s="468" t="s">
        <v>454</v>
      </c>
      <c r="Q554" s="461" t="s">
        <v>148</v>
      </c>
      <c r="R554" s="465"/>
      <c r="S554" s="289">
        <v>2</v>
      </c>
      <c r="T554" s="289">
        <v>8</v>
      </c>
      <c r="U554" s="289">
        <v>10</v>
      </c>
      <c r="V554" s="289">
        <v>3</v>
      </c>
      <c r="W554" s="197">
        <f t="shared" si="749"/>
        <v>2</v>
      </c>
      <c r="X554" s="197">
        <f t="shared" si="1"/>
        <v>1</v>
      </c>
      <c r="Y554" s="197">
        <f t="shared" si="791"/>
        <v>0</v>
      </c>
      <c r="Z554" s="197">
        <f t="shared" si="751"/>
        <v>2</v>
      </c>
      <c r="AA554" s="199" t="b">
        <f t="shared" si="3"/>
        <v>0</v>
      </c>
      <c r="AB554" s="199" t="b">
        <f t="shared" si="4"/>
        <v>0</v>
      </c>
      <c r="AC554" s="200">
        <f t="shared" ref="AC554:AD554" si="814">1-I554</f>
        <v>0</v>
      </c>
      <c r="AD554" s="200">
        <f t="shared" si="814"/>
        <v>1</v>
      </c>
      <c r="AE554" s="199">
        <f t="shared" si="6"/>
        <v>2</v>
      </c>
      <c r="AF554" s="201">
        <f t="shared" si="753"/>
        <v>0</v>
      </c>
      <c r="AG554" s="201">
        <f t="shared" si="8"/>
        <v>1</v>
      </c>
      <c r="AH554" s="202">
        <f t="shared" si="809"/>
        <v>0</v>
      </c>
      <c r="AI554" s="466"/>
      <c r="AJ554" s="173"/>
      <c r="AK554" s="173"/>
      <c r="AL554" s="173"/>
      <c r="AM554" s="173"/>
      <c r="AN554" s="173"/>
      <c r="AO554" s="173"/>
      <c r="AP554" s="173"/>
      <c r="AQ554" s="173"/>
      <c r="AR554" s="173"/>
      <c r="AS554" s="173"/>
      <c r="AT554" s="173"/>
      <c r="AU554" s="173"/>
      <c r="AV554" s="173"/>
    </row>
    <row r="555" spans="1:48" ht="14.25">
      <c r="A555" s="187"/>
      <c r="B555" s="459">
        <v>5</v>
      </c>
      <c r="C555" s="460" t="s">
        <v>1256</v>
      </c>
      <c r="D555" s="461" t="s">
        <v>63</v>
      </c>
      <c r="E555" s="461" t="s">
        <v>84</v>
      </c>
      <c r="F555" s="461" t="s">
        <v>13</v>
      </c>
      <c r="G555" s="461">
        <f>IF(Setup!$N$13&gt;=VLOOKUP(C555,Reference!$N$36:$O$117,2,0),2,0)</f>
        <v>2</v>
      </c>
      <c r="H555" s="461">
        <v>0</v>
      </c>
      <c r="I555" s="462">
        <v>1</v>
      </c>
      <c r="J555" s="463"/>
      <c r="K555" s="461" t="s">
        <v>182</v>
      </c>
      <c r="L555" s="467"/>
      <c r="M555" s="461">
        <v>6</v>
      </c>
      <c r="N555" s="461">
        <v>3</v>
      </c>
      <c r="O555" s="467" t="s">
        <v>1257</v>
      </c>
      <c r="P555" s="468" t="s">
        <v>275</v>
      </c>
      <c r="Q555" s="461" t="s">
        <v>148</v>
      </c>
      <c r="R555" s="465"/>
      <c r="S555" s="289">
        <v>2</v>
      </c>
      <c r="T555" s="289">
        <v>8</v>
      </c>
      <c r="U555" s="289">
        <v>3</v>
      </c>
      <c r="V555" s="289">
        <v>3</v>
      </c>
      <c r="W555" s="197">
        <f t="shared" si="749"/>
        <v>2</v>
      </c>
      <c r="X555" s="197">
        <f t="shared" si="1"/>
        <v>1</v>
      </c>
      <c r="Y555" s="197">
        <f t="shared" si="791"/>
        <v>0</v>
      </c>
      <c r="Z555" s="197">
        <f t="shared" si="751"/>
        <v>2</v>
      </c>
      <c r="AA555" s="199" t="b">
        <f t="shared" si="3"/>
        <v>0</v>
      </c>
      <c r="AB555" s="199" t="b">
        <f t="shared" si="4"/>
        <v>0</v>
      </c>
      <c r="AC555" s="200">
        <f t="shared" ref="AC555:AD555" si="815">1-I555</f>
        <v>0</v>
      </c>
      <c r="AD555" s="200">
        <f t="shared" si="815"/>
        <v>1</v>
      </c>
      <c r="AE555" s="199">
        <f t="shared" si="6"/>
        <v>2</v>
      </c>
      <c r="AF555" s="201">
        <f t="shared" si="753"/>
        <v>0</v>
      </c>
      <c r="AG555" s="201">
        <f t="shared" si="8"/>
        <v>1</v>
      </c>
      <c r="AH555" s="202">
        <f t="shared" si="809"/>
        <v>0</v>
      </c>
      <c r="AI555" s="466"/>
      <c r="AJ555" s="173"/>
      <c r="AK555" s="173"/>
      <c r="AL555" s="173"/>
      <c r="AM555" s="173"/>
      <c r="AN555" s="173"/>
      <c r="AO555" s="173"/>
      <c r="AP555" s="173"/>
      <c r="AQ555" s="173"/>
      <c r="AR555" s="173"/>
      <c r="AS555" s="173"/>
      <c r="AT555" s="173"/>
      <c r="AU555" s="173"/>
      <c r="AV555" s="173"/>
    </row>
    <row r="556" spans="1:48" ht="14.25">
      <c r="A556" s="187"/>
      <c r="B556" s="459">
        <v>6</v>
      </c>
      <c r="C556" s="460" t="s">
        <v>1258</v>
      </c>
      <c r="D556" s="461" t="s">
        <v>63</v>
      </c>
      <c r="E556" s="461" t="s">
        <v>84</v>
      </c>
      <c r="F556" s="461" t="s">
        <v>18</v>
      </c>
      <c r="G556" s="461">
        <f>IF(Setup!$N$13&gt;=VLOOKUP(C556,Reference!$N$36:$O$117,2,0),2,0)</f>
        <v>2</v>
      </c>
      <c r="H556" s="461">
        <v>0</v>
      </c>
      <c r="I556" s="462">
        <v>1</v>
      </c>
      <c r="J556" s="463"/>
      <c r="K556" s="461" t="s">
        <v>146</v>
      </c>
      <c r="L556" s="467"/>
      <c r="M556" s="467"/>
      <c r="N556" s="467"/>
      <c r="O556" s="467" t="s">
        <v>1259</v>
      </c>
      <c r="P556" s="289"/>
      <c r="Q556" s="461" t="s">
        <v>148</v>
      </c>
      <c r="R556" s="465"/>
      <c r="S556" s="289">
        <v>2</v>
      </c>
      <c r="T556" s="289">
        <v>8</v>
      </c>
      <c r="U556" s="289">
        <v>5</v>
      </c>
      <c r="V556" s="289">
        <v>2</v>
      </c>
      <c r="W556" s="197">
        <f t="shared" si="749"/>
        <v>2</v>
      </c>
      <c r="X556" s="197">
        <f t="shared" si="1"/>
        <v>1</v>
      </c>
      <c r="Y556" s="197">
        <f t="shared" si="791"/>
        <v>0</v>
      </c>
      <c r="Z556" s="197">
        <f t="shared" si="751"/>
        <v>2</v>
      </c>
      <c r="AA556" s="199" t="b">
        <f t="shared" si="3"/>
        <v>0</v>
      </c>
      <c r="AB556" s="199" t="b">
        <f t="shared" si="4"/>
        <v>0</v>
      </c>
      <c r="AC556" s="200">
        <f t="shared" ref="AC556:AD556" si="816">1-I556</f>
        <v>0</v>
      </c>
      <c r="AD556" s="200">
        <f t="shared" si="816"/>
        <v>1</v>
      </c>
      <c r="AE556" s="199">
        <f t="shared" si="6"/>
        <v>2</v>
      </c>
      <c r="AF556" s="201">
        <f t="shared" si="753"/>
        <v>0</v>
      </c>
      <c r="AG556" s="201">
        <f t="shared" si="8"/>
        <v>1</v>
      </c>
      <c r="AH556" s="202">
        <f t="shared" si="809"/>
        <v>0</v>
      </c>
      <c r="AI556" s="466"/>
      <c r="AJ556" s="173"/>
      <c r="AK556" s="173"/>
      <c r="AL556" s="173"/>
      <c r="AM556" s="173"/>
      <c r="AN556" s="173"/>
      <c r="AO556" s="173"/>
      <c r="AP556" s="173"/>
      <c r="AQ556" s="173"/>
      <c r="AR556" s="173"/>
      <c r="AS556" s="173"/>
      <c r="AT556" s="173"/>
      <c r="AU556" s="173"/>
      <c r="AV556" s="173"/>
    </row>
    <row r="557" spans="1:48" ht="14.25">
      <c r="A557" s="206"/>
      <c r="B557" s="459">
        <v>7</v>
      </c>
      <c r="C557" s="460" t="s">
        <v>1260</v>
      </c>
      <c r="D557" s="461" t="s">
        <v>63</v>
      </c>
      <c r="E557" s="461" t="s">
        <v>84</v>
      </c>
      <c r="F557" s="461" t="s">
        <v>26</v>
      </c>
      <c r="G557" s="461">
        <f>IF(Setup!$N$13&gt;=VLOOKUP(C557,Reference!$N$36:$O$117,2,0),2,0)</f>
        <v>2</v>
      </c>
      <c r="H557" s="461">
        <v>0</v>
      </c>
      <c r="I557" s="462">
        <v>1</v>
      </c>
      <c r="J557" s="463"/>
      <c r="K557" s="461" t="s">
        <v>182</v>
      </c>
      <c r="L557" s="467"/>
      <c r="M557" s="461">
        <v>7</v>
      </c>
      <c r="N557" s="461">
        <v>7</v>
      </c>
      <c r="O557" s="467" t="s">
        <v>1261</v>
      </c>
      <c r="P557" s="468" t="s">
        <v>193</v>
      </c>
      <c r="Q557" s="461" t="s">
        <v>148</v>
      </c>
      <c r="R557" s="465"/>
      <c r="S557" s="289">
        <v>2</v>
      </c>
      <c r="T557" s="289">
        <v>8</v>
      </c>
      <c r="U557" s="289">
        <v>9</v>
      </c>
      <c r="V557" s="289">
        <v>3</v>
      </c>
      <c r="W557" s="197">
        <f t="shared" si="749"/>
        <v>2</v>
      </c>
      <c r="X557" s="197">
        <f t="shared" si="1"/>
        <v>1</v>
      </c>
      <c r="Y557" s="197">
        <f t="shared" si="791"/>
        <v>0</v>
      </c>
      <c r="Z557" s="197">
        <f t="shared" si="751"/>
        <v>2</v>
      </c>
      <c r="AA557" s="199" t="b">
        <f t="shared" si="3"/>
        <v>0</v>
      </c>
      <c r="AB557" s="199" t="b">
        <f t="shared" si="4"/>
        <v>0</v>
      </c>
      <c r="AC557" s="200">
        <f t="shared" ref="AC557:AD557" si="817">1-I557</f>
        <v>0</v>
      </c>
      <c r="AD557" s="200">
        <f t="shared" si="817"/>
        <v>1</v>
      </c>
      <c r="AE557" s="199">
        <f t="shared" si="6"/>
        <v>2</v>
      </c>
      <c r="AF557" s="201">
        <f t="shared" si="753"/>
        <v>0</v>
      </c>
      <c r="AG557" s="201">
        <f t="shared" si="8"/>
        <v>1</v>
      </c>
      <c r="AH557" s="202">
        <f t="shared" si="809"/>
        <v>0</v>
      </c>
      <c r="AI557" s="466"/>
      <c r="AJ557" s="173"/>
      <c r="AK557" s="173"/>
      <c r="AL557" s="173"/>
      <c r="AM557" s="173"/>
      <c r="AN557" s="173"/>
      <c r="AO557" s="173"/>
      <c r="AP557" s="173"/>
      <c r="AQ557" s="173"/>
      <c r="AR557" s="173"/>
      <c r="AS557" s="173"/>
      <c r="AT557" s="173"/>
      <c r="AU557" s="173"/>
      <c r="AV557" s="173"/>
    </row>
    <row r="558" spans="1:48" ht="14.25">
      <c r="A558" s="187"/>
      <c r="B558" s="459">
        <v>8</v>
      </c>
      <c r="C558" s="460" t="s">
        <v>1262</v>
      </c>
      <c r="D558" s="461" t="s">
        <v>63</v>
      </c>
      <c r="E558" s="461" t="s">
        <v>84</v>
      </c>
      <c r="F558" s="461" t="s">
        <v>115</v>
      </c>
      <c r="G558" s="461">
        <f>IF(Setup!$N$13&gt;=VLOOKUP(C558,Reference!$N$36:$O$117,2,0),2,0)</f>
        <v>2</v>
      </c>
      <c r="H558" s="461">
        <v>0</v>
      </c>
      <c r="I558" s="462">
        <v>1</v>
      </c>
      <c r="J558" s="463"/>
      <c r="K558" s="461" t="s">
        <v>182</v>
      </c>
      <c r="L558" s="467"/>
      <c r="M558" s="461">
        <v>8</v>
      </c>
      <c r="N558" s="461">
        <v>8</v>
      </c>
      <c r="O558" s="467" t="s">
        <v>1263</v>
      </c>
      <c r="P558" s="468" t="s">
        <v>184</v>
      </c>
      <c r="Q558" s="461" t="s">
        <v>148</v>
      </c>
      <c r="R558" s="465"/>
      <c r="S558" s="289">
        <v>2</v>
      </c>
      <c r="T558" s="289">
        <v>8</v>
      </c>
      <c r="U558" s="289">
        <v>10</v>
      </c>
      <c r="V558" s="289">
        <v>3</v>
      </c>
      <c r="W558" s="197">
        <f t="shared" si="749"/>
        <v>2</v>
      </c>
      <c r="X558" s="197">
        <f t="shared" si="1"/>
        <v>1</v>
      </c>
      <c r="Y558" s="197">
        <f t="shared" si="791"/>
        <v>0</v>
      </c>
      <c r="Z558" s="197">
        <f t="shared" si="751"/>
        <v>2</v>
      </c>
      <c r="AA558" s="199" t="b">
        <f t="shared" si="3"/>
        <v>0</v>
      </c>
      <c r="AB558" s="199" t="b">
        <f t="shared" si="4"/>
        <v>0</v>
      </c>
      <c r="AC558" s="200">
        <f t="shared" ref="AC558:AD558" si="818">1-I558</f>
        <v>0</v>
      </c>
      <c r="AD558" s="200">
        <f t="shared" si="818"/>
        <v>1</v>
      </c>
      <c r="AE558" s="199">
        <f t="shared" si="6"/>
        <v>2</v>
      </c>
      <c r="AF558" s="201">
        <f t="shared" si="753"/>
        <v>0</v>
      </c>
      <c r="AG558" s="201">
        <f t="shared" si="8"/>
        <v>1</v>
      </c>
      <c r="AH558" s="202">
        <f t="shared" si="809"/>
        <v>0</v>
      </c>
      <c r="AI558" s="466"/>
      <c r="AJ558" s="173"/>
      <c r="AK558" s="173"/>
      <c r="AL558" s="173"/>
      <c r="AM558" s="173"/>
      <c r="AN558" s="173"/>
      <c r="AO558" s="173"/>
      <c r="AP558" s="173"/>
      <c r="AQ558" s="173"/>
      <c r="AR558" s="173"/>
      <c r="AS558" s="173"/>
      <c r="AT558" s="173"/>
      <c r="AU558" s="173"/>
      <c r="AV558" s="173"/>
    </row>
    <row r="559" spans="1:48" ht="14.25">
      <c r="A559" s="206"/>
      <c r="B559" s="471">
        <v>5</v>
      </c>
      <c r="C559" s="472" t="s">
        <v>1264</v>
      </c>
      <c r="D559" s="473" t="s">
        <v>69</v>
      </c>
      <c r="E559" s="473" t="s">
        <v>84</v>
      </c>
      <c r="F559" s="473" t="s">
        <v>115</v>
      </c>
      <c r="G559" s="473">
        <f>IF(Setup!$N$13&gt;=VLOOKUP(C559,Reference!$N$36:$O$117,2,0),2,0)</f>
        <v>2</v>
      </c>
      <c r="H559" s="473">
        <v>0</v>
      </c>
      <c r="I559" s="474">
        <v>1</v>
      </c>
      <c r="J559" s="475"/>
      <c r="K559" s="473" t="s">
        <v>182</v>
      </c>
      <c r="L559" s="476"/>
      <c r="M559" s="473">
        <v>4</v>
      </c>
      <c r="N559" s="473">
        <v>6</v>
      </c>
      <c r="O559" s="476" t="s">
        <v>1265</v>
      </c>
      <c r="P559" s="350"/>
      <c r="Q559" s="473" t="s">
        <v>148</v>
      </c>
      <c r="R559" s="465"/>
      <c r="S559" s="289">
        <v>4</v>
      </c>
      <c r="T559" s="289">
        <v>8</v>
      </c>
      <c r="U559" s="289">
        <v>10</v>
      </c>
      <c r="V559" s="289">
        <v>3</v>
      </c>
      <c r="W559" s="197">
        <f t="shared" si="749"/>
        <v>2</v>
      </c>
      <c r="X559" s="197">
        <f t="shared" si="1"/>
        <v>1</v>
      </c>
      <c r="Y559" s="197">
        <f t="shared" ref="Y559:Y560" si="819">(MIN(G559,2)+H559-W559)*400</f>
        <v>0</v>
      </c>
      <c r="Z559" s="197">
        <f t="shared" si="751"/>
        <v>2</v>
      </c>
      <c r="AA559" s="199" t="b">
        <f t="shared" si="3"/>
        <v>0</v>
      </c>
      <c r="AB559" s="199" t="b">
        <f t="shared" si="4"/>
        <v>0</v>
      </c>
      <c r="AC559" s="200">
        <f t="shared" ref="AC559:AD559" si="820">1-I559</f>
        <v>0</v>
      </c>
      <c r="AD559" s="200">
        <f t="shared" si="820"/>
        <v>1</v>
      </c>
      <c r="AE559" s="199">
        <f t="shared" si="6"/>
        <v>2</v>
      </c>
      <c r="AF559" s="201">
        <f t="shared" si="753"/>
        <v>0</v>
      </c>
      <c r="AG559" s="201">
        <f t="shared" si="8"/>
        <v>1</v>
      </c>
      <c r="AH559" s="202">
        <f t="shared" ref="AH559:AH560" si="821">(MIN(H559,2)+G559-W559)*100</f>
        <v>0</v>
      </c>
      <c r="AI559" s="466"/>
      <c r="AJ559" s="173"/>
      <c r="AK559" s="173"/>
      <c r="AL559" s="173"/>
      <c r="AM559" s="173"/>
      <c r="AN559" s="173"/>
      <c r="AO559" s="173"/>
      <c r="AP559" s="173"/>
      <c r="AQ559" s="173"/>
      <c r="AR559" s="173"/>
      <c r="AS559" s="173"/>
      <c r="AT559" s="173"/>
      <c r="AU559" s="173"/>
      <c r="AV559" s="173"/>
    </row>
    <row r="560" spans="1:48" ht="14.25">
      <c r="A560" s="206"/>
      <c r="B560" s="471">
        <v>5</v>
      </c>
      <c r="C560" s="472" t="s">
        <v>1266</v>
      </c>
      <c r="D560" s="473" t="s">
        <v>69</v>
      </c>
      <c r="E560" s="473" t="s">
        <v>84</v>
      </c>
      <c r="F560" s="473" t="s">
        <v>115</v>
      </c>
      <c r="G560" s="473">
        <f>IF(Setup!$N$13&gt;=VLOOKUP(C560,Reference!$N$36:$O$117,2,0),2,0)</f>
        <v>2</v>
      </c>
      <c r="H560" s="473">
        <v>0</v>
      </c>
      <c r="I560" s="474">
        <v>1</v>
      </c>
      <c r="J560" s="475"/>
      <c r="K560" s="473" t="s">
        <v>182</v>
      </c>
      <c r="L560" s="476"/>
      <c r="M560" s="473">
        <v>5</v>
      </c>
      <c r="N560" s="473">
        <v>5</v>
      </c>
      <c r="O560" s="476" t="s">
        <v>1267</v>
      </c>
      <c r="P560" s="350"/>
      <c r="Q560" s="473" t="s">
        <v>148</v>
      </c>
      <c r="R560" s="465"/>
      <c r="S560" s="289">
        <v>4</v>
      </c>
      <c r="T560" s="289">
        <v>8</v>
      </c>
      <c r="U560" s="289">
        <v>10</v>
      </c>
      <c r="V560" s="289">
        <v>3</v>
      </c>
      <c r="W560" s="197">
        <f t="shared" si="749"/>
        <v>2</v>
      </c>
      <c r="X560" s="197">
        <f t="shared" si="1"/>
        <v>1</v>
      </c>
      <c r="Y560" s="197">
        <f t="shared" si="819"/>
        <v>0</v>
      </c>
      <c r="Z560" s="197">
        <f t="shared" si="751"/>
        <v>2</v>
      </c>
      <c r="AA560" s="199" t="b">
        <f t="shared" si="3"/>
        <v>0</v>
      </c>
      <c r="AB560" s="199" t="b">
        <f t="shared" si="4"/>
        <v>0</v>
      </c>
      <c r="AC560" s="200">
        <f t="shared" ref="AC560:AD560" si="822">1-I560</f>
        <v>0</v>
      </c>
      <c r="AD560" s="200">
        <f t="shared" si="822"/>
        <v>1</v>
      </c>
      <c r="AE560" s="199">
        <f t="shared" si="6"/>
        <v>2</v>
      </c>
      <c r="AF560" s="201">
        <f t="shared" si="753"/>
        <v>0</v>
      </c>
      <c r="AG560" s="201">
        <f t="shared" si="8"/>
        <v>1</v>
      </c>
      <c r="AH560" s="202">
        <f t="shared" si="821"/>
        <v>0</v>
      </c>
      <c r="AI560" s="466"/>
      <c r="AJ560" s="173"/>
      <c r="AK560" s="173"/>
      <c r="AL560" s="173"/>
      <c r="AM560" s="173"/>
      <c r="AN560" s="173"/>
      <c r="AO560" s="173"/>
      <c r="AP560" s="173"/>
      <c r="AQ560" s="173"/>
      <c r="AR560" s="173"/>
      <c r="AS560" s="173"/>
      <c r="AT560" s="173"/>
      <c r="AU560" s="173"/>
      <c r="AV560" s="173"/>
    </row>
    <row r="561" spans="1:48" ht="14.25">
      <c r="A561" s="187"/>
      <c r="B561" s="477">
        <v>1</v>
      </c>
      <c r="C561" s="478" t="s">
        <v>1268</v>
      </c>
      <c r="D561" s="479" t="s">
        <v>70</v>
      </c>
      <c r="E561" s="479" t="s">
        <v>84</v>
      </c>
      <c r="F561" s="479" t="s">
        <v>115</v>
      </c>
      <c r="G561" s="479">
        <f>IF(Setup!$N$13&gt;=VLOOKUP(C561,Reference!$N$36:$O$117,2,0),1,0)</f>
        <v>1</v>
      </c>
      <c r="H561" s="479">
        <v>0</v>
      </c>
      <c r="I561" s="480">
        <v>1</v>
      </c>
      <c r="J561" s="481"/>
      <c r="K561" s="479" t="s">
        <v>182</v>
      </c>
      <c r="L561" s="479" t="s">
        <v>195</v>
      </c>
      <c r="M561" s="479">
        <v>1</v>
      </c>
      <c r="N561" s="479">
        <v>3</v>
      </c>
      <c r="O561" s="482" t="s">
        <v>1269</v>
      </c>
      <c r="P561" s="483" t="s">
        <v>184</v>
      </c>
      <c r="Q561" s="479" t="s">
        <v>148</v>
      </c>
      <c r="R561" s="465"/>
      <c r="S561" s="289">
        <v>5</v>
      </c>
      <c r="T561" s="289">
        <v>8</v>
      </c>
      <c r="U561" s="289">
        <v>10</v>
      </c>
      <c r="V561" s="289">
        <v>3</v>
      </c>
      <c r="W561" s="197">
        <f t="shared" ref="W561:W565" si="823">MIN((G561+H561),1)</f>
        <v>1</v>
      </c>
      <c r="X561" s="197">
        <f t="shared" si="1"/>
        <v>1</v>
      </c>
      <c r="Y561" s="197">
        <f t="shared" ref="Y561:Y565" si="824">(MIN(G561,1)+H561-W561)*1600</f>
        <v>0</v>
      </c>
      <c r="Z561" s="197">
        <f t="shared" ref="Z561:Z565" si="825">MIN((G561+H561+1),2)</f>
        <v>2</v>
      </c>
      <c r="AA561" s="199" t="b">
        <f t="shared" si="3"/>
        <v>0</v>
      </c>
      <c r="AB561" s="199" t="b">
        <f t="shared" si="4"/>
        <v>0</v>
      </c>
      <c r="AC561" s="200">
        <f t="shared" ref="AC561:AD561" si="826">1-I561</f>
        <v>0</v>
      </c>
      <c r="AD561" s="200">
        <f t="shared" si="826"/>
        <v>1</v>
      </c>
      <c r="AE561" s="199">
        <f t="shared" si="6"/>
        <v>1</v>
      </c>
      <c r="AF561" s="201">
        <f t="shared" ref="AF561:AF565" si="827">MIN((H561),1)</f>
        <v>0</v>
      </c>
      <c r="AG561" s="201">
        <f t="shared" si="8"/>
        <v>1</v>
      </c>
      <c r="AH561" s="202">
        <f t="shared" ref="AH561:AH565" si="828">(MIN(H561,2)+G561-W561)*400</f>
        <v>0</v>
      </c>
      <c r="AI561" s="466"/>
      <c r="AJ561" s="173"/>
      <c r="AK561" s="173"/>
      <c r="AL561" s="173"/>
      <c r="AM561" s="173"/>
      <c r="AN561" s="173"/>
      <c r="AO561" s="173"/>
      <c r="AP561" s="173"/>
      <c r="AQ561" s="173"/>
      <c r="AR561" s="173"/>
      <c r="AS561" s="173"/>
      <c r="AT561" s="173"/>
      <c r="AU561" s="173"/>
      <c r="AV561" s="173"/>
    </row>
    <row r="562" spans="1:48" ht="14.25">
      <c r="A562" s="187"/>
      <c r="B562" s="477">
        <v>3</v>
      </c>
      <c r="C562" s="478" t="s">
        <v>1270</v>
      </c>
      <c r="D562" s="479" t="s">
        <v>70</v>
      </c>
      <c r="E562" s="479" t="s">
        <v>84</v>
      </c>
      <c r="F562" s="479" t="s">
        <v>115</v>
      </c>
      <c r="G562" s="479">
        <f>IF(Setup!$N$13&gt;=VLOOKUP(C562,Reference!$N$36:$O$117,2,0),1,0)</f>
        <v>1</v>
      </c>
      <c r="H562" s="479">
        <v>0</v>
      </c>
      <c r="I562" s="480">
        <v>1</v>
      </c>
      <c r="J562" s="481"/>
      <c r="K562" s="479" t="s">
        <v>182</v>
      </c>
      <c r="L562" s="482"/>
      <c r="M562" s="479">
        <v>2</v>
      </c>
      <c r="N562" s="479">
        <v>4</v>
      </c>
      <c r="O562" s="482" t="s">
        <v>1271</v>
      </c>
      <c r="P562" s="301"/>
      <c r="Q562" s="479" t="s">
        <v>148</v>
      </c>
      <c r="R562" s="465"/>
      <c r="S562" s="289">
        <v>5</v>
      </c>
      <c r="T562" s="289">
        <v>8</v>
      </c>
      <c r="U562" s="289">
        <v>10</v>
      </c>
      <c r="V562" s="289">
        <v>3</v>
      </c>
      <c r="W562" s="197">
        <f t="shared" si="823"/>
        <v>1</v>
      </c>
      <c r="X562" s="197">
        <f t="shared" si="1"/>
        <v>1</v>
      </c>
      <c r="Y562" s="197">
        <f t="shared" si="824"/>
        <v>0</v>
      </c>
      <c r="Z562" s="197">
        <f t="shared" si="825"/>
        <v>2</v>
      </c>
      <c r="AA562" s="199" t="b">
        <f t="shared" si="3"/>
        <v>0</v>
      </c>
      <c r="AB562" s="199" t="b">
        <f t="shared" si="4"/>
        <v>0</v>
      </c>
      <c r="AC562" s="200">
        <f t="shared" ref="AC562:AD562" si="829">1-I562</f>
        <v>0</v>
      </c>
      <c r="AD562" s="200">
        <f t="shared" si="829"/>
        <v>1</v>
      </c>
      <c r="AE562" s="199">
        <f t="shared" si="6"/>
        <v>1</v>
      </c>
      <c r="AF562" s="201">
        <f t="shared" si="827"/>
        <v>0</v>
      </c>
      <c r="AG562" s="201">
        <f t="shared" si="8"/>
        <v>1</v>
      </c>
      <c r="AH562" s="202">
        <f t="shared" si="828"/>
        <v>0</v>
      </c>
      <c r="AI562" s="466"/>
      <c r="AJ562" s="173"/>
      <c r="AK562" s="173"/>
      <c r="AL562" s="173"/>
      <c r="AM562" s="173"/>
      <c r="AN562" s="173"/>
      <c r="AO562" s="173"/>
      <c r="AP562" s="173"/>
      <c r="AQ562" s="173"/>
      <c r="AR562" s="173"/>
      <c r="AS562" s="173"/>
      <c r="AT562" s="173"/>
      <c r="AU562" s="173"/>
      <c r="AV562" s="173"/>
    </row>
    <row r="563" spans="1:48" ht="14.25">
      <c r="A563" s="222"/>
      <c r="B563" s="477">
        <v>4</v>
      </c>
      <c r="C563" s="478" t="s">
        <v>1272</v>
      </c>
      <c r="D563" s="479" t="s">
        <v>70</v>
      </c>
      <c r="E563" s="479" t="s">
        <v>84</v>
      </c>
      <c r="F563" s="479" t="s">
        <v>115</v>
      </c>
      <c r="G563" s="479">
        <f>IF(Setup!$N$13&gt;=VLOOKUP(C563,Reference!$N$36:$O$117,2,0),1,0)</f>
        <v>1</v>
      </c>
      <c r="H563" s="479">
        <v>0</v>
      </c>
      <c r="I563" s="480">
        <v>1</v>
      </c>
      <c r="J563" s="481"/>
      <c r="K563" s="479" t="s">
        <v>182</v>
      </c>
      <c r="L563" s="482"/>
      <c r="M563" s="479">
        <v>3</v>
      </c>
      <c r="N563" s="479">
        <v>5</v>
      </c>
      <c r="O563" s="482" t="s">
        <v>1273</v>
      </c>
      <c r="P563" s="483" t="s">
        <v>184</v>
      </c>
      <c r="Q563" s="479" t="s">
        <v>148</v>
      </c>
      <c r="R563" s="465"/>
      <c r="S563" s="289">
        <v>5</v>
      </c>
      <c r="T563" s="289">
        <v>8</v>
      </c>
      <c r="U563" s="289">
        <v>10</v>
      </c>
      <c r="V563" s="289">
        <v>3</v>
      </c>
      <c r="W563" s="197">
        <f t="shared" si="823"/>
        <v>1</v>
      </c>
      <c r="X563" s="197">
        <f t="shared" si="1"/>
        <v>1</v>
      </c>
      <c r="Y563" s="197">
        <f t="shared" si="824"/>
        <v>0</v>
      </c>
      <c r="Z563" s="197">
        <f t="shared" si="825"/>
        <v>2</v>
      </c>
      <c r="AA563" s="199" t="b">
        <f t="shared" si="3"/>
        <v>0</v>
      </c>
      <c r="AB563" s="199" t="b">
        <f t="shared" si="4"/>
        <v>0</v>
      </c>
      <c r="AC563" s="200">
        <f t="shared" ref="AC563:AD563" si="830">1-I563</f>
        <v>0</v>
      </c>
      <c r="AD563" s="200">
        <f t="shared" si="830"/>
        <v>1</v>
      </c>
      <c r="AE563" s="199">
        <f t="shared" si="6"/>
        <v>1</v>
      </c>
      <c r="AF563" s="201">
        <f t="shared" si="827"/>
        <v>0</v>
      </c>
      <c r="AG563" s="201">
        <f t="shared" si="8"/>
        <v>1</v>
      </c>
      <c r="AH563" s="202">
        <f t="shared" si="828"/>
        <v>0</v>
      </c>
      <c r="AI563" s="466"/>
      <c r="AJ563" s="173"/>
      <c r="AK563" s="173"/>
      <c r="AL563" s="173"/>
      <c r="AM563" s="173"/>
      <c r="AN563" s="173"/>
      <c r="AO563" s="173"/>
      <c r="AP563" s="173"/>
      <c r="AQ563" s="173"/>
      <c r="AR563" s="173"/>
      <c r="AS563" s="173"/>
      <c r="AT563" s="173"/>
      <c r="AU563" s="173"/>
      <c r="AV563" s="173"/>
    </row>
    <row r="564" spans="1:48" ht="14.25">
      <c r="A564" s="187"/>
      <c r="B564" s="477">
        <v>6</v>
      </c>
      <c r="C564" s="478" t="s">
        <v>1274</v>
      </c>
      <c r="D564" s="479" t="s">
        <v>70</v>
      </c>
      <c r="E564" s="479" t="s">
        <v>84</v>
      </c>
      <c r="F564" s="479" t="s">
        <v>115</v>
      </c>
      <c r="G564" s="479">
        <f>IF(Setup!$N$13&gt;=VLOOKUP(C564,Reference!$N$36:$O$117,2,0),1,0)</f>
        <v>1</v>
      </c>
      <c r="H564" s="479">
        <v>0</v>
      </c>
      <c r="I564" s="480">
        <v>1</v>
      </c>
      <c r="J564" s="481"/>
      <c r="K564" s="479" t="s">
        <v>182</v>
      </c>
      <c r="L564" s="482"/>
      <c r="M564" s="479">
        <v>4</v>
      </c>
      <c r="N564" s="479">
        <v>6</v>
      </c>
      <c r="O564" s="482" t="s">
        <v>1275</v>
      </c>
      <c r="P564" s="483" t="s">
        <v>184</v>
      </c>
      <c r="Q564" s="479" t="s">
        <v>148</v>
      </c>
      <c r="R564" s="465"/>
      <c r="S564" s="289">
        <v>5</v>
      </c>
      <c r="T564" s="289">
        <v>8</v>
      </c>
      <c r="U564" s="289">
        <v>10</v>
      </c>
      <c r="V564" s="289">
        <v>3</v>
      </c>
      <c r="W564" s="197">
        <f t="shared" si="823"/>
        <v>1</v>
      </c>
      <c r="X564" s="197">
        <f t="shared" si="1"/>
        <v>1</v>
      </c>
      <c r="Y564" s="197">
        <f t="shared" si="824"/>
        <v>0</v>
      </c>
      <c r="Z564" s="197">
        <f t="shared" si="825"/>
        <v>2</v>
      </c>
      <c r="AA564" s="199" t="b">
        <f t="shared" si="3"/>
        <v>0</v>
      </c>
      <c r="AB564" s="199" t="b">
        <f t="shared" si="4"/>
        <v>0</v>
      </c>
      <c r="AC564" s="200">
        <f t="shared" ref="AC564:AD564" si="831">1-I564</f>
        <v>0</v>
      </c>
      <c r="AD564" s="200">
        <f t="shared" si="831"/>
        <v>1</v>
      </c>
      <c r="AE564" s="199">
        <f t="shared" si="6"/>
        <v>1</v>
      </c>
      <c r="AF564" s="201">
        <f t="shared" si="827"/>
        <v>0</v>
      </c>
      <c r="AG564" s="201">
        <f t="shared" si="8"/>
        <v>1</v>
      </c>
      <c r="AH564" s="202">
        <f t="shared" si="828"/>
        <v>0</v>
      </c>
      <c r="AI564" s="466"/>
      <c r="AJ564" s="173"/>
      <c r="AK564" s="173"/>
      <c r="AL564" s="173"/>
      <c r="AM564" s="173"/>
      <c r="AN564" s="173"/>
      <c r="AO564" s="173"/>
      <c r="AP564" s="173"/>
      <c r="AQ564" s="173"/>
      <c r="AR564" s="173"/>
      <c r="AS564" s="173"/>
      <c r="AT564" s="173"/>
      <c r="AU564" s="173"/>
      <c r="AV564" s="173"/>
    </row>
    <row r="565" spans="1:48" ht="14.25">
      <c r="A565" s="187"/>
      <c r="B565" s="477">
        <v>9</v>
      </c>
      <c r="C565" s="478" t="s">
        <v>1276</v>
      </c>
      <c r="D565" s="479" t="s">
        <v>70</v>
      </c>
      <c r="E565" s="479" t="s">
        <v>84</v>
      </c>
      <c r="F565" s="479" t="s">
        <v>115</v>
      </c>
      <c r="G565" s="479">
        <f>IF(Setup!$N$13&gt;=VLOOKUP(C565,Reference!$N$36:$O$117,2,0),1,0)</f>
        <v>1</v>
      </c>
      <c r="H565" s="479">
        <v>0</v>
      </c>
      <c r="I565" s="480">
        <v>1</v>
      </c>
      <c r="J565" s="481"/>
      <c r="K565" s="479" t="s">
        <v>182</v>
      </c>
      <c r="L565" s="482"/>
      <c r="M565" s="479">
        <v>7</v>
      </c>
      <c r="N565" s="479">
        <v>8</v>
      </c>
      <c r="O565" s="482" t="s">
        <v>1277</v>
      </c>
      <c r="P565" s="483" t="s">
        <v>184</v>
      </c>
      <c r="Q565" s="479" t="s">
        <v>148</v>
      </c>
      <c r="R565" s="465"/>
      <c r="S565" s="289">
        <v>5</v>
      </c>
      <c r="T565" s="289">
        <v>8</v>
      </c>
      <c r="U565" s="289">
        <v>10</v>
      </c>
      <c r="V565" s="289">
        <v>3</v>
      </c>
      <c r="W565" s="197">
        <f t="shared" si="823"/>
        <v>1</v>
      </c>
      <c r="X565" s="197">
        <f t="shared" si="1"/>
        <v>1</v>
      </c>
      <c r="Y565" s="197">
        <f t="shared" si="824"/>
        <v>0</v>
      </c>
      <c r="Z565" s="197">
        <f t="shared" si="825"/>
        <v>2</v>
      </c>
      <c r="AA565" s="199" t="b">
        <f t="shared" si="3"/>
        <v>0</v>
      </c>
      <c r="AB565" s="199" t="b">
        <f t="shared" si="4"/>
        <v>0</v>
      </c>
      <c r="AC565" s="200">
        <f t="shared" ref="AC565:AD565" si="832">1-I565</f>
        <v>0</v>
      </c>
      <c r="AD565" s="200">
        <f t="shared" si="832"/>
        <v>1</v>
      </c>
      <c r="AE565" s="199">
        <f t="shared" si="6"/>
        <v>1</v>
      </c>
      <c r="AF565" s="201">
        <f t="shared" si="827"/>
        <v>0</v>
      </c>
      <c r="AG565" s="201">
        <f t="shared" si="8"/>
        <v>1</v>
      </c>
      <c r="AH565" s="202">
        <f t="shared" si="828"/>
        <v>0</v>
      </c>
      <c r="AI565" s="466"/>
      <c r="AJ565" s="173"/>
      <c r="AK565" s="173"/>
      <c r="AL565" s="173"/>
      <c r="AM565" s="173"/>
      <c r="AN565" s="173"/>
      <c r="AO565" s="173"/>
      <c r="AP565" s="173"/>
      <c r="AQ565" s="173"/>
      <c r="AR565" s="173"/>
      <c r="AS565" s="173"/>
      <c r="AT565" s="173"/>
      <c r="AU565" s="173"/>
      <c r="AV565" s="173"/>
    </row>
    <row r="566" spans="1:48" ht="14.25">
      <c r="A566" s="187"/>
      <c r="B566" s="484">
        <v>1</v>
      </c>
      <c r="C566" s="485" t="s">
        <v>1278</v>
      </c>
      <c r="D566" s="486" t="s">
        <v>68</v>
      </c>
      <c r="E566" s="486" t="s">
        <v>84</v>
      </c>
      <c r="F566" s="486" t="s">
        <v>26</v>
      </c>
      <c r="G566" s="486">
        <f>IF(Setup!$N$13&gt;=VLOOKUP(C566,Reference!$N$36:$O$117,2,0),2,0)</f>
        <v>2</v>
      </c>
      <c r="H566" s="486">
        <v>0</v>
      </c>
      <c r="I566" s="487">
        <v>1</v>
      </c>
      <c r="J566" s="488"/>
      <c r="K566" s="486" t="s">
        <v>207</v>
      </c>
      <c r="L566" s="489"/>
      <c r="M566" s="486">
        <v>2</v>
      </c>
      <c r="N566" s="486">
        <v>3</v>
      </c>
      <c r="O566" s="489" t="s">
        <v>1279</v>
      </c>
      <c r="P566" s="313"/>
      <c r="Q566" s="486" t="s">
        <v>148</v>
      </c>
      <c r="R566" s="465"/>
      <c r="S566" s="289">
        <v>3</v>
      </c>
      <c r="T566" s="289">
        <v>8</v>
      </c>
      <c r="U566" s="289">
        <v>9</v>
      </c>
      <c r="V566" s="289">
        <v>1</v>
      </c>
      <c r="W566" s="197">
        <f t="shared" ref="W566:W598" si="833">MIN((G566+H566),2)</f>
        <v>2</v>
      </c>
      <c r="X566" s="197">
        <f t="shared" si="1"/>
        <v>1</v>
      </c>
      <c r="Y566" s="197">
        <f t="shared" ref="Y566:Y578" si="834">(MIN(G566,2)+H566-W566)*100</f>
        <v>0</v>
      </c>
      <c r="Z566" s="197">
        <f t="shared" ref="Z566:Z598" si="835">MIN((G566+H566),2)</f>
        <v>2</v>
      </c>
      <c r="AA566" s="199" t="b">
        <f t="shared" si="3"/>
        <v>0</v>
      </c>
      <c r="AB566" s="199" t="b">
        <f t="shared" si="4"/>
        <v>0</v>
      </c>
      <c r="AC566" s="200">
        <f t="shared" ref="AC566:AD566" si="836">1-I566</f>
        <v>0</v>
      </c>
      <c r="AD566" s="200">
        <f t="shared" si="836"/>
        <v>1</v>
      </c>
      <c r="AE566" s="199">
        <f t="shared" si="6"/>
        <v>2</v>
      </c>
      <c r="AF566" s="201">
        <f t="shared" ref="AF566:AF598" si="837">MIN((H566),2)</f>
        <v>0</v>
      </c>
      <c r="AG566" s="201">
        <f t="shared" si="8"/>
        <v>1</v>
      </c>
      <c r="AH566" s="202">
        <f t="shared" ref="AH566:AH578" si="838">(MIN(H566,2)+G566-W566)*20</f>
        <v>0</v>
      </c>
      <c r="AI566" s="466"/>
      <c r="AJ566" s="173"/>
      <c r="AK566" s="173"/>
      <c r="AL566" s="173"/>
      <c r="AM566" s="173"/>
      <c r="AN566" s="173"/>
      <c r="AO566" s="173"/>
      <c r="AP566" s="173"/>
      <c r="AQ566" s="173"/>
      <c r="AR566" s="173"/>
      <c r="AS566" s="173"/>
      <c r="AT566" s="173"/>
      <c r="AU566" s="173"/>
      <c r="AV566" s="173"/>
    </row>
    <row r="567" spans="1:48" ht="14.25">
      <c r="A567" s="209"/>
      <c r="B567" s="484">
        <v>1</v>
      </c>
      <c r="C567" s="485" t="s">
        <v>1280</v>
      </c>
      <c r="D567" s="486" t="s">
        <v>68</v>
      </c>
      <c r="E567" s="486" t="s">
        <v>84</v>
      </c>
      <c r="F567" s="486" t="s">
        <v>25</v>
      </c>
      <c r="G567" s="486">
        <f>IF(Setup!$N$13&gt;=VLOOKUP(C567,Reference!$N$36:$O$117,2,0),2,0)</f>
        <v>2</v>
      </c>
      <c r="H567" s="486">
        <v>0</v>
      </c>
      <c r="I567" s="487">
        <v>1</v>
      </c>
      <c r="J567" s="488"/>
      <c r="K567" s="486" t="s">
        <v>182</v>
      </c>
      <c r="L567" s="489"/>
      <c r="M567" s="486">
        <v>1</v>
      </c>
      <c r="N567" s="486">
        <v>1</v>
      </c>
      <c r="O567" s="489" t="s">
        <v>1281</v>
      </c>
      <c r="P567" s="490" t="s">
        <v>184</v>
      </c>
      <c r="Q567" s="486" t="s">
        <v>148</v>
      </c>
      <c r="R567" s="465"/>
      <c r="S567" s="289">
        <v>3</v>
      </c>
      <c r="T567" s="289">
        <v>8</v>
      </c>
      <c r="U567" s="289">
        <v>8</v>
      </c>
      <c r="V567" s="289">
        <v>3</v>
      </c>
      <c r="W567" s="197">
        <f t="shared" si="833"/>
        <v>2</v>
      </c>
      <c r="X567" s="197">
        <f t="shared" si="1"/>
        <v>1</v>
      </c>
      <c r="Y567" s="197">
        <f t="shared" si="834"/>
        <v>0</v>
      </c>
      <c r="Z567" s="197">
        <f t="shared" si="835"/>
        <v>2</v>
      </c>
      <c r="AA567" s="199" t="b">
        <f t="shared" si="3"/>
        <v>0</v>
      </c>
      <c r="AB567" s="199" t="b">
        <f t="shared" si="4"/>
        <v>0</v>
      </c>
      <c r="AC567" s="200">
        <f t="shared" ref="AC567:AD567" si="839">1-I567</f>
        <v>0</v>
      </c>
      <c r="AD567" s="200">
        <f t="shared" si="839"/>
        <v>1</v>
      </c>
      <c r="AE567" s="199">
        <f t="shared" si="6"/>
        <v>2</v>
      </c>
      <c r="AF567" s="201">
        <f t="shared" si="837"/>
        <v>0</v>
      </c>
      <c r="AG567" s="201">
        <f t="shared" si="8"/>
        <v>1</v>
      </c>
      <c r="AH567" s="202">
        <f t="shared" si="838"/>
        <v>0</v>
      </c>
      <c r="AI567" s="466"/>
      <c r="AJ567" s="173"/>
      <c r="AK567" s="173"/>
      <c r="AL567" s="173"/>
      <c r="AM567" s="173"/>
      <c r="AN567" s="173"/>
      <c r="AO567" s="173"/>
      <c r="AP567" s="173"/>
      <c r="AQ567" s="173"/>
      <c r="AR567" s="173"/>
      <c r="AS567" s="173"/>
      <c r="AT567" s="173"/>
      <c r="AU567" s="173"/>
      <c r="AV567" s="173"/>
    </row>
    <row r="568" spans="1:48" ht="14.25">
      <c r="A568" s="187"/>
      <c r="B568" s="484">
        <v>2</v>
      </c>
      <c r="C568" s="485" t="s">
        <v>1282</v>
      </c>
      <c r="D568" s="486" t="s">
        <v>68</v>
      </c>
      <c r="E568" s="486" t="s">
        <v>84</v>
      </c>
      <c r="F568" s="486" t="s">
        <v>11</v>
      </c>
      <c r="G568" s="486">
        <f>IF(Setup!$N$13&gt;=VLOOKUP(C568,Reference!$N$36:$O$117,2,0),2,0)</f>
        <v>2</v>
      </c>
      <c r="H568" s="486">
        <v>0</v>
      </c>
      <c r="I568" s="487">
        <v>1</v>
      </c>
      <c r="J568" s="488"/>
      <c r="K568" s="486" t="s">
        <v>146</v>
      </c>
      <c r="L568" s="489"/>
      <c r="M568" s="489"/>
      <c r="N568" s="489"/>
      <c r="O568" s="489" t="s">
        <v>1283</v>
      </c>
      <c r="P568" s="313"/>
      <c r="Q568" s="486" t="s">
        <v>148</v>
      </c>
      <c r="R568" s="465"/>
      <c r="S568" s="289">
        <v>3</v>
      </c>
      <c r="T568" s="289">
        <v>8</v>
      </c>
      <c r="U568" s="289">
        <v>2</v>
      </c>
      <c r="V568" s="289">
        <v>2</v>
      </c>
      <c r="W568" s="197">
        <f t="shared" si="833"/>
        <v>2</v>
      </c>
      <c r="X568" s="197">
        <f t="shared" si="1"/>
        <v>1</v>
      </c>
      <c r="Y568" s="197">
        <f t="shared" si="834"/>
        <v>0</v>
      </c>
      <c r="Z568" s="197">
        <f t="shared" si="835"/>
        <v>2</v>
      </c>
      <c r="AA568" s="199" t="b">
        <f t="shared" si="3"/>
        <v>0</v>
      </c>
      <c r="AB568" s="199" t="b">
        <f t="shared" si="4"/>
        <v>0</v>
      </c>
      <c r="AC568" s="200">
        <f t="shared" ref="AC568:AD568" si="840">1-I568</f>
        <v>0</v>
      </c>
      <c r="AD568" s="200">
        <f t="shared" si="840"/>
        <v>1</v>
      </c>
      <c r="AE568" s="199">
        <f t="shared" si="6"/>
        <v>2</v>
      </c>
      <c r="AF568" s="201">
        <f t="shared" si="837"/>
        <v>0</v>
      </c>
      <c r="AG568" s="201">
        <f t="shared" si="8"/>
        <v>1</v>
      </c>
      <c r="AH568" s="202">
        <f t="shared" si="838"/>
        <v>0</v>
      </c>
      <c r="AI568" s="466"/>
      <c r="AJ568" s="173"/>
      <c r="AK568" s="173"/>
      <c r="AL568" s="173"/>
      <c r="AM568" s="173"/>
      <c r="AN568" s="173"/>
      <c r="AO568" s="173"/>
      <c r="AP568" s="173"/>
      <c r="AQ568" s="173"/>
      <c r="AR568" s="173"/>
      <c r="AS568" s="173"/>
      <c r="AT568" s="173"/>
      <c r="AU568" s="173"/>
      <c r="AV568" s="173"/>
    </row>
    <row r="569" spans="1:48" ht="14.25">
      <c r="A569" s="187"/>
      <c r="B569" s="484">
        <v>3</v>
      </c>
      <c r="C569" s="485" t="s">
        <v>1284</v>
      </c>
      <c r="D569" s="486" t="s">
        <v>68</v>
      </c>
      <c r="E569" s="486" t="s">
        <v>84</v>
      </c>
      <c r="F569" s="486" t="s">
        <v>20</v>
      </c>
      <c r="G569" s="486">
        <f>IF(Setup!$N$13&gt;=VLOOKUP(C569,Reference!$N$36:$O$117,2,0),2,0)</f>
        <v>2</v>
      </c>
      <c r="H569" s="486">
        <v>0</v>
      </c>
      <c r="I569" s="487">
        <v>1</v>
      </c>
      <c r="J569" s="488"/>
      <c r="K569" s="486" t="s">
        <v>182</v>
      </c>
      <c r="L569" s="489"/>
      <c r="M569" s="486">
        <v>3</v>
      </c>
      <c r="N569" s="486">
        <v>4</v>
      </c>
      <c r="O569" s="489" t="s">
        <v>1285</v>
      </c>
      <c r="P569" s="490" t="s">
        <v>275</v>
      </c>
      <c r="Q569" s="486" t="s">
        <v>148</v>
      </c>
      <c r="R569" s="465"/>
      <c r="S569" s="289">
        <v>3</v>
      </c>
      <c r="T569" s="289">
        <v>8</v>
      </c>
      <c r="U569" s="289">
        <v>6</v>
      </c>
      <c r="V569" s="289">
        <v>3</v>
      </c>
      <c r="W569" s="197">
        <f t="shared" si="833"/>
        <v>2</v>
      </c>
      <c r="X569" s="197">
        <f t="shared" si="1"/>
        <v>1</v>
      </c>
      <c r="Y569" s="197">
        <f t="shared" si="834"/>
        <v>0</v>
      </c>
      <c r="Z569" s="197">
        <f t="shared" si="835"/>
        <v>2</v>
      </c>
      <c r="AA569" s="199" t="b">
        <f t="shared" si="3"/>
        <v>0</v>
      </c>
      <c r="AB569" s="199" t="b">
        <f t="shared" si="4"/>
        <v>0</v>
      </c>
      <c r="AC569" s="200">
        <f t="shared" ref="AC569:AD569" si="841">1-I569</f>
        <v>0</v>
      </c>
      <c r="AD569" s="200">
        <f t="shared" si="841"/>
        <v>1</v>
      </c>
      <c r="AE569" s="199">
        <f t="shared" si="6"/>
        <v>2</v>
      </c>
      <c r="AF569" s="201">
        <f t="shared" si="837"/>
        <v>0</v>
      </c>
      <c r="AG569" s="201">
        <f t="shared" si="8"/>
        <v>1</v>
      </c>
      <c r="AH569" s="202">
        <f t="shared" si="838"/>
        <v>0</v>
      </c>
      <c r="AI569" s="466"/>
      <c r="AJ569" s="173"/>
      <c r="AK569" s="173"/>
      <c r="AL569" s="173"/>
      <c r="AM569" s="173"/>
      <c r="AN569" s="173"/>
      <c r="AO569" s="173"/>
      <c r="AP569" s="173"/>
      <c r="AQ569" s="173"/>
      <c r="AR569" s="173"/>
      <c r="AS569" s="173"/>
      <c r="AT569" s="173"/>
      <c r="AU569" s="173"/>
      <c r="AV569" s="173"/>
    </row>
    <row r="570" spans="1:48" ht="14.25">
      <c r="A570" s="187"/>
      <c r="B570" s="484">
        <v>4</v>
      </c>
      <c r="C570" s="485" t="s">
        <v>1286</v>
      </c>
      <c r="D570" s="486" t="s">
        <v>68</v>
      </c>
      <c r="E570" s="486" t="s">
        <v>84</v>
      </c>
      <c r="F570" s="486" t="s">
        <v>115</v>
      </c>
      <c r="G570" s="486">
        <f>IF(Setup!$N$13&gt;=VLOOKUP(C570,Reference!$N$36:$O$117,2,0),2,0)</f>
        <v>2</v>
      </c>
      <c r="H570" s="486">
        <v>0</v>
      </c>
      <c r="I570" s="487">
        <v>1</v>
      </c>
      <c r="J570" s="488"/>
      <c r="K570" s="486" t="s">
        <v>182</v>
      </c>
      <c r="L570" s="489"/>
      <c r="M570" s="486">
        <v>7</v>
      </c>
      <c r="N570" s="486">
        <v>4</v>
      </c>
      <c r="O570" s="489" t="s">
        <v>1287</v>
      </c>
      <c r="P570" s="490" t="s">
        <v>275</v>
      </c>
      <c r="Q570" s="486" t="s">
        <v>148</v>
      </c>
      <c r="R570" s="465"/>
      <c r="S570" s="289">
        <v>3</v>
      </c>
      <c r="T570" s="289">
        <v>8</v>
      </c>
      <c r="U570" s="289">
        <v>10</v>
      </c>
      <c r="V570" s="289">
        <v>3</v>
      </c>
      <c r="W570" s="197">
        <f t="shared" si="833"/>
        <v>2</v>
      </c>
      <c r="X570" s="197">
        <f t="shared" si="1"/>
        <v>1</v>
      </c>
      <c r="Y570" s="197">
        <f t="shared" si="834"/>
        <v>0</v>
      </c>
      <c r="Z570" s="197">
        <f t="shared" si="835"/>
        <v>2</v>
      </c>
      <c r="AA570" s="199" t="b">
        <f t="shared" si="3"/>
        <v>0</v>
      </c>
      <c r="AB570" s="199" t="b">
        <f t="shared" si="4"/>
        <v>0</v>
      </c>
      <c r="AC570" s="200">
        <f t="shared" ref="AC570:AD570" si="842">1-I570</f>
        <v>0</v>
      </c>
      <c r="AD570" s="200">
        <f t="shared" si="842"/>
        <v>1</v>
      </c>
      <c r="AE570" s="199">
        <f t="shared" si="6"/>
        <v>2</v>
      </c>
      <c r="AF570" s="201">
        <f t="shared" si="837"/>
        <v>0</v>
      </c>
      <c r="AG570" s="201">
        <f t="shared" si="8"/>
        <v>1</v>
      </c>
      <c r="AH570" s="202">
        <f t="shared" si="838"/>
        <v>0</v>
      </c>
      <c r="AI570" s="466"/>
      <c r="AJ570" s="173"/>
      <c r="AK570" s="173"/>
      <c r="AL570" s="173"/>
      <c r="AM570" s="173"/>
      <c r="AN570" s="173"/>
      <c r="AO570" s="173"/>
      <c r="AP570" s="173"/>
      <c r="AQ570" s="173"/>
      <c r="AR570" s="173"/>
      <c r="AS570" s="173"/>
      <c r="AT570" s="173"/>
      <c r="AU570" s="173"/>
      <c r="AV570" s="173"/>
    </row>
    <row r="571" spans="1:48" ht="14.25">
      <c r="A571" s="206"/>
      <c r="B571" s="484">
        <v>4</v>
      </c>
      <c r="C571" s="485" t="s">
        <v>1288</v>
      </c>
      <c r="D571" s="486" t="s">
        <v>68</v>
      </c>
      <c r="E571" s="486" t="s">
        <v>84</v>
      </c>
      <c r="F571" s="486" t="s">
        <v>13</v>
      </c>
      <c r="G571" s="486">
        <f>IF(Setup!$N$13&gt;=VLOOKUP(C571,Reference!$N$36:$O$117,2,0),2,0)</f>
        <v>2</v>
      </c>
      <c r="H571" s="486">
        <v>0</v>
      </c>
      <c r="I571" s="487">
        <v>1</v>
      </c>
      <c r="J571" s="488"/>
      <c r="K571" s="486" t="s">
        <v>182</v>
      </c>
      <c r="L571" s="489"/>
      <c r="M571" s="486">
        <v>4</v>
      </c>
      <c r="N571" s="486">
        <v>4</v>
      </c>
      <c r="O571" s="489" t="s">
        <v>1289</v>
      </c>
      <c r="P571" s="490" t="s">
        <v>193</v>
      </c>
      <c r="Q571" s="486" t="s">
        <v>148</v>
      </c>
      <c r="R571" s="465"/>
      <c r="S571" s="289">
        <v>3</v>
      </c>
      <c r="T571" s="289">
        <v>8</v>
      </c>
      <c r="U571" s="289">
        <v>3</v>
      </c>
      <c r="V571" s="289">
        <v>3</v>
      </c>
      <c r="W571" s="197">
        <f t="shared" si="833"/>
        <v>2</v>
      </c>
      <c r="X571" s="197">
        <f t="shared" si="1"/>
        <v>1</v>
      </c>
      <c r="Y571" s="197">
        <f t="shared" si="834"/>
        <v>0</v>
      </c>
      <c r="Z571" s="197">
        <f t="shared" si="835"/>
        <v>2</v>
      </c>
      <c r="AA571" s="199" t="b">
        <f t="shared" si="3"/>
        <v>0</v>
      </c>
      <c r="AB571" s="199" t="b">
        <f t="shared" si="4"/>
        <v>0</v>
      </c>
      <c r="AC571" s="200">
        <f t="shared" ref="AC571:AD571" si="843">1-I571</f>
        <v>0</v>
      </c>
      <c r="AD571" s="200">
        <f t="shared" si="843"/>
        <v>1</v>
      </c>
      <c r="AE571" s="199">
        <f t="shared" si="6"/>
        <v>2</v>
      </c>
      <c r="AF571" s="201">
        <f t="shared" si="837"/>
        <v>0</v>
      </c>
      <c r="AG571" s="201">
        <f t="shared" si="8"/>
        <v>1</v>
      </c>
      <c r="AH571" s="202">
        <f t="shared" si="838"/>
        <v>0</v>
      </c>
      <c r="AI571" s="466"/>
      <c r="AJ571" s="173"/>
      <c r="AK571" s="173"/>
      <c r="AL571" s="173"/>
      <c r="AM571" s="173"/>
      <c r="AN571" s="173"/>
      <c r="AO571" s="173"/>
      <c r="AP571" s="173"/>
      <c r="AQ571" s="173"/>
      <c r="AR571" s="173"/>
      <c r="AS571" s="173"/>
      <c r="AT571" s="173"/>
      <c r="AU571" s="173"/>
      <c r="AV571" s="173"/>
    </row>
    <row r="572" spans="1:48" ht="14.25">
      <c r="A572" s="187"/>
      <c r="B572" s="484">
        <v>4</v>
      </c>
      <c r="C572" s="485" t="s">
        <v>1290</v>
      </c>
      <c r="D572" s="486" t="s">
        <v>68</v>
      </c>
      <c r="E572" s="486" t="s">
        <v>84</v>
      </c>
      <c r="F572" s="486" t="s">
        <v>115</v>
      </c>
      <c r="G572" s="486">
        <f>IF(Setup!$N$13&gt;=VLOOKUP(C572,Reference!$N$36:$O$117,2,0),2,0)</f>
        <v>2</v>
      </c>
      <c r="H572" s="486">
        <v>0</v>
      </c>
      <c r="I572" s="487">
        <v>1</v>
      </c>
      <c r="J572" s="488"/>
      <c r="K572" s="486" t="s">
        <v>182</v>
      </c>
      <c r="L572" s="489"/>
      <c r="M572" s="486">
        <v>7</v>
      </c>
      <c r="N572" s="486">
        <v>7</v>
      </c>
      <c r="O572" s="489" t="s">
        <v>1291</v>
      </c>
      <c r="P572" s="490" t="s">
        <v>792</v>
      </c>
      <c r="Q572" s="486" t="s">
        <v>148</v>
      </c>
      <c r="R572" s="465"/>
      <c r="S572" s="289">
        <v>3</v>
      </c>
      <c r="T572" s="289">
        <v>8</v>
      </c>
      <c r="U572" s="289">
        <v>10</v>
      </c>
      <c r="V572" s="289">
        <v>3</v>
      </c>
      <c r="W572" s="197">
        <f t="shared" si="833"/>
        <v>2</v>
      </c>
      <c r="X572" s="197">
        <f t="shared" si="1"/>
        <v>1</v>
      </c>
      <c r="Y572" s="197">
        <f t="shared" si="834"/>
        <v>0</v>
      </c>
      <c r="Z572" s="197">
        <f t="shared" si="835"/>
        <v>2</v>
      </c>
      <c r="AA572" s="199" t="b">
        <f t="shared" si="3"/>
        <v>0</v>
      </c>
      <c r="AB572" s="199" t="b">
        <f t="shared" si="4"/>
        <v>0</v>
      </c>
      <c r="AC572" s="200">
        <f t="shared" ref="AC572:AD572" si="844">1-I572</f>
        <v>0</v>
      </c>
      <c r="AD572" s="200">
        <f t="shared" si="844"/>
        <v>1</v>
      </c>
      <c r="AE572" s="199">
        <f t="shared" si="6"/>
        <v>2</v>
      </c>
      <c r="AF572" s="201">
        <f t="shared" si="837"/>
        <v>0</v>
      </c>
      <c r="AG572" s="201">
        <f t="shared" si="8"/>
        <v>1</v>
      </c>
      <c r="AH572" s="202">
        <f t="shared" si="838"/>
        <v>0</v>
      </c>
      <c r="AI572" s="466"/>
      <c r="AJ572" s="173"/>
      <c r="AK572" s="173"/>
      <c r="AL572" s="173"/>
      <c r="AM572" s="173"/>
      <c r="AN572" s="173"/>
      <c r="AO572" s="173"/>
      <c r="AP572" s="173"/>
      <c r="AQ572" s="173"/>
      <c r="AR572" s="173"/>
      <c r="AS572" s="173"/>
      <c r="AT572" s="173"/>
      <c r="AU572" s="173"/>
      <c r="AV572" s="173"/>
    </row>
    <row r="573" spans="1:48" ht="14.25">
      <c r="A573" s="209"/>
      <c r="B573" s="484">
        <v>4</v>
      </c>
      <c r="C573" s="485" t="s">
        <v>1292</v>
      </c>
      <c r="D573" s="486" t="s">
        <v>68</v>
      </c>
      <c r="E573" s="486" t="s">
        <v>84</v>
      </c>
      <c r="F573" s="486" t="s">
        <v>8</v>
      </c>
      <c r="G573" s="486">
        <f>IF(Setup!$N$13&gt;=VLOOKUP(C573,Reference!$N$36:$O$117,2,0),2,0)</f>
        <v>2</v>
      </c>
      <c r="H573" s="486">
        <v>0</v>
      </c>
      <c r="I573" s="487">
        <v>1</v>
      </c>
      <c r="J573" s="488"/>
      <c r="K573" s="486" t="s">
        <v>182</v>
      </c>
      <c r="L573" s="486" t="s">
        <v>230</v>
      </c>
      <c r="M573" s="486">
        <v>4</v>
      </c>
      <c r="N573" s="486">
        <v>4</v>
      </c>
      <c r="O573" s="489" t="s">
        <v>1293</v>
      </c>
      <c r="P573" s="490" t="s">
        <v>268</v>
      </c>
      <c r="Q573" s="486" t="s">
        <v>148</v>
      </c>
      <c r="R573" s="465"/>
      <c r="S573" s="289">
        <v>3</v>
      </c>
      <c r="T573" s="289">
        <v>8</v>
      </c>
      <c r="U573" s="289">
        <v>1</v>
      </c>
      <c r="V573" s="289">
        <v>3</v>
      </c>
      <c r="W573" s="197">
        <f t="shared" si="833"/>
        <v>2</v>
      </c>
      <c r="X573" s="197">
        <f t="shared" si="1"/>
        <v>1</v>
      </c>
      <c r="Y573" s="197">
        <f t="shared" si="834"/>
        <v>0</v>
      </c>
      <c r="Z573" s="197">
        <f t="shared" si="835"/>
        <v>2</v>
      </c>
      <c r="AA573" s="199" t="b">
        <f t="shared" si="3"/>
        <v>0</v>
      </c>
      <c r="AB573" s="199" t="b">
        <f t="shared" si="4"/>
        <v>0</v>
      </c>
      <c r="AC573" s="200">
        <f t="shared" ref="AC573:AD573" si="845">1-I573</f>
        <v>0</v>
      </c>
      <c r="AD573" s="200">
        <f t="shared" si="845"/>
        <v>1</v>
      </c>
      <c r="AE573" s="199">
        <f t="shared" si="6"/>
        <v>2</v>
      </c>
      <c r="AF573" s="201">
        <f t="shared" si="837"/>
        <v>0</v>
      </c>
      <c r="AG573" s="201">
        <f t="shared" si="8"/>
        <v>1</v>
      </c>
      <c r="AH573" s="202">
        <f t="shared" si="838"/>
        <v>0</v>
      </c>
      <c r="AI573" s="466"/>
      <c r="AJ573" s="173"/>
      <c r="AK573" s="173"/>
      <c r="AL573" s="173"/>
      <c r="AM573" s="173"/>
      <c r="AN573" s="173"/>
      <c r="AO573" s="173"/>
      <c r="AP573" s="173"/>
      <c r="AQ573" s="173"/>
      <c r="AR573" s="173"/>
      <c r="AS573" s="173"/>
      <c r="AT573" s="173"/>
      <c r="AU573" s="173"/>
      <c r="AV573" s="173"/>
    </row>
    <row r="574" spans="1:48" ht="14.25">
      <c r="A574" s="206"/>
      <c r="B574" s="484">
        <v>5</v>
      </c>
      <c r="C574" s="485" t="s">
        <v>1294</v>
      </c>
      <c r="D574" s="486" t="s">
        <v>68</v>
      </c>
      <c r="E574" s="486" t="s">
        <v>84</v>
      </c>
      <c r="F574" s="486" t="s">
        <v>18</v>
      </c>
      <c r="G574" s="486">
        <f>IF(Setup!$N$13&gt;=VLOOKUP(C574,Reference!$N$36:$O$117,2,0),2,0)</f>
        <v>2</v>
      </c>
      <c r="H574" s="486">
        <v>0</v>
      </c>
      <c r="I574" s="487">
        <v>1</v>
      </c>
      <c r="J574" s="488"/>
      <c r="K574" s="486" t="s">
        <v>146</v>
      </c>
      <c r="L574" s="489"/>
      <c r="M574" s="489"/>
      <c r="N574" s="489"/>
      <c r="O574" s="489" t="s">
        <v>1295</v>
      </c>
      <c r="P574" s="313"/>
      <c r="Q574" s="486" t="s">
        <v>148</v>
      </c>
      <c r="R574" s="465"/>
      <c r="S574" s="289">
        <v>3</v>
      </c>
      <c r="T574" s="289">
        <v>8</v>
      </c>
      <c r="U574" s="289">
        <v>5</v>
      </c>
      <c r="V574" s="289">
        <v>2</v>
      </c>
      <c r="W574" s="197">
        <f t="shared" si="833"/>
        <v>2</v>
      </c>
      <c r="X574" s="197">
        <f t="shared" si="1"/>
        <v>1</v>
      </c>
      <c r="Y574" s="197">
        <f t="shared" si="834"/>
        <v>0</v>
      </c>
      <c r="Z574" s="197">
        <f t="shared" si="835"/>
        <v>2</v>
      </c>
      <c r="AA574" s="199" t="b">
        <f t="shared" si="3"/>
        <v>0</v>
      </c>
      <c r="AB574" s="199" t="b">
        <f t="shared" si="4"/>
        <v>0</v>
      </c>
      <c r="AC574" s="200">
        <f t="shared" ref="AC574:AD574" si="846">1-I574</f>
        <v>0</v>
      </c>
      <c r="AD574" s="200">
        <f t="shared" si="846"/>
        <v>1</v>
      </c>
      <c r="AE574" s="199">
        <f t="shared" si="6"/>
        <v>2</v>
      </c>
      <c r="AF574" s="201">
        <f t="shared" si="837"/>
        <v>0</v>
      </c>
      <c r="AG574" s="201">
        <f t="shared" si="8"/>
        <v>1</v>
      </c>
      <c r="AH574" s="202">
        <f t="shared" si="838"/>
        <v>0</v>
      </c>
      <c r="AI574" s="466"/>
      <c r="AJ574" s="173"/>
      <c r="AK574" s="173"/>
      <c r="AL574" s="173"/>
      <c r="AM574" s="173"/>
      <c r="AN574" s="173"/>
      <c r="AO574" s="173"/>
      <c r="AP574" s="173"/>
      <c r="AQ574" s="173"/>
      <c r="AR574" s="173"/>
      <c r="AS574" s="173"/>
      <c r="AT574" s="173"/>
      <c r="AU574" s="173"/>
      <c r="AV574" s="173"/>
    </row>
    <row r="575" spans="1:48" ht="14.25">
      <c r="A575" s="187"/>
      <c r="B575" s="484">
        <v>5</v>
      </c>
      <c r="C575" s="485" t="s">
        <v>1296</v>
      </c>
      <c r="D575" s="486" t="s">
        <v>68</v>
      </c>
      <c r="E575" s="486" t="s">
        <v>84</v>
      </c>
      <c r="F575" s="486" t="s">
        <v>115</v>
      </c>
      <c r="G575" s="486">
        <f>IF(Setup!$N$13&gt;=VLOOKUP(C575,Reference!$N$36:$O$117,2,0),2,0)</f>
        <v>2</v>
      </c>
      <c r="H575" s="486">
        <v>0</v>
      </c>
      <c r="I575" s="487">
        <v>1</v>
      </c>
      <c r="J575" s="488"/>
      <c r="K575" s="486" t="s">
        <v>182</v>
      </c>
      <c r="L575" s="489"/>
      <c r="M575" s="486">
        <v>0</v>
      </c>
      <c r="N575" s="486">
        <v>6</v>
      </c>
      <c r="O575" s="489" t="s">
        <v>1297</v>
      </c>
      <c r="P575" s="313"/>
      <c r="Q575" s="486" t="s">
        <v>148</v>
      </c>
      <c r="R575" s="465"/>
      <c r="S575" s="289">
        <v>3</v>
      </c>
      <c r="T575" s="289">
        <v>8</v>
      </c>
      <c r="U575" s="289">
        <v>10</v>
      </c>
      <c r="V575" s="289">
        <v>3</v>
      </c>
      <c r="W575" s="197">
        <f t="shared" si="833"/>
        <v>2</v>
      </c>
      <c r="X575" s="197">
        <f t="shared" si="1"/>
        <v>1</v>
      </c>
      <c r="Y575" s="197">
        <f t="shared" si="834"/>
        <v>0</v>
      </c>
      <c r="Z575" s="197">
        <f t="shared" si="835"/>
        <v>2</v>
      </c>
      <c r="AA575" s="199" t="b">
        <f t="shared" si="3"/>
        <v>0</v>
      </c>
      <c r="AB575" s="199" t="b">
        <f t="shared" si="4"/>
        <v>0</v>
      </c>
      <c r="AC575" s="200">
        <f t="shared" ref="AC575:AD575" si="847">1-I575</f>
        <v>0</v>
      </c>
      <c r="AD575" s="200">
        <f t="shared" si="847"/>
        <v>1</v>
      </c>
      <c r="AE575" s="199">
        <f t="shared" si="6"/>
        <v>2</v>
      </c>
      <c r="AF575" s="201">
        <f t="shared" si="837"/>
        <v>0</v>
      </c>
      <c r="AG575" s="201">
        <f t="shared" si="8"/>
        <v>1</v>
      </c>
      <c r="AH575" s="202">
        <f t="shared" si="838"/>
        <v>0</v>
      </c>
      <c r="AI575" s="466"/>
      <c r="AJ575" s="173"/>
      <c r="AK575" s="173"/>
      <c r="AL575" s="173"/>
      <c r="AM575" s="173"/>
      <c r="AN575" s="173"/>
      <c r="AO575" s="173"/>
      <c r="AP575" s="173"/>
      <c r="AQ575" s="173"/>
      <c r="AR575" s="173"/>
      <c r="AS575" s="173"/>
      <c r="AT575" s="173"/>
      <c r="AU575" s="173"/>
      <c r="AV575" s="173"/>
    </row>
    <row r="576" spans="1:48" ht="14.25">
      <c r="A576" s="187"/>
      <c r="B576" s="484">
        <v>6</v>
      </c>
      <c r="C576" s="485" t="s">
        <v>1298</v>
      </c>
      <c r="D576" s="486" t="s">
        <v>68</v>
      </c>
      <c r="E576" s="486" t="s">
        <v>84</v>
      </c>
      <c r="F576" s="486" t="s">
        <v>115</v>
      </c>
      <c r="G576" s="486">
        <f>IF(Setup!$N$13&gt;=VLOOKUP(C576,Reference!$N$36:$O$117,2,0),2,0)</f>
        <v>2</v>
      </c>
      <c r="H576" s="486">
        <v>0</v>
      </c>
      <c r="I576" s="487">
        <v>1</v>
      </c>
      <c r="J576" s="488"/>
      <c r="K576" s="486" t="s">
        <v>182</v>
      </c>
      <c r="L576" s="489"/>
      <c r="M576" s="486">
        <v>2</v>
      </c>
      <c r="N576" s="486">
        <v>6</v>
      </c>
      <c r="O576" s="489" t="s">
        <v>1299</v>
      </c>
      <c r="P576" s="490" t="s">
        <v>454</v>
      </c>
      <c r="Q576" s="486" t="s">
        <v>148</v>
      </c>
      <c r="R576" s="465"/>
      <c r="S576" s="289">
        <v>3</v>
      </c>
      <c r="T576" s="289">
        <v>8</v>
      </c>
      <c r="U576" s="289">
        <v>10</v>
      </c>
      <c r="V576" s="289">
        <v>3</v>
      </c>
      <c r="W576" s="197">
        <f t="shared" si="833"/>
        <v>2</v>
      </c>
      <c r="X576" s="197">
        <f t="shared" si="1"/>
        <v>1</v>
      </c>
      <c r="Y576" s="197">
        <f t="shared" si="834"/>
        <v>0</v>
      </c>
      <c r="Z576" s="197">
        <f t="shared" si="835"/>
        <v>2</v>
      </c>
      <c r="AA576" s="199" t="b">
        <f t="shared" si="3"/>
        <v>0</v>
      </c>
      <c r="AB576" s="199" t="b">
        <f t="shared" si="4"/>
        <v>0</v>
      </c>
      <c r="AC576" s="200">
        <f t="shared" ref="AC576:AD576" si="848">1-I576</f>
        <v>0</v>
      </c>
      <c r="AD576" s="200">
        <f t="shared" si="848"/>
        <v>1</v>
      </c>
      <c r="AE576" s="199">
        <f t="shared" si="6"/>
        <v>2</v>
      </c>
      <c r="AF576" s="201">
        <f t="shared" si="837"/>
        <v>0</v>
      </c>
      <c r="AG576" s="201">
        <f t="shared" si="8"/>
        <v>1</v>
      </c>
      <c r="AH576" s="202">
        <f t="shared" si="838"/>
        <v>0</v>
      </c>
      <c r="AI576" s="466"/>
      <c r="AJ576" s="173"/>
      <c r="AK576" s="173"/>
      <c r="AL576" s="173"/>
      <c r="AM576" s="173"/>
      <c r="AN576" s="173"/>
      <c r="AO576" s="173"/>
      <c r="AP576" s="173"/>
      <c r="AQ576" s="173"/>
      <c r="AR576" s="173"/>
      <c r="AS576" s="173"/>
      <c r="AT576" s="173"/>
      <c r="AU576" s="173"/>
      <c r="AV576" s="173"/>
    </row>
    <row r="577" spans="1:48" ht="14.25">
      <c r="A577" s="187"/>
      <c r="B577" s="484">
        <v>7</v>
      </c>
      <c r="C577" s="485" t="s">
        <v>1300</v>
      </c>
      <c r="D577" s="486" t="s">
        <v>68</v>
      </c>
      <c r="E577" s="486" t="s">
        <v>84</v>
      </c>
      <c r="F577" s="486" t="s">
        <v>21</v>
      </c>
      <c r="G577" s="486">
        <f>IF(Setup!$N$13&gt;=VLOOKUP(C577,Reference!$N$36:$O$117,2,0),2,0)</f>
        <v>2</v>
      </c>
      <c r="H577" s="486">
        <v>0</v>
      </c>
      <c r="I577" s="487">
        <v>1</v>
      </c>
      <c r="J577" s="488"/>
      <c r="K577" s="486" t="s">
        <v>146</v>
      </c>
      <c r="L577" s="489"/>
      <c r="M577" s="489"/>
      <c r="N577" s="489"/>
      <c r="O577" s="489" t="s">
        <v>1301</v>
      </c>
      <c r="P577" s="313"/>
      <c r="Q577" s="486" t="s">
        <v>148</v>
      </c>
      <c r="R577" s="465"/>
      <c r="S577" s="289">
        <v>3</v>
      </c>
      <c r="T577" s="289">
        <v>8</v>
      </c>
      <c r="U577" s="289">
        <v>7</v>
      </c>
      <c r="V577" s="289">
        <v>2</v>
      </c>
      <c r="W577" s="197">
        <f t="shared" si="833"/>
        <v>2</v>
      </c>
      <c r="X577" s="197">
        <f t="shared" si="1"/>
        <v>1</v>
      </c>
      <c r="Y577" s="197">
        <f t="shared" si="834"/>
        <v>0</v>
      </c>
      <c r="Z577" s="197">
        <f t="shared" si="835"/>
        <v>2</v>
      </c>
      <c r="AA577" s="199" t="b">
        <f t="shared" si="3"/>
        <v>0</v>
      </c>
      <c r="AB577" s="199" t="b">
        <f t="shared" si="4"/>
        <v>0</v>
      </c>
      <c r="AC577" s="200">
        <f t="shared" ref="AC577:AD577" si="849">1-I577</f>
        <v>0</v>
      </c>
      <c r="AD577" s="200">
        <f t="shared" si="849"/>
        <v>1</v>
      </c>
      <c r="AE577" s="199">
        <f t="shared" si="6"/>
        <v>2</v>
      </c>
      <c r="AF577" s="201">
        <f t="shared" si="837"/>
        <v>0</v>
      </c>
      <c r="AG577" s="201">
        <f t="shared" si="8"/>
        <v>1</v>
      </c>
      <c r="AH577" s="202">
        <f t="shared" si="838"/>
        <v>0</v>
      </c>
      <c r="AI577" s="466"/>
      <c r="AJ577" s="173"/>
      <c r="AK577" s="173"/>
      <c r="AL577" s="173"/>
      <c r="AM577" s="173"/>
      <c r="AN577" s="173"/>
      <c r="AO577" s="173"/>
      <c r="AP577" s="173"/>
      <c r="AQ577" s="173"/>
      <c r="AR577" s="173"/>
      <c r="AS577" s="173"/>
      <c r="AT577" s="173"/>
      <c r="AU577" s="173"/>
      <c r="AV577" s="173"/>
    </row>
    <row r="578" spans="1:48" ht="14.25">
      <c r="A578" s="279"/>
      <c r="B578" s="484">
        <v>10</v>
      </c>
      <c r="C578" s="485" t="s">
        <v>1302</v>
      </c>
      <c r="D578" s="486" t="s">
        <v>68</v>
      </c>
      <c r="E578" s="486" t="s">
        <v>84</v>
      </c>
      <c r="F578" s="486" t="s">
        <v>16</v>
      </c>
      <c r="G578" s="486">
        <f>IF(Setup!$N$13&gt;=VLOOKUP(C578,Reference!$N$36:$O$117,2,0),2,0)</f>
        <v>2</v>
      </c>
      <c r="H578" s="486">
        <v>0</v>
      </c>
      <c r="I578" s="487">
        <v>1</v>
      </c>
      <c r="J578" s="488"/>
      <c r="K578" s="486" t="s">
        <v>146</v>
      </c>
      <c r="L578" s="489"/>
      <c r="M578" s="489"/>
      <c r="N578" s="489"/>
      <c r="O578" s="489" t="s">
        <v>1303</v>
      </c>
      <c r="P578" s="313"/>
      <c r="Q578" s="486" t="s">
        <v>148</v>
      </c>
      <c r="R578" s="465"/>
      <c r="S578" s="289">
        <v>3</v>
      </c>
      <c r="T578" s="289">
        <v>8</v>
      </c>
      <c r="U578" s="289">
        <v>4</v>
      </c>
      <c r="V578" s="289">
        <v>2</v>
      </c>
      <c r="W578" s="197">
        <f t="shared" si="833"/>
        <v>2</v>
      </c>
      <c r="X578" s="197">
        <f t="shared" si="1"/>
        <v>1</v>
      </c>
      <c r="Y578" s="197">
        <f t="shared" si="834"/>
        <v>0</v>
      </c>
      <c r="Z578" s="197">
        <f t="shared" si="835"/>
        <v>2</v>
      </c>
      <c r="AA578" s="199" t="b">
        <f t="shared" si="3"/>
        <v>0</v>
      </c>
      <c r="AB578" s="199" t="b">
        <f t="shared" si="4"/>
        <v>0</v>
      </c>
      <c r="AC578" s="200">
        <f t="shared" ref="AC578:AD578" si="850">1-I578</f>
        <v>0</v>
      </c>
      <c r="AD578" s="200">
        <f t="shared" si="850"/>
        <v>1</v>
      </c>
      <c r="AE578" s="199">
        <f t="shared" si="6"/>
        <v>2</v>
      </c>
      <c r="AF578" s="201">
        <f t="shared" si="837"/>
        <v>0</v>
      </c>
      <c r="AG578" s="201">
        <f t="shared" si="8"/>
        <v>1</v>
      </c>
      <c r="AH578" s="202">
        <f t="shared" si="838"/>
        <v>0</v>
      </c>
      <c r="AI578" s="466"/>
      <c r="AJ578" s="173"/>
      <c r="AK578" s="173"/>
      <c r="AL578" s="173"/>
      <c r="AM578" s="173"/>
      <c r="AN578" s="173"/>
      <c r="AO578" s="173"/>
      <c r="AP578" s="173"/>
      <c r="AQ578" s="173"/>
      <c r="AR578" s="173"/>
      <c r="AS578" s="173"/>
      <c r="AT578" s="173"/>
      <c r="AU578" s="173"/>
      <c r="AV578" s="173"/>
    </row>
    <row r="579" spans="1:48" ht="14.25">
      <c r="A579" s="209"/>
      <c r="B579" s="279">
        <v>1</v>
      </c>
      <c r="C579" s="491" t="s">
        <v>1304</v>
      </c>
      <c r="D579" s="492" t="s">
        <v>63</v>
      </c>
      <c r="E579" s="492" t="s">
        <v>79</v>
      </c>
      <c r="F579" s="492" t="s">
        <v>16</v>
      </c>
      <c r="G579" s="493">
        <f>IF(Setup!$N$9&gt;=VLOOKUP(C579,Reference!$N$41:$O$70,2,0),2,0)</f>
        <v>2</v>
      </c>
      <c r="H579" s="493">
        <v>0</v>
      </c>
      <c r="I579" s="494">
        <v>1</v>
      </c>
      <c r="J579" s="286"/>
      <c r="K579" s="493" t="s">
        <v>146</v>
      </c>
      <c r="L579" s="493" t="s">
        <v>508</v>
      </c>
      <c r="M579" s="493"/>
      <c r="N579" s="493"/>
      <c r="O579" s="495" t="s">
        <v>1305</v>
      </c>
      <c r="P579" s="289"/>
      <c r="Q579" s="492" t="s">
        <v>979</v>
      </c>
      <c r="R579" s="173"/>
      <c r="S579" s="195">
        <f>MATCH($D579,Reference!$J$5:$J$9,0)</f>
        <v>2</v>
      </c>
      <c r="T579" s="195">
        <f>MATCH($E579,Reference!$J$26:$J$32,0)</f>
        <v>4</v>
      </c>
      <c r="U579" s="195">
        <f>MATCH($F579,Reference!$J$45:$J$54,0)</f>
        <v>4</v>
      </c>
      <c r="V579" s="196">
        <f>MATCH($K579,Reference!$J$37:$J$39,0)</f>
        <v>2</v>
      </c>
      <c r="W579" s="197">
        <f t="shared" si="833"/>
        <v>2</v>
      </c>
      <c r="X579" s="197">
        <f t="shared" si="1"/>
        <v>1</v>
      </c>
      <c r="Y579" s="197">
        <f t="shared" ref="Y579:Y596" si="851">(MIN(G579,2)+H579-W579)*50</f>
        <v>0</v>
      </c>
      <c r="Z579" s="197">
        <f t="shared" si="835"/>
        <v>2</v>
      </c>
      <c r="AA579" s="199" t="b">
        <f t="shared" si="3"/>
        <v>0</v>
      </c>
      <c r="AB579" s="199" t="b">
        <f t="shared" si="4"/>
        <v>0</v>
      </c>
      <c r="AC579" s="200">
        <f t="shared" ref="AC579:AD579" si="852">1-I579</f>
        <v>0</v>
      </c>
      <c r="AD579" s="200">
        <f t="shared" si="852"/>
        <v>1</v>
      </c>
      <c r="AE579" s="199">
        <f t="shared" si="6"/>
        <v>2</v>
      </c>
      <c r="AF579" s="201">
        <f t="shared" si="837"/>
        <v>0</v>
      </c>
      <c r="AG579" s="201">
        <f t="shared" si="8"/>
        <v>1</v>
      </c>
      <c r="AH579" s="202">
        <f t="shared" ref="AH579:AH596" si="853">(MIN(H579,2)+G579-W579)*5</f>
        <v>0</v>
      </c>
      <c r="AI579" s="205"/>
      <c r="AJ579" s="173"/>
      <c r="AK579" s="173"/>
      <c r="AL579" s="173"/>
      <c r="AM579" s="173"/>
      <c r="AN579" s="173"/>
      <c r="AO579" s="173"/>
      <c r="AP579" s="173"/>
      <c r="AQ579" s="173"/>
      <c r="AR579" s="173"/>
      <c r="AS579" s="173"/>
      <c r="AT579" s="173"/>
      <c r="AU579" s="173"/>
      <c r="AV579" s="173"/>
    </row>
    <row r="580" spans="1:48" ht="14.25">
      <c r="A580" s="187"/>
      <c r="B580" s="279">
        <v>1</v>
      </c>
      <c r="C580" s="491" t="s">
        <v>1306</v>
      </c>
      <c r="D580" s="492" t="s">
        <v>63</v>
      </c>
      <c r="E580" s="492" t="s">
        <v>79</v>
      </c>
      <c r="F580" s="492" t="s">
        <v>115</v>
      </c>
      <c r="G580" s="493">
        <f>IF(Setup!$N$9&gt;=VLOOKUP(C580,Reference!$N$41:$O$70,2,0),2,0)</f>
        <v>2</v>
      </c>
      <c r="H580" s="493">
        <v>0</v>
      </c>
      <c r="I580" s="494">
        <v>1</v>
      </c>
      <c r="J580" s="286"/>
      <c r="K580" s="493" t="s">
        <v>182</v>
      </c>
      <c r="L580" s="493"/>
      <c r="M580" s="493">
        <v>1</v>
      </c>
      <c r="N580" s="493">
        <v>2</v>
      </c>
      <c r="O580" s="495" t="s">
        <v>1307</v>
      </c>
      <c r="P580" s="289"/>
      <c r="Q580" s="492" t="s">
        <v>979</v>
      </c>
      <c r="R580" s="173"/>
      <c r="S580" s="195">
        <f>MATCH($D580,Reference!$J$5:$J$9,0)</f>
        <v>2</v>
      </c>
      <c r="T580" s="195">
        <f>MATCH($E580,Reference!$J$26:$J$32,0)</f>
        <v>4</v>
      </c>
      <c r="U580" s="195">
        <f>MATCH($F580,Reference!$J$45:$J$54,0)</f>
        <v>10</v>
      </c>
      <c r="V580" s="196">
        <f>MATCH($K580,Reference!$J$37:$J$39,0)</f>
        <v>3</v>
      </c>
      <c r="W580" s="197">
        <f t="shared" si="833"/>
        <v>2</v>
      </c>
      <c r="X580" s="197">
        <f t="shared" si="1"/>
        <v>1</v>
      </c>
      <c r="Y580" s="197">
        <f t="shared" si="851"/>
        <v>0</v>
      </c>
      <c r="Z580" s="197">
        <f t="shared" si="835"/>
        <v>2</v>
      </c>
      <c r="AA580" s="199" t="b">
        <f t="shared" si="3"/>
        <v>0</v>
      </c>
      <c r="AB580" s="199" t="b">
        <f t="shared" si="4"/>
        <v>0</v>
      </c>
      <c r="AC580" s="200">
        <f t="shared" ref="AC580:AD580" si="854">1-I580</f>
        <v>0</v>
      </c>
      <c r="AD580" s="200">
        <f t="shared" si="854"/>
        <v>1</v>
      </c>
      <c r="AE580" s="199">
        <f t="shared" si="6"/>
        <v>2</v>
      </c>
      <c r="AF580" s="201">
        <f t="shared" si="837"/>
        <v>0</v>
      </c>
      <c r="AG580" s="201">
        <f t="shared" si="8"/>
        <v>1</v>
      </c>
      <c r="AH580" s="202">
        <f t="shared" si="853"/>
        <v>0</v>
      </c>
      <c r="AI580" s="205"/>
      <c r="AJ580" s="173"/>
      <c r="AK580" s="173"/>
      <c r="AL580" s="173"/>
      <c r="AM580" s="173"/>
      <c r="AN580" s="173"/>
      <c r="AO580" s="173"/>
      <c r="AP580" s="173"/>
      <c r="AQ580" s="173"/>
      <c r="AR580" s="173"/>
      <c r="AS580" s="173"/>
      <c r="AT580" s="173"/>
      <c r="AU580" s="173"/>
      <c r="AV580" s="173"/>
    </row>
    <row r="581" spans="1:48" ht="14.25">
      <c r="A581" s="206"/>
      <c r="B581" s="279">
        <v>1</v>
      </c>
      <c r="C581" s="491" t="s">
        <v>1308</v>
      </c>
      <c r="D581" s="492" t="s">
        <v>63</v>
      </c>
      <c r="E581" s="492" t="s">
        <v>79</v>
      </c>
      <c r="F581" s="492" t="s">
        <v>11</v>
      </c>
      <c r="G581" s="493">
        <f>IF(Setup!$N$9&gt;=VLOOKUP(C581,Reference!$N$41:$O$70,2,0),2,0)</f>
        <v>2</v>
      </c>
      <c r="H581" s="493">
        <v>0</v>
      </c>
      <c r="I581" s="494">
        <v>1</v>
      </c>
      <c r="J581" s="286"/>
      <c r="K581" s="493" t="s">
        <v>182</v>
      </c>
      <c r="L581" s="493" t="s">
        <v>230</v>
      </c>
      <c r="M581" s="493">
        <v>1</v>
      </c>
      <c r="N581" s="493">
        <v>1</v>
      </c>
      <c r="O581" s="495" t="s">
        <v>1309</v>
      </c>
      <c r="P581" s="496" t="s">
        <v>454</v>
      </c>
      <c r="Q581" s="492" t="s">
        <v>979</v>
      </c>
      <c r="R581" s="173"/>
      <c r="S581" s="195">
        <f>MATCH($D581,Reference!$J$5:$J$9,0)</f>
        <v>2</v>
      </c>
      <c r="T581" s="195">
        <f>MATCH($E581,Reference!$J$26:$J$32,0)</f>
        <v>4</v>
      </c>
      <c r="U581" s="195">
        <f>MATCH($F581,Reference!$J$45:$J$54,0)</f>
        <v>2</v>
      </c>
      <c r="V581" s="196">
        <f>MATCH($K581,Reference!$J$37:$J$39,0)</f>
        <v>3</v>
      </c>
      <c r="W581" s="197">
        <f t="shared" si="833"/>
        <v>2</v>
      </c>
      <c r="X581" s="197">
        <f t="shared" si="1"/>
        <v>1</v>
      </c>
      <c r="Y581" s="197">
        <f t="shared" si="851"/>
        <v>0</v>
      </c>
      <c r="Z581" s="197">
        <f t="shared" si="835"/>
        <v>2</v>
      </c>
      <c r="AA581" s="199" t="b">
        <f t="shared" si="3"/>
        <v>0</v>
      </c>
      <c r="AB581" s="199" t="b">
        <f t="shared" si="4"/>
        <v>0</v>
      </c>
      <c r="AC581" s="200">
        <f t="shared" ref="AC581:AD581" si="855">1-I581</f>
        <v>0</v>
      </c>
      <c r="AD581" s="200">
        <f t="shared" si="855"/>
        <v>1</v>
      </c>
      <c r="AE581" s="199">
        <f t="shared" si="6"/>
        <v>2</v>
      </c>
      <c r="AF581" s="201">
        <f t="shared" si="837"/>
        <v>0</v>
      </c>
      <c r="AG581" s="201">
        <f t="shared" si="8"/>
        <v>1</v>
      </c>
      <c r="AH581" s="202">
        <f t="shared" si="853"/>
        <v>0</v>
      </c>
      <c r="AI581" s="205"/>
      <c r="AJ581" s="173"/>
      <c r="AK581" s="173"/>
      <c r="AL581" s="173"/>
      <c r="AM581" s="173"/>
      <c r="AN581" s="173"/>
      <c r="AO581" s="173"/>
      <c r="AP581" s="173"/>
      <c r="AQ581" s="173"/>
      <c r="AR581" s="173"/>
      <c r="AS581" s="173"/>
      <c r="AT581" s="173"/>
      <c r="AU581" s="173"/>
      <c r="AV581" s="173"/>
    </row>
    <row r="582" spans="1:48" ht="14.25">
      <c r="A582" s="206"/>
      <c r="B582" s="279">
        <v>1</v>
      </c>
      <c r="C582" s="491" t="s">
        <v>1310</v>
      </c>
      <c r="D582" s="492" t="s">
        <v>63</v>
      </c>
      <c r="E582" s="492" t="s">
        <v>79</v>
      </c>
      <c r="F582" s="492" t="s">
        <v>115</v>
      </c>
      <c r="G582" s="493">
        <f>IF(Setup!$N$9&gt;=VLOOKUP(C582,Reference!$N$41:$O$70,2,0),2,0)</f>
        <v>2</v>
      </c>
      <c r="H582" s="493">
        <v>0</v>
      </c>
      <c r="I582" s="494">
        <v>1</v>
      </c>
      <c r="J582" s="286"/>
      <c r="K582" s="493" t="s">
        <v>182</v>
      </c>
      <c r="L582" s="493"/>
      <c r="M582" s="493">
        <v>2</v>
      </c>
      <c r="N582" s="493">
        <v>3</v>
      </c>
      <c r="O582" s="495" t="s">
        <v>1311</v>
      </c>
      <c r="P582" s="496" t="s">
        <v>454</v>
      </c>
      <c r="Q582" s="492" t="s">
        <v>979</v>
      </c>
      <c r="R582" s="173"/>
      <c r="S582" s="195">
        <f>MATCH($D582,Reference!$J$5:$J$9,0)</f>
        <v>2</v>
      </c>
      <c r="T582" s="195">
        <f>MATCH($E582,Reference!$J$26:$J$32,0)</f>
        <v>4</v>
      </c>
      <c r="U582" s="195">
        <f>MATCH($F582,Reference!$J$45:$J$54,0)</f>
        <v>10</v>
      </c>
      <c r="V582" s="196">
        <f>MATCH($K582,Reference!$J$37:$J$39,0)</f>
        <v>3</v>
      </c>
      <c r="W582" s="197">
        <f t="shared" si="833"/>
        <v>2</v>
      </c>
      <c r="X582" s="197">
        <f t="shared" si="1"/>
        <v>1</v>
      </c>
      <c r="Y582" s="197">
        <f t="shared" si="851"/>
        <v>0</v>
      </c>
      <c r="Z582" s="197">
        <f t="shared" si="835"/>
        <v>2</v>
      </c>
      <c r="AA582" s="199" t="b">
        <f t="shared" si="3"/>
        <v>0</v>
      </c>
      <c r="AB582" s="199" t="b">
        <f t="shared" si="4"/>
        <v>0</v>
      </c>
      <c r="AC582" s="200">
        <f t="shared" ref="AC582:AD582" si="856">1-I582</f>
        <v>0</v>
      </c>
      <c r="AD582" s="200">
        <f t="shared" si="856"/>
        <v>1</v>
      </c>
      <c r="AE582" s="199">
        <f t="shared" si="6"/>
        <v>2</v>
      </c>
      <c r="AF582" s="201">
        <f t="shared" si="837"/>
        <v>0</v>
      </c>
      <c r="AG582" s="201">
        <f t="shared" si="8"/>
        <v>1</v>
      </c>
      <c r="AH582" s="202">
        <f t="shared" si="853"/>
        <v>0</v>
      </c>
      <c r="AI582" s="205"/>
      <c r="AJ582" s="173"/>
      <c r="AK582" s="173"/>
      <c r="AL582" s="173"/>
      <c r="AM582" s="173"/>
      <c r="AN582" s="173"/>
      <c r="AO582" s="173"/>
      <c r="AP582" s="173"/>
      <c r="AQ582" s="173"/>
      <c r="AR582" s="173"/>
      <c r="AS582" s="173"/>
      <c r="AT582" s="173"/>
      <c r="AU582" s="173"/>
      <c r="AV582" s="173"/>
    </row>
    <row r="583" spans="1:48" ht="14.25">
      <c r="A583" s="211"/>
      <c r="B583" s="279">
        <v>2</v>
      </c>
      <c r="C583" s="491" t="s">
        <v>1312</v>
      </c>
      <c r="D583" s="492" t="s">
        <v>63</v>
      </c>
      <c r="E583" s="492" t="s">
        <v>79</v>
      </c>
      <c r="F583" s="492" t="s">
        <v>115</v>
      </c>
      <c r="G583" s="493">
        <f>IF(Setup!$N$9&gt;=VLOOKUP(C583,Reference!$N$41:$O$70,2,0),2,0)</f>
        <v>2</v>
      </c>
      <c r="H583" s="493">
        <v>0</v>
      </c>
      <c r="I583" s="494">
        <v>1</v>
      </c>
      <c r="J583" s="286"/>
      <c r="K583" s="493" t="s">
        <v>182</v>
      </c>
      <c r="L583" s="493" t="s">
        <v>230</v>
      </c>
      <c r="M583" s="493">
        <v>1</v>
      </c>
      <c r="N583" s="493">
        <v>2</v>
      </c>
      <c r="O583" s="495" t="s">
        <v>1313</v>
      </c>
      <c r="P583" s="496" t="s">
        <v>454</v>
      </c>
      <c r="Q583" s="492" t="s">
        <v>979</v>
      </c>
      <c r="R583" s="173"/>
      <c r="S583" s="195">
        <f>MATCH($D583,Reference!$J$5:$J$9,0)</f>
        <v>2</v>
      </c>
      <c r="T583" s="195">
        <f>MATCH($E583,Reference!$J$26:$J$32,0)</f>
        <v>4</v>
      </c>
      <c r="U583" s="195">
        <f>MATCH($F583,Reference!$J$45:$J$54,0)</f>
        <v>10</v>
      </c>
      <c r="V583" s="196">
        <f>MATCH($K583,Reference!$J$37:$J$39,0)</f>
        <v>3</v>
      </c>
      <c r="W583" s="197">
        <f t="shared" si="833"/>
        <v>2</v>
      </c>
      <c r="X583" s="197">
        <f t="shared" si="1"/>
        <v>1</v>
      </c>
      <c r="Y583" s="197">
        <f t="shared" si="851"/>
        <v>0</v>
      </c>
      <c r="Z583" s="197">
        <f t="shared" si="835"/>
        <v>2</v>
      </c>
      <c r="AA583" s="199" t="b">
        <f t="shared" si="3"/>
        <v>0</v>
      </c>
      <c r="AB583" s="199" t="b">
        <f t="shared" si="4"/>
        <v>0</v>
      </c>
      <c r="AC583" s="200">
        <f t="shared" ref="AC583:AD583" si="857">1-I583</f>
        <v>0</v>
      </c>
      <c r="AD583" s="200">
        <f t="shared" si="857"/>
        <v>1</v>
      </c>
      <c r="AE583" s="199">
        <f t="shared" si="6"/>
        <v>2</v>
      </c>
      <c r="AF583" s="201">
        <f t="shared" si="837"/>
        <v>0</v>
      </c>
      <c r="AG583" s="201">
        <f t="shared" si="8"/>
        <v>1</v>
      </c>
      <c r="AH583" s="202">
        <f t="shared" si="853"/>
        <v>0</v>
      </c>
      <c r="AI583" s="205"/>
      <c r="AJ583" s="173"/>
      <c r="AK583" s="173"/>
      <c r="AL583" s="173"/>
      <c r="AM583" s="173"/>
      <c r="AN583" s="173"/>
      <c r="AO583" s="173"/>
      <c r="AP583" s="173"/>
      <c r="AQ583" s="173"/>
      <c r="AR583" s="173"/>
      <c r="AS583" s="173"/>
      <c r="AT583" s="173"/>
      <c r="AU583" s="173"/>
      <c r="AV583" s="173"/>
    </row>
    <row r="584" spans="1:48" ht="14.25">
      <c r="A584" s="209"/>
      <c r="B584" s="279">
        <v>2</v>
      </c>
      <c r="C584" s="491" t="s">
        <v>1314</v>
      </c>
      <c r="D584" s="492" t="s">
        <v>63</v>
      </c>
      <c r="E584" s="492" t="s">
        <v>79</v>
      </c>
      <c r="F584" s="492" t="s">
        <v>115</v>
      </c>
      <c r="G584" s="493">
        <f>IF(Setup!$N$9&gt;=VLOOKUP(C584,Reference!$N$41:$O$70,2,0),2,0)</f>
        <v>2</v>
      </c>
      <c r="H584" s="493">
        <v>0</v>
      </c>
      <c r="I584" s="494">
        <v>1</v>
      </c>
      <c r="J584" s="286"/>
      <c r="K584" s="492" t="s">
        <v>182</v>
      </c>
      <c r="L584" s="492"/>
      <c r="M584" s="497">
        <v>3</v>
      </c>
      <c r="N584" s="498">
        <v>2</v>
      </c>
      <c r="O584" s="495" t="s">
        <v>574</v>
      </c>
      <c r="P584" s="496" t="s">
        <v>184</v>
      </c>
      <c r="Q584" s="492" t="s">
        <v>979</v>
      </c>
      <c r="R584" s="34"/>
      <c r="S584" s="195">
        <f>MATCH($D584,Reference!$J$5:$J$9,0)</f>
        <v>2</v>
      </c>
      <c r="T584" s="195">
        <f>MATCH($E584,Reference!$J$26:$J$32,0)</f>
        <v>4</v>
      </c>
      <c r="U584" s="195">
        <f>MATCH($F584,Reference!$J$45:$J$54,0)</f>
        <v>10</v>
      </c>
      <c r="V584" s="196">
        <f>MATCH($K584,Reference!$J$37:$J$39,0)</f>
        <v>3</v>
      </c>
      <c r="W584" s="197">
        <f t="shared" si="833"/>
        <v>2</v>
      </c>
      <c r="X584" s="197">
        <f t="shared" si="1"/>
        <v>1</v>
      </c>
      <c r="Y584" s="197">
        <f t="shared" si="851"/>
        <v>0</v>
      </c>
      <c r="Z584" s="197">
        <f t="shared" si="835"/>
        <v>2</v>
      </c>
      <c r="AA584" s="199" t="b">
        <f t="shared" si="3"/>
        <v>0</v>
      </c>
      <c r="AB584" s="199" t="b">
        <f t="shared" si="4"/>
        <v>0</v>
      </c>
      <c r="AC584" s="200">
        <f t="shared" ref="AC584:AD584" si="858">1-I584</f>
        <v>0</v>
      </c>
      <c r="AD584" s="200">
        <f t="shared" si="858"/>
        <v>1</v>
      </c>
      <c r="AE584" s="199">
        <f t="shared" si="6"/>
        <v>2</v>
      </c>
      <c r="AF584" s="201">
        <f t="shared" si="837"/>
        <v>0</v>
      </c>
      <c r="AG584" s="201">
        <f t="shared" si="8"/>
        <v>1</v>
      </c>
      <c r="AH584" s="202">
        <f t="shared" si="853"/>
        <v>0</v>
      </c>
      <c r="AI584" s="205"/>
      <c r="AJ584" s="173"/>
      <c r="AK584" s="173"/>
      <c r="AL584" s="173"/>
      <c r="AM584" s="173"/>
      <c r="AN584" s="173"/>
      <c r="AO584" s="173"/>
      <c r="AP584" s="173"/>
      <c r="AQ584" s="173"/>
      <c r="AR584" s="173"/>
      <c r="AS584" s="173"/>
      <c r="AT584" s="173"/>
      <c r="AU584" s="173"/>
      <c r="AV584" s="173"/>
    </row>
    <row r="585" spans="1:48" ht="14.25">
      <c r="A585" s="206"/>
      <c r="B585" s="279">
        <v>2</v>
      </c>
      <c r="C585" s="491" t="s">
        <v>1315</v>
      </c>
      <c r="D585" s="492" t="s">
        <v>63</v>
      </c>
      <c r="E585" s="492" t="s">
        <v>79</v>
      </c>
      <c r="F585" s="492" t="s">
        <v>115</v>
      </c>
      <c r="G585" s="493">
        <f>IF(Setup!$N$9&gt;=VLOOKUP(C585,Reference!$N$41:$O$70,2,0),2,0)</f>
        <v>2</v>
      </c>
      <c r="H585" s="493">
        <v>0</v>
      </c>
      <c r="I585" s="494">
        <v>1</v>
      </c>
      <c r="J585" s="286"/>
      <c r="K585" s="492" t="s">
        <v>182</v>
      </c>
      <c r="L585" s="492"/>
      <c r="M585" s="497">
        <v>1</v>
      </c>
      <c r="N585" s="498">
        <v>4</v>
      </c>
      <c r="O585" s="495" t="s">
        <v>1316</v>
      </c>
      <c r="P585" s="496" t="s">
        <v>235</v>
      </c>
      <c r="Q585" s="492" t="s">
        <v>979</v>
      </c>
      <c r="R585" s="173"/>
      <c r="S585" s="195">
        <f>MATCH($D585,Reference!$J$5:$J$9,0)</f>
        <v>2</v>
      </c>
      <c r="T585" s="195">
        <f>MATCH($E585,Reference!$J$26:$J$32,0)</f>
        <v>4</v>
      </c>
      <c r="U585" s="195">
        <f>MATCH($F585,Reference!$J$45:$J$54,0)</f>
        <v>10</v>
      </c>
      <c r="V585" s="196">
        <f>MATCH($K585,Reference!$J$37:$J$39,0)</f>
        <v>3</v>
      </c>
      <c r="W585" s="197">
        <f t="shared" si="833"/>
        <v>2</v>
      </c>
      <c r="X585" s="197">
        <f t="shared" si="1"/>
        <v>1</v>
      </c>
      <c r="Y585" s="197">
        <f t="shared" si="851"/>
        <v>0</v>
      </c>
      <c r="Z585" s="197">
        <f t="shared" si="835"/>
        <v>2</v>
      </c>
      <c r="AA585" s="199" t="b">
        <f t="shared" si="3"/>
        <v>0</v>
      </c>
      <c r="AB585" s="199" t="b">
        <f t="shared" si="4"/>
        <v>0</v>
      </c>
      <c r="AC585" s="200">
        <f t="shared" ref="AC585:AD585" si="859">1-I585</f>
        <v>0</v>
      </c>
      <c r="AD585" s="200">
        <f t="shared" si="859"/>
        <v>1</v>
      </c>
      <c r="AE585" s="199">
        <f t="shared" si="6"/>
        <v>2</v>
      </c>
      <c r="AF585" s="201">
        <f t="shared" si="837"/>
        <v>0</v>
      </c>
      <c r="AG585" s="201">
        <f t="shared" si="8"/>
        <v>1</v>
      </c>
      <c r="AH585" s="202">
        <f t="shared" si="853"/>
        <v>0</v>
      </c>
      <c r="AI585" s="205"/>
      <c r="AJ585" s="173"/>
      <c r="AK585" s="173"/>
      <c r="AL585" s="173"/>
      <c r="AM585" s="173"/>
      <c r="AN585" s="173"/>
      <c r="AO585" s="173"/>
      <c r="AP585" s="173"/>
      <c r="AQ585" s="173"/>
      <c r="AR585" s="173"/>
      <c r="AS585" s="173"/>
      <c r="AT585" s="173"/>
      <c r="AU585" s="173"/>
      <c r="AV585" s="173"/>
    </row>
    <row r="586" spans="1:48" ht="14.25">
      <c r="A586" s="206"/>
      <c r="B586" s="370">
        <v>2</v>
      </c>
      <c r="C586" s="499" t="s">
        <v>1317</v>
      </c>
      <c r="D586" s="500" t="s">
        <v>63</v>
      </c>
      <c r="E586" s="500" t="s">
        <v>79</v>
      </c>
      <c r="F586" s="500" t="s">
        <v>21</v>
      </c>
      <c r="G586" s="501">
        <f>IF(Setup!$N$9&gt;=VLOOKUP(C586,Reference!$N$41:$O$70,2,0),2,0)</f>
        <v>2</v>
      </c>
      <c r="H586" s="501">
        <v>0</v>
      </c>
      <c r="I586" s="494">
        <v>1</v>
      </c>
      <c r="J586" s="286"/>
      <c r="K586" s="501" t="s">
        <v>146</v>
      </c>
      <c r="L586" s="501"/>
      <c r="M586" s="501"/>
      <c r="N586" s="501"/>
      <c r="O586" s="502" t="s">
        <v>1318</v>
      </c>
      <c r="P586" s="292"/>
      <c r="Q586" s="500" t="s">
        <v>979</v>
      </c>
      <c r="R586" s="173"/>
      <c r="S586" s="195">
        <f>MATCH($D586,Reference!$J$5:$J$9,0)</f>
        <v>2</v>
      </c>
      <c r="T586" s="195">
        <f>MATCH($E586,Reference!$J$26:$J$32,0)</f>
        <v>4</v>
      </c>
      <c r="U586" s="195">
        <f>MATCH($F586,Reference!$J$45:$J$54,0)</f>
        <v>7</v>
      </c>
      <c r="V586" s="196">
        <f>MATCH($K586,Reference!$J$37:$J$39,0)</f>
        <v>2</v>
      </c>
      <c r="W586" s="197">
        <f t="shared" si="833"/>
        <v>2</v>
      </c>
      <c r="X586" s="197">
        <f t="shared" si="1"/>
        <v>1</v>
      </c>
      <c r="Y586" s="197">
        <f t="shared" si="851"/>
        <v>0</v>
      </c>
      <c r="Z586" s="197">
        <f t="shared" si="835"/>
        <v>2</v>
      </c>
      <c r="AA586" s="199" t="b">
        <f t="shared" si="3"/>
        <v>0</v>
      </c>
      <c r="AB586" s="199" t="b">
        <f t="shared" si="4"/>
        <v>0</v>
      </c>
      <c r="AC586" s="200">
        <f t="shared" ref="AC586:AD586" si="860">1-I586</f>
        <v>0</v>
      </c>
      <c r="AD586" s="200">
        <f t="shared" si="860"/>
        <v>1</v>
      </c>
      <c r="AE586" s="199">
        <f t="shared" si="6"/>
        <v>2</v>
      </c>
      <c r="AF586" s="201">
        <f t="shared" si="837"/>
        <v>0</v>
      </c>
      <c r="AG586" s="201">
        <f t="shared" si="8"/>
        <v>1</v>
      </c>
      <c r="AH586" s="202">
        <f t="shared" si="853"/>
        <v>0</v>
      </c>
      <c r="AI586" s="205"/>
      <c r="AJ586" s="173"/>
      <c r="AK586" s="173"/>
      <c r="AL586" s="173"/>
      <c r="AM586" s="173"/>
      <c r="AN586" s="173"/>
      <c r="AO586" s="173"/>
      <c r="AP586" s="173"/>
      <c r="AQ586" s="173"/>
      <c r="AR586" s="173"/>
      <c r="AS586" s="173"/>
      <c r="AT586" s="173"/>
      <c r="AU586" s="173"/>
      <c r="AV586" s="173"/>
    </row>
    <row r="587" spans="1:48" ht="14.25">
      <c r="A587" s="209"/>
      <c r="B587" s="279">
        <v>2</v>
      </c>
      <c r="C587" s="491" t="s">
        <v>1319</v>
      </c>
      <c r="D587" s="492" t="s">
        <v>63</v>
      </c>
      <c r="E587" s="492" t="s">
        <v>79</v>
      </c>
      <c r="F587" s="492" t="s">
        <v>115</v>
      </c>
      <c r="G587" s="493">
        <f>IF(Setup!$N$9&gt;=VLOOKUP(C587,Reference!$N$41:$O$70,2,0),2,0)</f>
        <v>2</v>
      </c>
      <c r="H587" s="493">
        <v>0</v>
      </c>
      <c r="I587" s="494">
        <v>1</v>
      </c>
      <c r="J587" s="286"/>
      <c r="K587" s="493" t="s">
        <v>182</v>
      </c>
      <c r="L587" s="493"/>
      <c r="M587" s="493">
        <v>1</v>
      </c>
      <c r="N587" s="493">
        <v>3</v>
      </c>
      <c r="O587" s="495" t="s">
        <v>1320</v>
      </c>
      <c r="P587" s="503" t="s">
        <v>945</v>
      </c>
      <c r="Q587" s="492" t="s">
        <v>979</v>
      </c>
      <c r="R587" s="173"/>
      <c r="S587" s="195">
        <f>MATCH($D587,Reference!$J$5:$J$9,0)</f>
        <v>2</v>
      </c>
      <c r="T587" s="195">
        <f>MATCH($E587,Reference!$J$26:$J$32,0)</f>
        <v>4</v>
      </c>
      <c r="U587" s="195">
        <f>MATCH($F587,Reference!$J$45:$J$54,0)</f>
        <v>10</v>
      </c>
      <c r="V587" s="196">
        <f>MATCH($K587,Reference!$J$37:$J$39,0)</f>
        <v>3</v>
      </c>
      <c r="W587" s="197">
        <f t="shared" si="833"/>
        <v>2</v>
      </c>
      <c r="X587" s="197">
        <f t="shared" si="1"/>
        <v>1</v>
      </c>
      <c r="Y587" s="197">
        <f t="shared" si="851"/>
        <v>0</v>
      </c>
      <c r="Z587" s="197">
        <f t="shared" si="835"/>
        <v>2</v>
      </c>
      <c r="AA587" s="199" t="b">
        <f t="shared" si="3"/>
        <v>0</v>
      </c>
      <c r="AB587" s="199" t="b">
        <f t="shared" si="4"/>
        <v>0</v>
      </c>
      <c r="AC587" s="200">
        <f t="shared" ref="AC587:AD587" si="861">1-I587</f>
        <v>0</v>
      </c>
      <c r="AD587" s="200">
        <f t="shared" si="861"/>
        <v>1</v>
      </c>
      <c r="AE587" s="199">
        <f t="shared" si="6"/>
        <v>2</v>
      </c>
      <c r="AF587" s="201">
        <f t="shared" si="837"/>
        <v>0</v>
      </c>
      <c r="AG587" s="201">
        <f t="shared" si="8"/>
        <v>1</v>
      </c>
      <c r="AH587" s="202">
        <f t="shared" si="853"/>
        <v>0</v>
      </c>
      <c r="AI587" s="205"/>
      <c r="AJ587" s="173"/>
      <c r="AK587" s="173"/>
      <c r="AL587" s="173"/>
      <c r="AM587" s="173"/>
      <c r="AN587" s="173"/>
      <c r="AO587" s="173"/>
      <c r="AP587" s="173"/>
      <c r="AQ587" s="173"/>
      <c r="AR587" s="173"/>
      <c r="AS587" s="173"/>
      <c r="AT587" s="173"/>
      <c r="AU587" s="173"/>
      <c r="AV587" s="173"/>
    </row>
    <row r="588" spans="1:48" ht="14.25">
      <c r="A588" s="279"/>
      <c r="B588" s="279">
        <v>3</v>
      </c>
      <c r="C588" s="491" t="s">
        <v>1321</v>
      </c>
      <c r="D588" s="492" t="s">
        <v>63</v>
      </c>
      <c r="E588" s="492" t="s">
        <v>79</v>
      </c>
      <c r="F588" s="492" t="s">
        <v>115</v>
      </c>
      <c r="G588" s="493">
        <f>IF(Setup!$N$9&gt;=VLOOKUP(C588,Reference!$N$41:$O$70,2,0),2,0)</f>
        <v>2</v>
      </c>
      <c r="H588" s="493">
        <v>0</v>
      </c>
      <c r="I588" s="494">
        <v>1</v>
      </c>
      <c r="J588" s="286"/>
      <c r="K588" s="493" t="s">
        <v>182</v>
      </c>
      <c r="L588" s="493"/>
      <c r="M588" s="493">
        <v>4</v>
      </c>
      <c r="N588" s="493">
        <v>4</v>
      </c>
      <c r="O588" s="495" t="s">
        <v>1322</v>
      </c>
      <c r="P588" s="496" t="s">
        <v>454</v>
      </c>
      <c r="Q588" s="492" t="s">
        <v>979</v>
      </c>
      <c r="R588" s="173"/>
      <c r="S588" s="195">
        <f>MATCH($D588,Reference!$J$5:$J$9,0)</f>
        <v>2</v>
      </c>
      <c r="T588" s="195">
        <f>MATCH($E588,Reference!$J$26:$J$32,0)</f>
        <v>4</v>
      </c>
      <c r="U588" s="195">
        <f>MATCH($F588,Reference!$J$45:$J$54,0)</f>
        <v>10</v>
      </c>
      <c r="V588" s="196">
        <f>MATCH($K588,Reference!$J$37:$J$39,0)</f>
        <v>3</v>
      </c>
      <c r="W588" s="197">
        <f t="shared" si="833"/>
        <v>2</v>
      </c>
      <c r="X588" s="197">
        <f t="shared" si="1"/>
        <v>1</v>
      </c>
      <c r="Y588" s="197">
        <f t="shared" si="851"/>
        <v>0</v>
      </c>
      <c r="Z588" s="197">
        <f t="shared" si="835"/>
        <v>2</v>
      </c>
      <c r="AA588" s="199" t="b">
        <f t="shared" si="3"/>
        <v>0</v>
      </c>
      <c r="AB588" s="199" t="b">
        <f t="shared" si="4"/>
        <v>0</v>
      </c>
      <c r="AC588" s="200">
        <f t="shared" ref="AC588:AD588" si="862">1-I588</f>
        <v>0</v>
      </c>
      <c r="AD588" s="200">
        <f t="shared" si="862"/>
        <v>1</v>
      </c>
      <c r="AE588" s="199">
        <f t="shared" si="6"/>
        <v>2</v>
      </c>
      <c r="AF588" s="201">
        <f t="shared" si="837"/>
        <v>0</v>
      </c>
      <c r="AG588" s="201">
        <f t="shared" si="8"/>
        <v>1</v>
      </c>
      <c r="AH588" s="202">
        <f t="shared" si="853"/>
        <v>0</v>
      </c>
      <c r="AI588" s="205"/>
      <c r="AJ588" s="173"/>
      <c r="AK588" s="173"/>
      <c r="AL588" s="173"/>
      <c r="AM588" s="173"/>
      <c r="AN588" s="173"/>
      <c r="AO588" s="173"/>
      <c r="AP588" s="173"/>
      <c r="AQ588" s="173"/>
      <c r="AR588" s="173"/>
      <c r="AS588" s="173"/>
      <c r="AT588" s="173"/>
      <c r="AU588" s="173"/>
      <c r="AV588" s="173"/>
    </row>
    <row r="589" spans="1:48" ht="14.25">
      <c r="A589" s="211"/>
      <c r="B589" s="370">
        <v>3</v>
      </c>
      <c r="C589" s="499" t="s">
        <v>1323</v>
      </c>
      <c r="D589" s="500" t="s">
        <v>63</v>
      </c>
      <c r="E589" s="500" t="s">
        <v>79</v>
      </c>
      <c r="F589" s="500" t="s">
        <v>18</v>
      </c>
      <c r="G589" s="501">
        <f>IF(Setup!$N$9&gt;=VLOOKUP(C589,Reference!$N$41:$O$70,2,0),2,0)</f>
        <v>2</v>
      </c>
      <c r="H589" s="501">
        <v>0</v>
      </c>
      <c r="I589" s="494">
        <v>1</v>
      </c>
      <c r="J589" s="286"/>
      <c r="K589" s="501" t="s">
        <v>182</v>
      </c>
      <c r="L589" s="501"/>
      <c r="M589" s="501">
        <v>3</v>
      </c>
      <c r="N589" s="501">
        <v>4</v>
      </c>
      <c r="O589" s="502" t="s">
        <v>1324</v>
      </c>
      <c r="P589" s="504" t="s">
        <v>454</v>
      </c>
      <c r="Q589" s="500" t="s">
        <v>979</v>
      </c>
      <c r="R589" s="173"/>
      <c r="S589" s="195">
        <f>MATCH($D589,Reference!$J$5:$J$9,0)</f>
        <v>2</v>
      </c>
      <c r="T589" s="195">
        <f>MATCH($E589,Reference!$J$26:$J$32,0)</f>
        <v>4</v>
      </c>
      <c r="U589" s="195">
        <f>MATCH($F589,Reference!$J$45:$J$54,0)</f>
        <v>5</v>
      </c>
      <c r="V589" s="196">
        <f>MATCH($K589,Reference!$J$37:$J$39,0)</f>
        <v>3</v>
      </c>
      <c r="W589" s="197">
        <f t="shared" si="833"/>
        <v>2</v>
      </c>
      <c r="X589" s="197">
        <f t="shared" si="1"/>
        <v>1</v>
      </c>
      <c r="Y589" s="197">
        <f t="shared" si="851"/>
        <v>0</v>
      </c>
      <c r="Z589" s="197">
        <f t="shared" si="835"/>
        <v>2</v>
      </c>
      <c r="AA589" s="199" t="b">
        <f t="shared" si="3"/>
        <v>0</v>
      </c>
      <c r="AB589" s="199" t="b">
        <f t="shared" si="4"/>
        <v>0</v>
      </c>
      <c r="AC589" s="200">
        <f t="shared" ref="AC589:AD589" si="863">1-I589</f>
        <v>0</v>
      </c>
      <c r="AD589" s="200">
        <f t="shared" si="863"/>
        <v>1</v>
      </c>
      <c r="AE589" s="199">
        <f t="shared" si="6"/>
        <v>2</v>
      </c>
      <c r="AF589" s="201">
        <f t="shared" si="837"/>
        <v>0</v>
      </c>
      <c r="AG589" s="201">
        <f t="shared" si="8"/>
        <v>1</v>
      </c>
      <c r="AH589" s="202">
        <f t="shared" si="853"/>
        <v>0</v>
      </c>
      <c r="AI589" s="205"/>
      <c r="AJ589" s="173"/>
      <c r="AK589" s="173"/>
      <c r="AL589" s="173"/>
      <c r="AM589" s="173"/>
      <c r="AN589" s="173"/>
      <c r="AO589" s="173"/>
      <c r="AP589" s="173"/>
      <c r="AQ589" s="173"/>
      <c r="AR589" s="173"/>
      <c r="AS589" s="173"/>
      <c r="AT589" s="173"/>
      <c r="AU589" s="173"/>
      <c r="AV589" s="173"/>
    </row>
    <row r="590" spans="1:48" ht="14.25">
      <c r="A590" s="187"/>
      <c r="B590" s="279">
        <v>3</v>
      </c>
      <c r="C590" s="491" t="s">
        <v>1325</v>
      </c>
      <c r="D590" s="492" t="s">
        <v>63</v>
      </c>
      <c r="E590" s="492" t="s">
        <v>79</v>
      </c>
      <c r="F590" s="492" t="s">
        <v>13</v>
      </c>
      <c r="G590" s="493">
        <f>IF(Setup!$N$9&gt;=VLOOKUP(C590,Reference!$N$41:$O$70,2,0),2,0)</f>
        <v>2</v>
      </c>
      <c r="H590" s="493">
        <v>0</v>
      </c>
      <c r="I590" s="494">
        <v>1</v>
      </c>
      <c r="J590" s="286"/>
      <c r="K590" s="493" t="s">
        <v>146</v>
      </c>
      <c r="L590" s="493" t="s">
        <v>508</v>
      </c>
      <c r="M590" s="493"/>
      <c r="N590" s="493"/>
      <c r="O590" s="495" t="s">
        <v>1326</v>
      </c>
      <c r="P590" s="289"/>
      <c r="Q590" s="492" t="s">
        <v>979</v>
      </c>
      <c r="R590" s="173"/>
      <c r="S590" s="195">
        <f>MATCH($D590,Reference!$J$5:$J$9,0)</f>
        <v>2</v>
      </c>
      <c r="T590" s="195">
        <f>MATCH($E590,Reference!$J$26:$J$32,0)</f>
        <v>4</v>
      </c>
      <c r="U590" s="195">
        <f>MATCH($F590,Reference!$J$45:$J$54,0)</f>
        <v>3</v>
      </c>
      <c r="V590" s="196">
        <f>MATCH($K590,Reference!$J$37:$J$39,0)</f>
        <v>2</v>
      </c>
      <c r="W590" s="197">
        <f t="shared" si="833"/>
        <v>2</v>
      </c>
      <c r="X590" s="197">
        <f t="shared" si="1"/>
        <v>1</v>
      </c>
      <c r="Y590" s="197">
        <f t="shared" si="851"/>
        <v>0</v>
      </c>
      <c r="Z590" s="197">
        <f t="shared" si="835"/>
        <v>2</v>
      </c>
      <c r="AA590" s="199" t="b">
        <f t="shared" si="3"/>
        <v>0</v>
      </c>
      <c r="AB590" s="199" t="b">
        <f t="shared" si="4"/>
        <v>0</v>
      </c>
      <c r="AC590" s="200">
        <f t="shared" ref="AC590:AD590" si="864">1-I590</f>
        <v>0</v>
      </c>
      <c r="AD590" s="200">
        <f t="shared" si="864"/>
        <v>1</v>
      </c>
      <c r="AE590" s="199">
        <f t="shared" si="6"/>
        <v>2</v>
      </c>
      <c r="AF590" s="201">
        <f t="shared" si="837"/>
        <v>0</v>
      </c>
      <c r="AG590" s="201">
        <f t="shared" si="8"/>
        <v>1</v>
      </c>
      <c r="AH590" s="202">
        <f t="shared" si="853"/>
        <v>0</v>
      </c>
      <c r="AI590" s="205"/>
      <c r="AJ590" s="173"/>
      <c r="AK590" s="173"/>
      <c r="AL590" s="173"/>
      <c r="AM590" s="173"/>
      <c r="AN590" s="173"/>
      <c r="AO590" s="173"/>
      <c r="AP590" s="173"/>
      <c r="AQ590" s="173"/>
      <c r="AR590" s="173"/>
      <c r="AS590" s="173"/>
      <c r="AT590" s="173"/>
      <c r="AU590" s="173"/>
      <c r="AV590" s="173"/>
    </row>
    <row r="591" spans="1:48" ht="14.25">
      <c r="A591" s="187"/>
      <c r="B591" s="279">
        <v>3</v>
      </c>
      <c r="C591" s="491" t="s">
        <v>1327</v>
      </c>
      <c r="D591" s="492" t="s">
        <v>63</v>
      </c>
      <c r="E591" s="492" t="s">
        <v>79</v>
      </c>
      <c r="F591" s="492" t="s">
        <v>115</v>
      </c>
      <c r="G591" s="493">
        <f>IF(Setup!$N$9&gt;=VLOOKUP(C591,Reference!$N$41:$O$70,2,0),2,0)</f>
        <v>2</v>
      </c>
      <c r="H591" s="493">
        <v>0</v>
      </c>
      <c r="I591" s="494">
        <v>1</v>
      </c>
      <c r="J591" s="286"/>
      <c r="K591" s="493" t="s">
        <v>182</v>
      </c>
      <c r="L591" s="493"/>
      <c r="M591" s="493">
        <v>1</v>
      </c>
      <c r="N591" s="493">
        <v>4</v>
      </c>
      <c r="O591" s="495" t="s">
        <v>1328</v>
      </c>
      <c r="P591" s="289"/>
      <c r="Q591" s="492" t="s">
        <v>979</v>
      </c>
      <c r="R591" s="173"/>
      <c r="S591" s="195">
        <f>MATCH($D591,Reference!$J$5:$J$9,0)</f>
        <v>2</v>
      </c>
      <c r="T591" s="195">
        <f>MATCH($E591,Reference!$J$26:$J$32,0)</f>
        <v>4</v>
      </c>
      <c r="U591" s="195">
        <f>MATCH($F591,Reference!$J$45:$J$54,0)</f>
        <v>10</v>
      </c>
      <c r="V591" s="196">
        <f>MATCH($K591,Reference!$J$37:$J$39,0)</f>
        <v>3</v>
      </c>
      <c r="W591" s="197">
        <f t="shared" si="833"/>
        <v>2</v>
      </c>
      <c r="X591" s="197">
        <f t="shared" si="1"/>
        <v>1</v>
      </c>
      <c r="Y591" s="197">
        <f t="shared" si="851"/>
        <v>0</v>
      </c>
      <c r="Z591" s="197">
        <f t="shared" si="835"/>
        <v>2</v>
      </c>
      <c r="AA591" s="199" t="b">
        <f t="shared" si="3"/>
        <v>0</v>
      </c>
      <c r="AB591" s="199" t="b">
        <f t="shared" si="4"/>
        <v>0</v>
      </c>
      <c r="AC591" s="200">
        <f t="shared" ref="AC591:AD591" si="865">1-I591</f>
        <v>0</v>
      </c>
      <c r="AD591" s="200">
        <f t="shared" si="865"/>
        <v>1</v>
      </c>
      <c r="AE591" s="199">
        <f t="shared" si="6"/>
        <v>2</v>
      </c>
      <c r="AF591" s="201">
        <f t="shared" si="837"/>
        <v>0</v>
      </c>
      <c r="AG591" s="201">
        <f t="shared" si="8"/>
        <v>1</v>
      </c>
      <c r="AH591" s="202">
        <f t="shared" si="853"/>
        <v>0</v>
      </c>
      <c r="AI591" s="205"/>
      <c r="AJ591" s="173"/>
      <c r="AK591" s="173"/>
      <c r="AL591" s="173"/>
      <c r="AM591" s="173"/>
      <c r="AN591" s="173"/>
      <c r="AO591" s="173"/>
      <c r="AP591" s="173"/>
      <c r="AQ591" s="173"/>
      <c r="AR591" s="173"/>
      <c r="AS591" s="173"/>
      <c r="AT591" s="173"/>
      <c r="AU591" s="173"/>
      <c r="AV591" s="173"/>
    </row>
    <row r="592" spans="1:48" ht="14.25">
      <c r="A592" s="206"/>
      <c r="B592" s="279">
        <v>4</v>
      </c>
      <c r="C592" s="491" t="s">
        <v>1329</v>
      </c>
      <c r="D592" s="492" t="s">
        <v>63</v>
      </c>
      <c r="E592" s="492" t="s">
        <v>79</v>
      </c>
      <c r="F592" s="492" t="s">
        <v>20</v>
      </c>
      <c r="G592" s="493">
        <f>IF(Setup!$N$9&gt;=VLOOKUP(C592,Reference!$N$41:$O$70,2,0),2,0)</f>
        <v>2</v>
      </c>
      <c r="H592" s="493">
        <v>0</v>
      </c>
      <c r="I592" s="494">
        <v>1</v>
      </c>
      <c r="J592" s="286"/>
      <c r="K592" s="493" t="s">
        <v>182</v>
      </c>
      <c r="L592" s="493"/>
      <c r="M592" s="493">
        <v>5</v>
      </c>
      <c r="N592" s="493">
        <v>5</v>
      </c>
      <c r="O592" s="495" t="s">
        <v>1330</v>
      </c>
      <c r="P592" s="496" t="s">
        <v>454</v>
      </c>
      <c r="Q592" s="492" t="s">
        <v>979</v>
      </c>
      <c r="R592" s="173"/>
      <c r="S592" s="195">
        <f>MATCH($D592,Reference!$J$5:$J$9,0)</f>
        <v>2</v>
      </c>
      <c r="T592" s="195">
        <f>MATCH($E592,Reference!$J$26:$J$32,0)</f>
        <v>4</v>
      </c>
      <c r="U592" s="195">
        <f>MATCH($F592,Reference!$J$45:$J$54,0)</f>
        <v>6</v>
      </c>
      <c r="V592" s="196">
        <f>MATCH($K592,Reference!$J$37:$J$39,0)</f>
        <v>3</v>
      </c>
      <c r="W592" s="197">
        <f t="shared" si="833"/>
        <v>2</v>
      </c>
      <c r="X592" s="197">
        <f t="shared" si="1"/>
        <v>1</v>
      </c>
      <c r="Y592" s="197">
        <f t="shared" si="851"/>
        <v>0</v>
      </c>
      <c r="Z592" s="197">
        <f t="shared" si="835"/>
        <v>2</v>
      </c>
      <c r="AA592" s="199" t="b">
        <f t="shared" si="3"/>
        <v>0</v>
      </c>
      <c r="AB592" s="199" t="b">
        <f t="shared" si="4"/>
        <v>0</v>
      </c>
      <c r="AC592" s="200">
        <f t="shared" ref="AC592:AD592" si="866">1-I592</f>
        <v>0</v>
      </c>
      <c r="AD592" s="200">
        <f t="shared" si="866"/>
        <v>1</v>
      </c>
      <c r="AE592" s="199">
        <f t="shared" si="6"/>
        <v>2</v>
      </c>
      <c r="AF592" s="201">
        <f t="shared" si="837"/>
        <v>0</v>
      </c>
      <c r="AG592" s="201">
        <f t="shared" si="8"/>
        <v>1</v>
      </c>
      <c r="AH592" s="202">
        <f t="shared" si="853"/>
        <v>0</v>
      </c>
      <c r="AI592" s="205"/>
      <c r="AJ592" s="173"/>
      <c r="AK592" s="173"/>
      <c r="AL592" s="173"/>
      <c r="AM592" s="173"/>
      <c r="AN592" s="173"/>
      <c r="AO592" s="173"/>
      <c r="AP592" s="173"/>
      <c r="AQ592" s="173"/>
      <c r="AR592" s="173"/>
      <c r="AS592" s="173"/>
      <c r="AT592" s="173"/>
      <c r="AU592" s="173"/>
      <c r="AV592" s="173"/>
    </row>
    <row r="593" spans="1:48" ht="14.25">
      <c r="A593" s="206"/>
      <c r="B593" s="370">
        <v>4</v>
      </c>
      <c r="C593" s="499" t="s">
        <v>1331</v>
      </c>
      <c r="D593" s="500" t="s">
        <v>63</v>
      </c>
      <c r="E593" s="500" t="s">
        <v>79</v>
      </c>
      <c r="F593" s="500" t="s">
        <v>26</v>
      </c>
      <c r="G593" s="501">
        <f>IF(Setup!$N$9&gt;=VLOOKUP(C593,Reference!$N$41:$O$70,2,0),2,0)</f>
        <v>2</v>
      </c>
      <c r="H593" s="501">
        <v>0</v>
      </c>
      <c r="I593" s="494">
        <v>1</v>
      </c>
      <c r="J593" s="286"/>
      <c r="K593" s="501" t="s">
        <v>207</v>
      </c>
      <c r="L593" s="501"/>
      <c r="M593" s="501">
        <v>4</v>
      </c>
      <c r="N593" s="501">
        <v>2</v>
      </c>
      <c r="O593" s="502" t="s">
        <v>1332</v>
      </c>
      <c r="P593" s="292"/>
      <c r="Q593" s="500" t="s">
        <v>979</v>
      </c>
      <c r="R593" s="278"/>
      <c r="S593" s="195">
        <f>MATCH($D593,Reference!$J$5:$J$9,0)</f>
        <v>2</v>
      </c>
      <c r="T593" s="195">
        <f>MATCH($E593,Reference!$J$26:$J$32,0)</f>
        <v>4</v>
      </c>
      <c r="U593" s="195">
        <f>MATCH($F593,Reference!$J$45:$J$54,0)</f>
        <v>9</v>
      </c>
      <c r="V593" s="196">
        <f>MATCH($K593,Reference!$J$37:$J$39,0)</f>
        <v>1</v>
      </c>
      <c r="W593" s="197">
        <f t="shared" si="833"/>
        <v>2</v>
      </c>
      <c r="X593" s="197">
        <f t="shared" si="1"/>
        <v>1</v>
      </c>
      <c r="Y593" s="197">
        <f t="shared" si="851"/>
        <v>0</v>
      </c>
      <c r="Z593" s="197">
        <f t="shared" si="835"/>
        <v>2</v>
      </c>
      <c r="AA593" s="199" t="b">
        <f t="shared" si="3"/>
        <v>0</v>
      </c>
      <c r="AB593" s="199" t="b">
        <f t="shared" si="4"/>
        <v>0</v>
      </c>
      <c r="AC593" s="200">
        <f t="shared" ref="AC593:AD593" si="867">1-I593</f>
        <v>0</v>
      </c>
      <c r="AD593" s="200">
        <f t="shared" si="867"/>
        <v>1</v>
      </c>
      <c r="AE593" s="199">
        <f t="shared" si="6"/>
        <v>2</v>
      </c>
      <c r="AF593" s="201">
        <f t="shared" si="837"/>
        <v>0</v>
      </c>
      <c r="AG593" s="201">
        <f t="shared" si="8"/>
        <v>1</v>
      </c>
      <c r="AH593" s="202">
        <f t="shared" si="853"/>
        <v>0</v>
      </c>
      <c r="AI593" s="205"/>
      <c r="AJ593" s="173"/>
      <c r="AK593" s="173"/>
      <c r="AL593" s="173"/>
      <c r="AM593" s="173"/>
      <c r="AN593" s="173"/>
      <c r="AO593" s="173"/>
      <c r="AP593" s="173"/>
      <c r="AQ593" s="173"/>
      <c r="AR593" s="173"/>
      <c r="AS593" s="173"/>
      <c r="AT593" s="173"/>
      <c r="AU593" s="173"/>
      <c r="AV593" s="173"/>
    </row>
    <row r="594" spans="1:48" ht="14.25">
      <c r="A594" s="187"/>
      <c r="B594" s="370">
        <v>4</v>
      </c>
      <c r="C594" s="499" t="s">
        <v>1333</v>
      </c>
      <c r="D594" s="500" t="s">
        <v>63</v>
      </c>
      <c r="E594" s="500" t="s">
        <v>79</v>
      </c>
      <c r="F594" s="500" t="s">
        <v>8</v>
      </c>
      <c r="G594" s="501">
        <f>IF(Setup!$N$9&gt;=VLOOKUP(C594,Reference!$N$41:$O$70,2,0),2,0)</f>
        <v>2</v>
      </c>
      <c r="H594" s="501">
        <v>0</v>
      </c>
      <c r="I594" s="494">
        <v>1</v>
      </c>
      <c r="J594" s="286"/>
      <c r="K594" s="501" t="s">
        <v>146</v>
      </c>
      <c r="L594" s="501"/>
      <c r="M594" s="501"/>
      <c r="N594" s="501"/>
      <c r="O594" s="502" t="s">
        <v>1334</v>
      </c>
      <c r="P594" s="292"/>
      <c r="Q594" s="500" t="s">
        <v>979</v>
      </c>
      <c r="R594" s="173"/>
      <c r="S594" s="195">
        <f>MATCH($D594,Reference!$J$5:$J$9,0)</f>
        <v>2</v>
      </c>
      <c r="T594" s="195">
        <f>MATCH($E594,Reference!$J$26:$J$32,0)</f>
        <v>4</v>
      </c>
      <c r="U594" s="195">
        <f>MATCH($F594,Reference!$J$45:$J$54,0)</f>
        <v>1</v>
      </c>
      <c r="V594" s="196">
        <f>MATCH($K594,Reference!$J$37:$J$39,0)</f>
        <v>2</v>
      </c>
      <c r="W594" s="197">
        <f t="shared" si="833"/>
        <v>2</v>
      </c>
      <c r="X594" s="197">
        <f t="shared" si="1"/>
        <v>1</v>
      </c>
      <c r="Y594" s="197">
        <f t="shared" si="851"/>
        <v>0</v>
      </c>
      <c r="Z594" s="197">
        <f t="shared" si="835"/>
        <v>2</v>
      </c>
      <c r="AA594" s="199" t="b">
        <f t="shared" si="3"/>
        <v>0</v>
      </c>
      <c r="AB594" s="199" t="b">
        <f t="shared" si="4"/>
        <v>0</v>
      </c>
      <c r="AC594" s="200">
        <f t="shared" ref="AC594:AD594" si="868">1-I594</f>
        <v>0</v>
      </c>
      <c r="AD594" s="200">
        <f t="shared" si="868"/>
        <v>1</v>
      </c>
      <c r="AE594" s="199">
        <f t="shared" si="6"/>
        <v>2</v>
      </c>
      <c r="AF594" s="201">
        <f t="shared" si="837"/>
        <v>0</v>
      </c>
      <c r="AG594" s="201">
        <f t="shared" si="8"/>
        <v>1</v>
      </c>
      <c r="AH594" s="202">
        <f t="shared" si="853"/>
        <v>0</v>
      </c>
      <c r="AI594" s="205"/>
      <c r="AJ594" s="173"/>
      <c r="AK594" s="173"/>
      <c r="AL594" s="173"/>
      <c r="AM594" s="173"/>
      <c r="AN594" s="173"/>
      <c r="AO594" s="173"/>
      <c r="AP594" s="173"/>
      <c r="AQ594" s="173"/>
      <c r="AR594" s="173"/>
      <c r="AS594" s="173"/>
      <c r="AT594" s="173"/>
      <c r="AU594" s="173"/>
      <c r="AV594" s="173"/>
    </row>
    <row r="595" spans="1:48" ht="14.25">
      <c r="A595" s="206"/>
      <c r="B595" s="370">
        <v>4</v>
      </c>
      <c r="C595" s="499" t="s">
        <v>1335</v>
      </c>
      <c r="D595" s="500" t="s">
        <v>63</v>
      </c>
      <c r="E595" s="500" t="s">
        <v>79</v>
      </c>
      <c r="F595" s="500" t="s">
        <v>25</v>
      </c>
      <c r="G595" s="501">
        <f>IF(Setup!$N$9&gt;=VLOOKUP(C595,Reference!$N$41:$O$70,2,0),2,0)</f>
        <v>2</v>
      </c>
      <c r="H595" s="501">
        <v>0</v>
      </c>
      <c r="I595" s="494">
        <v>1</v>
      </c>
      <c r="J595" s="286"/>
      <c r="K595" s="501" t="s">
        <v>182</v>
      </c>
      <c r="L595" s="501" t="s">
        <v>239</v>
      </c>
      <c r="M595" s="501">
        <v>3</v>
      </c>
      <c r="N595" s="501">
        <v>4</v>
      </c>
      <c r="O595" s="502" t="s">
        <v>1336</v>
      </c>
      <c r="P595" s="504" t="s">
        <v>454</v>
      </c>
      <c r="Q595" s="500" t="s">
        <v>979</v>
      </c>
      <c r="R595" s="173"/>
      <c r="S595" s="195">
        <f>MATCH($D595,Reference!$J$5:$J$9,0)</f>
        <v>2</v>
      </c>
      <c r="T595" s="195">
        <f>MATCH($E595,Reference!$J$26:$J$32,0)</f>
        <v>4</v>
      </c>
      <c r="U595" s="195">
        <f>MATCH($F595,Reference!$J$45:$J$54,0)</f>
        <v>8</v>
      </c>
      <c r="V595" s="196">
        <f>MATCH($K595,Reference!$J$37:$J$39,0)</f>
        <v>3</v>
      </c>
      <c r="W595" s="197">
        <f t="shared" si="833"/>
        <v>2</v>
      </c>
      <c r="X595" s="197">
        <f t="shared" si="1"/>
        <v>1</v>
      </c>
      <c r="Y595" s="197">
        <f t="shared" si="851"/>
        <v>0</v>
      </c>
      <c r="Z595" s="197">
        <f t="shared" si="835"/>
        <v>2</v>
      </c>
      <c r="AA595" s="199" t="b">
        <f t="shared" si="3"/>
        <v>0</v>
      </c>
      <c r="AB595" s="199" t="b">
        <f t="shared" si="4"/>
        <v>0</v>
      </c>
      <c r="AC595" s="200">
        <f t="shared" ref="AC595:AD595" si="869">1-I595</f>
        <v>0</v>
      </c>
      <c r="AD595" s="200">
        <f t="shared" si="869"/>
        <v>1</v>
      </c>
      <c r="AE595" s="199">
        <f t="shared" si="6"/>
        <v>2</v>
      </c>
      <c r="AF595" s="201">
        <f t="shared" si="837"/>
        <v>0</v>
      </c>
      <c r="AG595" s="201">
        <f t="shared" si="8"/>
        <v>1</v>
      </c>
      <c r="AH595" s="202">
        <f t="shared" si="853"/>
        <v>0</v>
      </c>
      <c r="AI595" s="205"/>
      <c r="AJ595" s="173"/>
      <c r="AK595" s="173"/>
      <c r="AL595" s="173"/>
      <c r="AM595" s="173"/>
      <c r="AN595" s="173"/>
      <c r="AO595" s="173"/>
      <c r="AP595" s="173"/>
      <c r="AQ595" s="173"/>
      <c r="AR595" s="173"/>
      <c r="AS595" s="173"/>
      <c r="AT595" s="173"/>
      <c r="AU595" s="173"/>
      <c r="AV595" s="173"/>
    </row>
    <row r="596" spans="1:48" ht="14.25">
      <c r="A596" s="240"/>
      <c r="B596" s="279">
        <v>5</v>
      </c>
      <c r="C596" s="491" t="s">
        <v>1337</v>
      </c>
      <c r="D596" s="492" t="s">
        <v>63</v>
      </c>
      <c r="E596" s="492" t="s">
        <v>79</v>
      </c>
      <c r="F596" s="492" t="s">
        <v>115</v>
      </c>
      <c r="G596" s="493">
        <f>IF(Setup!$N$9&gt;=VLOOKUP(C596,Reference!$N$41:$O$70,2,0),2,0)</f>
        <v>2</v>
      </c>
      <c r="H596" s="493">
        <v>0</v>
      </c>
      <c r="I596" s="494">
        <v>1</v>
      </c>
      <c r="J596" s="286"/>
      <c r="K596" s="493" t="s">
        <v>182</v>
      </c>
      <c r="L596" s="493"/>
      <c r="M596" s="493">
        <v>4</v>
      </c>
      <c r="N596" s="493">
        <v>6</v>
      </c>
      <c r="O596" s="495" t="s">
        <v>1338</v>
      </c>
      <c r="P596" s="289"/>
      <c r="Q596" s="492" t="s">
        <v>979</v>
      </c>
      <c r="R596" s="173"/>
      <c r="S596" s="195">
        <f>MATCH($D596,Reference!$J$5:$J$9,0)</f>
        <v>2</v>
      </c>
      <c r="T596" s="195">
        <f>MATCH($E596,Reference!$J$26:$J$32,0)</f>
        <v>4</v>
      </c>
      <c r="U596" s="195">
        <f>MATCH($F596,Reference!$J$45:$J$54,0)</f>
        <v>10</v>
      </c>
      <c r="V596" s="196">
        <f>MATCH($K596,Reference!$J$37:$J$39,0)</f>
        <v>3</v>
      </c>
      <c r="W596" s="197">
        <f t="shared" si="833"/>
        <v>2</v>
      </c>
      <c r="X596" s="197">
        <f t="shared" si="1"/>
        <v>1</v>
      </c>
      <c r="Y596" s="197">
        <f t="shared" si="851"/>
        <v>0</v>
      </c>
      <c r="Z596" s="197">
        <f t="shared" si="835"/>
        <v>2</v>
      </c>
      <c r="AA596" s="199" t="b">
        <f t="shared" si="3"/>
        <v>0</v>
      </c>
      <c r="AB596" s="199" t="b">
        <f t="shared" si="4"/>
        <v>0</v>
      </c>
      <c r="AC596" s="200">
        <f t="shared" ref="AC596:AD596" si="870">1-I596</f>
        <v>0</v>
      </c>
      <c r="AD596" s="200">
        <f t="shared" si="870"/>
        <v>1</v>
      </c>
      <c r="AE596" s="199">
        <f t="shared" si="6"/>
        <v>2</v>
      </c>
      <c r="AF596" s="201">
        <f t="shared" si="837"/>
        <v>0</v>
      </c>
      <c r="AG596" s="201">
        <f t="shared" si="8"/>
        <v>1</v>
      </c>
      <c r="AH596" s="202">
        <f t="shared" si="853"/>
        <v>0</v>
      </c>
      <c r="AI596" s="205"/>
      <c r="AJ596" s="173"/>
      <c r="AK596" s="173"/>
      <c r="AL596" s="173"/>
      <c r="AM596" s="173"/>
      <c r="AN596" s="173"/>
      <c r="AO596" s="173"/>
      <c r="AP596" s="173"/>
      <c r="AQ596" s="173"/>
      <c r="AR596" s="173"/>
      <c r="AS596" s="173"/>
      <c r="AT596" s="173"/>
      <c r="AU596" s="173"/>
      <c r="AV596" s="173"/>
    </row>
    <row r="597" spans="1:48" ht="14.25">
      <c r="A597" s="187"/>
      <c r="B597" s="505">
        <v>2</v>
      </c>
      <c r="C597" s="506" t="s">
        <v>1339</v>
      </c>
      <c r="D597" s="507" t="s">
        <v>69</v>
      </c>
      <c r="E597" s="507" t="s">
        <v>79</v>
      </c>
      <c r="F597" s="507" t="s">
        <v>115</v>
      </c>
      <c r="G597" s="508">
        <f>IF(Setup!$N$9&gt;=VLOOKUP(C597,Reference!$N$41:$O$70,2,0),2,0)</f>
        <v>2</v>
      </c>
      <c r="H597" s="508">
        <v>0</v>
      </c>
      <c r="I597" s="509">
        <v>1</v>
      </c>
      <c r="J597" s="510"/>
      <c r="K597" s="508" t="s">
        <v>182</v>
      </c>
      <c r="L597" s="508"/>
      <c r="M597" s="508">
        <v>1</v>
      </c>
      <c r="N597" s="508">
        <v>2</v>
      </c>
      <c r="O597" s="511" t="s">
        <v>1340</v>
      </c>
      <c r="P597" s="512" t="s">
        <v>184</v>
      </c>
      <c r="Q597" s="507" t="s">
        <v>979</v>
      </c>
      <c r="R597" s="173"/>
      <c r="S597" s="195">
        <f>MATCH($D597,Reference!$J$5:$J$9,0)</f>
        <v>4</v>
      </c>
      <c r="T597" s="195">
        <f>MATCH($E597,Reference!$J$26:$J$32,0)</f>
        <v>4</v>
      </c>
      <c r="U597" s="195">
        <f>MATCH($F597,Reference!$J$45:$J$54,0)</f>
        <v>10</v>
      </c>
      <c r="V597" s="196">
        <f>MATCH($K597,Reference!$J$37:$J$39,0)</f>
        <v>3</v>
      </c>
      <c r="W597" s="197">
        <f t="shared" si="833"/>
        <v>2</v>
      </c>
      <c r="X597" s="197">
        <f t="shared" si="1"/>
        <v>1</v>
      </c>
      <c r="Y597" s="198">
        <v>0</v>
      </c>
      <c r="Z597" s="197">
        <f t="shared" si="835"/>
        <v>2</v>
      </c>
      <c r="AA597" s="199" t="b">
        <f t="shared" si="3"/>
        <v>0</v>
      </c>
      <c r="AB597" s="199" t="b">
        <f t="shared" si="4"/>
        <v>0</v>
      </c>
      <c r="AC597" s="200">
        <f t="shared" ref="AC597:AD597" si="871">1-I597</f>
        <v>0</v>
      </c>
      <c r="AD597" s="200">
        <f t="shared" si="871"/>
        <v>1</v>
      </c>
      <c r="AE597" s="199">
        <f t="shared" si="6"/>
        <v>2</v>
      </c>
      <c r="AF597" s="201">
        <f t="shared" si="837"/>
        <v>0</v>
      </c>
      <c r="AG597" s="201">
        <f t="shared" si="8"/>
        <v>1</v>
      </c>
      <c r="AH597" s="202">
        <f t="shared" ref="AH597:AH598" si="872">(MIN(H597,2)+G597-W597)*100</f>
        <v>0</v>
      </c>
      <c r="AI597" s="205"/>
      <c r="AJ597" s="173"/>
      <c r="AK597" s="173"/>
      <c r="AL597" s="173"/>
      <c r="AM597" s="173"/>
      <c r="AN597" s="173"/>
      <c r="AO597" s="173"/>
      <c r="AP597" s="173"/>
      <c r="AQ597" s="173"/>
      <c r="AR597" s="173"/>
      <c r="AS597" s="173"/>
      <c r="AT597" s="173"/>
      <c r="AU597" s="173"/>
      <c r="AV597" s="173"/>
    </row>
    <row r="598" spans="1:48" ht="14.25">
      <c r="A598" s="187"/>
      <c r="B598" s="505">
        <v>3</v>
      </c>
      <c r="C598" s="506" t="s">
        <v>1341</v>
      </c>
      <c r="D598" s="507" t="s">
        <v>69</v>
      </c>
      <c r="E598" s="507" t="s">
        <v>79</v>
      </c>
      <c r="F598" s="507" t="s">
        <v>115</v>
      </c>
      <c r="G598" s="508">
        <f>IF(Setup!$N$9&gt;=VLOOKUP(C598,Reference!$N$41:$O$70,2,0),2,0)</f>
        <v>2</v>
      </c>
      <c r="H598" s="508">
        <v>0</v>
      </c>
      <c r="I598" s="509">
        <v>1</v>
      </c>
      <c r="J598" s="510"/>
      <c r="K598" s="508" t="s">
        <v>182</v>
      </c>
      <c r="L598" s="508"/>
      <c r="M598" s="508">
        <v>2</v>
      </c>
      <c r="N598" s="508">
        <v>2</v>
      </c>
      <c r="O598" s="511" t="s">
        <v>1342</v>
      </c>
      <c r="P598" s="512" t="s">
        <v>1343</v>
      </c>
      <c r="Q598" s="507" t="s">
        <v>979</v>
      </c>
      <c r="R598" s="173"/>
      <c r="S598" s="195">
        <f>MATCH($D598,Reference!$J$5:$J$9,0)</f>
        <v>4</v>
      </c>
      <c r="T598" s="195">
        <f>MATCH($E598,Reference!$J$26:$J$32,0)</f>
        <v>4</v>
      </c>
      <c r="U598" s="195">
        <f>MATCH($F598,Reference!$J$45:$J$54,0)</f>
        <v>10</v>
      </c>
      <c r="V598" s="196">
        <f>MATCH($K598,Reference!$J$37:$J$39,0)</f>
        <v>3</v>
      </c>
      <c r="W598" s="197">
        <f t="shared" si="833"/>
        <v>2</v>
      </c>
      <c r="X598" s="197">
        <f t="shared" si="1"/>
        <v>1</v>
      </c>
      <c r="Y598" s="198">
        <v>0</v>
      </c>
      <c r="Z598" s="197">
        <f t="shared" si="835"/>
        <v>2</v>
      </c>
      <c r="AA598" s="199" t="b">
        <f t="shared" si="3"/>
        <v>0</v>
      </c>
      <c r="AB598" s="199" t="b">
        <f t="shared" si="4"/>
        <v>0</v>
      </c>
      <c r="AC598" s="200">
        <f t="shared" ref="AC598:AD598" si="873">1-I598</f>
        <v>0</v>
      </c>
      <c r="AD598" s="200">
        <f t="shared" si="873"/>
        <v>1</v>
      </c>
      <c r="AE598" s="199">
        <f t="shared" si="6"/>
        <v>2</v>
      </c>
      <c r="AF598" s="201">
        <f t="shared" si="837"/>
        <v>0</v>
      </c>
      <c r="AG598" s="201">
        <f t="shared" si="8"/>
        <v>1</v>
      </c>
      <c r="AH598" s="202">
        <f t="shared" si="872"/>
        <v>0</v>
      </c>
      <c r="AI598" s="205"/>
      <c r="AJ598" s="173"/>
      <c r="AK598" s="173"/>
      <c r="AL598" s="173"/>
      <c r="AM598" s="173"/>
      <c r="AN598" s="173"/>
      <c r="AO598" s="173"/>
      <c r="AP598" s="173"/>
      <c r="AQ598" s="173"/>
      <c r="AR598" s="173"/>
      <c r="AS598" s="173"/>
      <c r="AT598" s="173"/>
      <c r="AU598" s="173"/>
      <c r="AV598" s="173"/>
    </row>
    <row r="599" spans="1:48" ht="14.25">
      <c r="A599" s="187"/>
      <c r="B599" s="513">
        <v>4</v>
      </c>
      <c r="C599" s="514" t="s">
        <v>1344</v>
      </c>
      <c r="D599" s="515" t="s">
        <v>70</v>
      </c>
      <c r="E599" s="515" t="s">
        <v>79</v>
      </c>
      <c r="F599" s="515" t="s">
        <v>115</v>
      </c>
      <c r="G599" s="516">
        <f>IF(Setup!$N$9&gt;=VLOOKUP(C599,Reference!$N$41:$O$70,2,0),1,0)</f>
        <v>1</v>
      </c>
      <c r="H599" s="516">
        <v>0</v>
      </c>
      <c r="I599" s="517">
        <v>1</v>
      </c>
      <c r="J599" s="299"/>
      <c r="K599" s="516" t="s">
        <v>182</v>
      </c>
      <c r="L599" s="516"/>
      <c r="M599" s="516">
        <v>1</v>
      </c>
      <c r="N599" s="516">
        <v>7</v>
      </c>
      <c r="O599" s="518" t="s">
        <v>1345</v>
      </c>
      <c r="P599" s="301"/>
      <c r="Q599" s="515" t="s">
        <v>979</v>
      </c>
      <c r="R599" s="173"/>
      <c r="S599" s="195">
        <f>MATCH($D599,Reference!$J$5:$J$9,0)</f>
        <v>5</v>
      </c>
      <c r="T599" s="195">
        <f>MATCH($E599,Reference!$J$26:$J$32,0)</f>
        <v>4</v>
      </c>
      <c r="U599" s="195">
        <f>MATCH($F599,Reference!$J$45:$J$54,0)</f>
        <v>10</v>
      </c>
      <c r="V599" s="196">
        <f>MATCH($K599,Reference!$J$37:$J$39,0)</f>
        <v>3</v>
      </c>
      <c r="W599" s="197">
        <f t="shared" ref="W599:W604" si="874">MIN((G599+H599),1)</f>
        <v>1</v>
      </c>
      <c r="X599" s="197">
        <f t="shared" si="1"/>
        <v>1</v>
      </c>
      <c r="Y599" s="197">
        <f t="shared" ref="Y599:Y604" si="875">(MIN(G599,1)+H599-W599)*1600</f>
        <v>0</v>
      </c>
      <c r="Z599" s="197">
        <f t="shared" ref="Z599:Z604" si="876">MIN((G599+H599+1),2)</f>
        <v>2</v>
      </c>
      <c r="AA599" s="199" t="b">
        <f t="shared" si="3"/>
        <v>0</v>
      </c>
      <c r="AB599" s="199" t="b">
        <f t="shared" si="4"/>
        <v>0</v>
      </c>
      <c r="AC599" s="200">
        <f t="shared" ref="AC599:AD599" si="877">1-I599</f>
        <v>0</v>
      </c>
      <c r="AD599" s="200">
        <f t="shared" si="877"/>
        <v>1</v>
      </c>
      <c r="AE599" s="199">
        <f t="shared" si="6"/>
        <v>1</v>
      </c>
      <c r="AF599" s="201">
        <f t="shared" ref="AF599:AF604" si="878">MIN((H599),1)</f>
        <v>0</v>
      </c>
      <c r="AG599" s="201">
        <f t="shared" si="8"/>
        <v>1</v>
      </c>
      <c r="AH599" s="202">
        <f t="shared" ref="AH599:AH604" si="879">(MIN(H599,2)+G599-W599)*400</f>
        <v>0</v>
      </c>
      <c r="AI599" s="205"/>
      <c r="AJ599" s="173"/>
      <c r="AK599" s="173"/>
      <c r="AL599" s="173"/>
      <c r="AM599" s="173"/>
      <c r="AN599" s="173"/>
      <c r="AO599" s="173"/>
      <c r="AP599" s="173"/>
      <c r="AQ599" s="173"/>
      <c r="AR599" s="173"/>
      <c r="AS599" s="173"/>
      <c r="AT599" s="173"/>
      <c r="AU599" s="173"/>
      <c r="AV599" s="173"/>
    </row>
    <row r="600" spans="1:48" ht="14.25">
      <c r="A600" s="209"/>
      <c r="B600" s="513">
        <v>5</v>
      </c>
      <c r="C600" s="514" t="s">
        <v>1346</v>
      </c>
      <c r="D600" s="515" t="s">
        <v>70</v>
      </c>
      <c r="E600" s="515" t="s">
        <v>79</v>
      </c>
      <c r="F600" s="515" t="s">
        <v>115</v>
      </c>
      <c r="G600" s="516">
        <f>IF(Setup!$N$9&gt;=VLOOKUP(C600,Reference!$N$41:$O$70,2,0),1,0)</f>
        <v>1</v>
      </c>
      <c r="H600" s="516">
        <v>0</v>
      </c>
      <c r="I600" s="517">
        <v>1</v>
      </c>
      <c r="J600" s="299"/>
      <c r="K600" s="516" t="s">
        <v>182</v>
      </c>
      <c r="L600" s="516"/>
      <c r="M600" s="516">
        <v>4</v>
      </c>
      <c r="N600" s="516">
        <v>7</v>
      </c>
      <c r="O600" s="518" t="s">
        <v>1347</v>
      </c>
      <c r="P600" s="519" t="s">
        <v>1348</v>
      </c>
      <c r="Q600" s="515" t="s">
        <v>979</v>
      </c>
      <c r="R600" s="173"/>
      <c r="S600" s="195">
        <f>MATCH($D600,Reference!$J$5:$J$9,0)</f>
        <v>5</v>
      </c>
      <c r="T600" s="195">
        <f>MATCH($E600,Reference!$J$26:$J$32,0)</f>
        <v>4</v>
      </c>
      <c r="U600" s="195">
        <f>MATCH($F600,Reference!$J$45:$J$54,0)</f>
        <v>10</v>
      </c>
      <c r="V600" s="196">
        <f>MATCH($K600,Reference!$J$37:$J$39,0)</f>
        <v>3</v>
      </c>
      <c r="W600" s="197">
        <f t="shared" si="874"/>
        <v>1</v>
      </c>
      <c r="X600" s="197">
        <f t="shared" si="1"/>
        <v>1</v>
      </c>
      <c r="Y600" s="197">
        <f t="shared" si="875"/>
        <v>0</v>
      </c>
      <c r="Z600" s="197">
        <f t="shared" si="876"/>
        <v>2</v>
      </c>
      <c r="AA600" s="199" t="b">
        <f t="shared" si="3"/>
        <v>0</v>
      </c>
      <c r="AB600" s="199" t="b">
        <f t="shared" si="4"/>
        <v>0</v>
      </c>
      <c r="AC600" s="200">
        <f t="shared" ref="AC600:AD600" si="880">1-I600</f>
        <v>0</v>
      </c>
      <c r="AD600" s="200">
        <f t="shared" si="880"/>
        <v>1</v>
      </c>
      <c r="AE600" s="199">
        <f t="shared" si="6"/>
        <v>1</v>
      </c>
      <c r="AF600" s="201">
        <f t="shared" si="878"/>
        <v>0</v>
      </c>
      <c r="AG600" s="201">
        <f t="shared" si="8"/>
        <v>1</v>
      </c>
      <c r="AH600" s="202">
        <f t="shared" si="879"/>
        <v>0</v>
      </c>
      <c r="AI600" s="205"/>
      <c r="AJ600" s="173"/>
      <c r="AK600" s="173"/>
      <c r="AL600" s="173"/>
      <c r="AM600" s="173"/>
      <c r="AN600" s="173"/>
      <c r="AO600" s="173"/>
      <c r="AP600" s="173"/>
      <c r="AQ600" s="173"/>
      <c r="AR600" s="173"/>
      <c r="AS600" s="173"/>
      <c r="AT600" s="173"/>
      <c r="AU600" s="173"/>
      <c r="AV600" s="173"/>
    </row>
    <row r="601" spans="1:48" ht="14.25">
      <c r="A601" s="209"/>
      <c r="B601" s="513">
        <v>5</v>
      </c>
      <c r="C601" s="514" t="s">
        <v>1349</v>
      </c>
      <c r="D601" s="515" t="s">
        <v>70</v>
      </c>
      <c r="E601" s="515" t="s">
        <v>79</v>
      </c>
      <c r="F601" s="515" t="s">
        <v>115</v>
      </c>
      <c r="G601" s="516">
        <f>IF(Setup!$N$9&gt;=VLOOKUP(C601,Reference!$N$41:$O$70,2,0),1,0)</f>
        <v>1</v>
      </c>
      <c r="H601" s="516">
        <v>0</v>
      </c>
      <c r="I601" s="517">
        <v>1</v>
      </c>
      <c r="J601" s="299"/>
      <c r="K601" s="516" t="s">
        <v>182</v>
      </c>
      <c r="L601" s="516"/>
      <c r="M601" s="516">
        <v>5</v>
      </c>
      <c r="N601" s="516">
        <v>5</v>
      </c>
      <c r="O601" s="518" t="s">
        <v>1350</v>
      </c>
      <c r="P601" s="519" t="s">
        <v>184</v>
      </c>
      <c r="Q601" s="515" t="s">
        <v>979</v>
      </c>
      <c r="R601" s="173"/>
      <c r="S601" s="195">
        <f>MATCH($D601,Reference!$J$5:$J$9,0)</f>
        <v>5</v>
      </c>
      <c r="T601" s="195">
        <f>MATCH($E601,Reference!$J$26:$J$32,0)</f>
        <v>4</v>
      </c>
      <c r="U601" s="195">
        <f>MATCH($F601,Reference!$J$45:$J$54,0)</f>
        <v>10</v>
      </c>
      <c r="V601" s="196">
        <f>MATCH($K601,Reference!$J$37:$J$39,0)</f>
        <v>3</v>
      </c>
      <c r="W601" s="197">
        <f t="shared" si="874"/>
        <v>1</v>
      </c>
      <c r="X601" s="197">
        <f t="shared" si="1"/>
        <v>1</v>
      </c>
      <c r="Y601" s="197">
        <f t="shared" si="875"/>
        <v>0</v>
      </c>
      <c r="Z601" s="197">
        <f t="shared" si="876"/>
        <v>2</v>
      </c>
      <c r="AA601" s="199" t="b">
        <f t="shared" si="3"/>
        <v>0</v>
      </c>
      <c r="AB601" s="199" t="b">
        <f t="shared" si="4"/>
        <v>0</v>
      </c>
      <c r="AC601" s="200">
        <f t="shared" ref="AC601:AD601" si="881">1-I601</f>
        <v>0</v>
      </c>
      <c r="AD601" s="200">
        <f t="shared" si="881"/>
        <v>1</v>
      </c>
      <c r="AE601" s="199">
        <f t="shared" si="6"/>
        <v>1</v>
      </c>
      <c r="AF601" s="201">
        <f t="shared" si="878"/>
        <v>0</v>
      </c>
      <c r="AG601" s="201">
        <f t="shared" si="8"/>
        <v>1</v>
      </c>
      <c r="AH601" s="202">
        <f t="shared" si="879"/>
        <v>0</v>
      </c>
      <c r="AI601" s="205"/>
      <c r="AJ601" s="173"/>
      <c r="AK601" s="173"/>
      <c r="AL601" s="173"/>
      <c r="AM601" s="173"/>
      <c r="AN601" s="173"/>
      <c r="AO601" s="173"/>
      <c r="AP601" s="173"/>
      <c r="AQ601" s="173"/>
      <c r="AR601" s="173"/>
      <c r="AS601" s="173"/>
      <c r="AT601" s="173"/>
      <c r="AU601" s="173"/>
      <c r="AV601" s="173"/>
    </row>
    <row r="602" spans="1:48" ht="14.25">
      <c r="A602" s="240"/>
      <c r="B602" s="513">
        <v>5</v>
      </c>
      <c r="C602" s="514" t="s">
        <v>1351</v>
      </c>
      <c r="D602" s="515" t="s">
        <v>70</v>
      </c>
      <c r="E602" s="515" t="s">
        <v>79</v>
      </c>
      <c r="F602" s="515" t="s">
        <v>115</v>
      </c>
      <c r="G602" s="516">
        <f>IF(Setup!$N$9&gt;=VLOOKUP(C602,Reference!$N$41:$O$70,2,0),1,0)</f>
        <v>1</v>
      </c>
      <c r="H602" s="516">
        <v>0</v>
      </c>
      <c r="I602" s="517">
        <v>1</v>
      </c>
      <c r="J602" s="299"/>
      <c r="K602" s="516" t="s">
        <v>182</v>
      </c>
      <c r="L602" s="516"/>
      <c r="M602" s="516">
        <v>7</v>
      </c>
      <c r="N602" s="516">
        <v>4</v>
      </c>
      <c r="O602" s="518" t="s">
        <v>1352</v>
      </c>
      <c r="P602" s="519" t="s">
        <v>454</v>
      </c>
      <c r="Q602" s="515" t="s">
        <v>979</v>
      </c>
      <c r="R602" s="173"/>
      <c r="S602" s="195">
        <f>MATCH($D602,Reference!$J$5:$J$9,0)</f>
        <v>5</v>
      </c>
      <c r="T602" s="195">
        <f>MATCH($E602,Reference!$J$26:$J$32,0)</f>
        <v>4</v>
      </c>
      <c r="U602" s="195">
        <f>MATCH($F602,Reference!$J$45:$J$54,0)</f>
        <v>10</v>
      </c>
      <c r="V602" s="196">
        <f>MATCH($K602,Reference!$J$37:$J$39,0)</f>
        <v>3</v>
      </c>
      <c r="W602" s="197">
        <f t="shared" si="874"/>
        <v>1</v>
      </c>
      <c r="X602" s="197">
        <f t="shared" si="1"/>
        <v>1</v>
      </c>
      <c r="Y602" s="197">
        <f t="shared" si="875"/>
        <v>0</v>
      </c>
      <c r="Z602" s="197">
        <f t="shared" si="876"/>
        <v>2</v>
      </c>
      <c r="AA602" s="199" t="b">
        <f t="shared" si="3"/>
        <v>0</v>
      </c>
      <c r="AB602" s="199" t="b">
        <f t="shared" si="4"/>
        <v>0</v>
      </c>
      <c r="AC602" s="200">
        <f t="shared" ref="AC602:AD602" si="882">1-I602</f>
        <v>0</v>
      </c>
      <c r="AD602" s="200">
        <f t="shared" si="882"/>
        <v>1</v>
      </c>
      <c r="AE602" s="199">
        <f t="shared" si="6"/>
        <v>1</v>
      </c>
      <c r="AF602" s="201">
        <f t="shared" si="878"/>
        <v>0</v>
      </c>
      <c r="AG602" s="201">
        <f t="shared" si="8"/>
        <v>1</v>
      </c>
      <c r="AH602" s="202">
        <f t="shared" si="879"/>
        <v>0</v>
      </c>
      <c r="AI602" s="205"/>
      <c r="AJ602" s="173"/>
      <c r="AK602" s="173"/>
      <c r="AL602" s="173"/>
      <c r="AM602" s="173"/>
      <c r="AN602" s="173"/>
      <c r="AO602" s="173"/>
      <c r="AP602" s="173"/>
      <c r="AQ602" s="173"/>
      <c r="AR602" s="173"/>
      <c r="AS602" s="173"/>
      <c r="AT602" s="173"/>
      <c r="AU602" s="173"/>
      <c r="AV602" s="173"/>
    </row>
    <row r="603" spans="1:48" ht="14.25">
      <c r="A603" s="209"/>
      <c r="B603" s="513">
        <v>6</v>
      </c>
      <c r="C603" s="514" t="s">
        <v>1353</v>
      </c>
      <c r="D603" s="515" t="s">
        <v>70</v>
      </c>
      <c r="E603" s="515" t="s">
        <v>79</v>
      </c>
      <c r="F603" s="515" t="s">
        <v>115</v>
      </c>
      <c r="G603" s="516">
        <f>IF(Setup!$N$9&gt;=VLOOKUP(C603,Reference!$N$41:$O$70,2,0),1,0)</f>
        <v>1</v>
      </c>
      <c r="H603" s="516">
        <v>0</v>
      </c>
      <c r="I603" s="517">
        <v>1</v>
      </c>
      <c r="J603" s="299"/>
      <c r="K603" s="515" t="s">
        <v>182</v>
      </c>
      <c r="L603" s="515"/>
      <c r="M603" s="520">
        <v>2</v>
      </c>
      <c r="N603" s="521">
        <v>8</v>
      </c>
      <c r="O603" s="518" t="s">
        <v>880</v>
      </c>
      <c r="P603" s="301"/>
      <c r="Q603" s="515" t="s">
        <v>979</v>
      </c>
      <c r="R603" s="173"/>
      <c r="S603" s="195">
        <f>MATCH($D603,Reference!$J$5:$J$9,0)</f>
        <v>5</v>
      </c>
      <c r="T603" s="195">
        <f>MATCH($E603,Reference!$J$26:$J$32,0)</f>
        <v>4</v>
      </c>
      <c r="U603" s="195">
        <f>MATCH($F603,Reference!$J$45:$J$54,0)</f>
        <v>10</v>
      </c>
      <c r="V603" s="196">
        <f>MATCH($K603,Reference!$J$37:$J$39,0)</f>
        <v>3</v>
      </c>
      <c r="W603" s="197">
        <f t="shared" si="874"/>
        <v>1</v>
      </c>
      <c r="X603" s="197">
        <f t="shared" si="1"/>
        <v>1</v>
      </c>
      <c r="Y603" s="197">
        <f t="shared" si="875"/>
        <v>0</v>
      </c>
      <c r="Z603" s="197">
        <f t="shared" si="876"/>
        <v>2</v>
      </c>
      <c r="AA603" s="199" t="b">
        <f t="shared" si="3"/>
        <v>0</v>
      </c>
      <c r="AB603" s="199" t="b">
        <f t="shared" si="4"/>
        <v>0</v>
      </c>
      <c r="AC603" s="200">
        <f t="shared" ref="AC603:AD603" si="883">1-I603</f>
        <v>0</v>
      </c>
      <c r="AD603" s="200">
        <f t="shared" si="883"/>
        <v>1</v>
      </c>
      <c r="AE603" s="199">
        <f t="shared" si="6"/>
        <v>1</v>
      </c>
      <c r="AF603" s="201">
        <f t="shared" si="878"/>
        <v>0</v>
      </c>
      <c r="AG603" s="201">
        <f t="shared" si="8"/>
        <v>1</v>
      </c>
      <c r="AH603" s="202">
        <f t="shared" si="879"/>
        <v>0</v>
      </c>
      <c r="AI603" s="205"/>
      <c r="AJ603" s="173"/>
      <c r="AK603" s="173"/>
      <c r="AL603" s="173"/>
      <c r="AM603" s="173"/>
      <c r="AN603" s="173"/>
      <c r="AO603" s="173"/>
      <c r="AP603" s="173"/>
      <c r="AQ603" s="173"/>
      <c r="AR603" s="173"/>
      <c r="AS603" s="173"/>
      <c r="AT603" s="173"/>
      <c r="AU603" s="173"/>
      <c r="AV603" s="173"/>
    </row>
    <row r="604" spans="1:48" ht="14.25">
      <c r="A604" s="279"/>
      <c r="B604" s="513">
        <v>8</v>
      </c>
      <c r="C604" s="514" t="s">
        <v>1354</v>
      </c>
      <c r="D604" s="515" t="s">
        <v>70</v>
      </c>
      <c r="E604" s="515" t="s">
        <v>79</v>
      </c>
      <c r="F604" s="515" t="s">
        <v>115</v>
      </c>
      <c r="G604" s="516">
        <f>IF(Setup!$N$9&gt;=VLOOKUP(C604,Reference!$N$41:$O$70,2,0),1,0)</f>
        <v>1</v>
      </c>
      <c r="H604" s="516">
        <v>0</v>
      </c>
      <c r="I604" s="517">
        <v>1</v>
      </c>
      <c r="J604" s="299"/>
      <c r="K604" s="516" t="s">
        <v>182</v>
      </c>
      <c r="L604" s="516"/>
      <c r="M604" s="516">
        <v>6</v>
      </c>
      <c r="N604" s="516">
        <v>8</v>
      </c>
      <c r="O604" s="518" t="s">
        <v>1355</v>
      </c>
      <c r="P604" s="301"/>
      <c r="Q604" s="515" t="s">
        <v>979</v>
      </c>
      <c r="R604" s="173"/>
      <c r="S604" s="195">
        <f>MATCH($D604,Reference!$J$5:$J$9,0)</f>
        <v>5</v>
      </c>
      <c r="T604" s="195">
        <f>MATCH($E604,Reference!$J$26:$J$32,0)</f>
        <v>4</v>
      </c>
      <c r="U604" s="195">
        <f>MATCH($F604,Reference!$J$45:$J$54,0)</f>
        <v>10</v>
      </c>
      <c r="V604" s="196">
        <f>MATCH($K604,Reference!$J$37:$J$39,0)</f>
        <v>3</v>
      </c>
      <c r="W604" s="197">
        <f t="shared" si="874"/>
        <v>1</v>
      </c>
      <c r="X604" s="197">
        <f t="shared" si="1"/>
        <v>1</v>
      </c>
      <c r="Y604" s="197">
        <f t="shared" si="875"/>
        <v>0</v>
      </c>
      <c r="Z604" s="197">
        <f t="shared" si="876"/>
        <v>2</v>
      </c>
      <c r="AA604" s="199" t="b">
        <f t="shared" si="3"/>
        <v>0</v>
      </c>
      <c r="AB604" s="199" t="b">
        <f t="shared" si="4"/>
        <v>0</v>
      </c>
      <c r="AC604" s="200">
        <f t="shared" ref="AC604:AD604" si="884">1-I604</f>
        <v>0</v>
      </c>
      <c r="AD604" s="200">
        <f t="shared" si="884"/>
        <v>1</v>
      </c>
      <c r="AE604" s="199">
        <f t="shared" si="6"/>
        <v>1</v>
      </c>
      <c r="AF604" s="201">
        <f t="shared" si="878"/>
        <v>0</v>
      </c>
      <c r="AG604" s="201">
        <f t="shared" si="8"/>
        <v>1</v>
      </c>
      <c r="AH604" s="202">
        <f t="shared" si="879"/>
        <v>0</v>
      </c>
      <c r="AI604" s="205"/>
      <c r="AJ604" s="173"/>
      <c r="AK604" s="173"/>
      <c r="AL604" s="173"/>
      <c r="AM604" s="173"/>
      <c r="AN604" s="173"/>
      <c r="AO604" s="173"/>
      <c r="AP604" s="173"/>
      <c r="AQ604" s="173"/>
      <c r="AR604" s="173"/>
      <c r="AS604" s="173"/>
      <c r="AT604" s="173"/>
      <c r="AU604" s="173"/>
      <c r="AV604" s="173"/>
    </row>
    <row r="605" spans="1:48" ht="14.25">
      <c r="A605" s="187"/>
      <c r="B605" s="522">
        <v>2</v>
      </c>
      <c r="C605" s="523" t="s">
        <v>1356</v>
      </c>
      <c r="D605" s="524" t="s">
        <v>68</v>
      </c>
      <c r="E605" s="524" t="s">
        <v>79</v>
      </c>
      <c r="F605" s="524" t="s">
        <v>115</v>
      </c>
      <c r="G605" s="525">
        <f>IF(Setup!$N$9&gt;=VLOOKUP(C605,Reference!$N$41:$O$70,2,0),2,0)</f>
        <v>2</v>
      </c>
      <c r="H605" s="525">
        <v>0</v>
      </c>
      <c r="I605" s="526">
        <v>1</v>
      </c>
      <c r="J605" s="527"/>
      <c r="K605" s="524" t="s">
        <v>182</v>
      </c>
      <c r="L605" s="524"/>
      <c r="M605" s="528">
        <v>0</v>
      </c>
      <c r="N605" s="529">
        <v>2</v>
      </c>
      <c r="O605" s="530" t="s">
        <v>1357</v>
      </c>
      <c r="P605" s="531" t="s">
        <v>454</v>
      </c>
      <c r="Q605" s="524" t="s">
        <v>979</v>
      </c>
      <c r="R605" s="173"/>
      <c r="S605" s="195">
        <f>MATCH($D605,Reference!$J$5:$J$9,0)</f>
        <v>3</v>
      </c>
      <c r="T605" s="195">
        <f>MATCH($E605,Reference!$J$26:$J$32,0)</f>
        <v>4</v>
      </c>
      <c r="U605" s="195">
        <f>MATCH($F605,Reference!$J$45:$J$54,0)</f>
        <v>10</v>
      </c>
      <c r="V605" s="196">
        <f>MATCH($K605,Reference!$J$37:$J$39,0)</f>
        <v>3</v>
      </c>
      <c r="W605" s="197">
        <f t="shared" ref="W605:W609" si="885">MIN((G605+H605),2)</f>
        <v>2</v>
      </c>
      <c r="X605" s="197">
        <f t="shared" si="1"/>
        <v>1</v>
      </c>
      <c r="Y605" s="198">
        <v>0</v>
      </c>
      <c r="Z605" s="197">
        <f t="shared" ref="Z605:Z609" si="886">MIN((G605+H605),2)</f>
        <v>2</v>
      </c>
      <c r="AA605" s="199" t="b">
        <f t="shared" si="3"/>
        <v>0</v>
      </c>
      <c r="AB605" s="199" t="b">
        <f t="shared" si="4"/>
        <v>0</v>
      </c>
      <c r="AC605" s="200">
        <f t="shared" ref="AC605:AD605" si="887">1-I605</f>
        <v>0</v>
      </c>
      <c r="AD605" s="200">
        <f t="shared" si="887"/>
        <v>1</v>
      </c>
      <c r="AE605" s="199">
        <f t="shared" si="6"/>
        <v>2</v>
      </c>
      <c r="AF605" s="201">
        <f t="shared" ref="AF605:AF609" si="888">MIN((H605),2)</f>
        <v>0</v>
      </c>
      <c r="AG605" s="201">
        <f t="shared" si="8"/>
        <v>1</v>
      </c>
      <c r="AH605" s="202">
        <f t="shared" ref="AH605:AH608" si="889">(MIN(H605,2)+G605-W605)*20</f>
        <v>0</v>
      </c>
      <c r="AI605" s="205"/>
      <c r="AJ605" s="173"/>
      <c r="AK605" s="173"/>
      <c r="AL605" s="173"/>
      <c r="AM605" s="173"/>
      <c r="AN605" s="173"/>
      <c r="AO605" s="173"/>
      <c r="AP605" s="173"/>
      <c r="AQ605" s="173"/>
      <c r="AR605" s="173"/>
      <c r="AS605" s="173"/>
      <c r="AT605" s="173"/>
      <c r="AU605" s="173"/>
      <c r="AV605" s="173"/>
    </row>
    <row r="606" spans="1:48" ht="14.25">
      <c r="A606" s="240"/>
      <c r="B606" s="522">
        <v>3</v>
      </c>
      <c r="C606" s="523" t="s">
        <v>1358</v>
      </c>
      <c r="D606" s="524" t="s">
        <v>68</v>
      </c>
      <c r="E606" s="524" t="s">
        <v>79</v>
      </c>
      <c r="F606" s="524" t="s">
        <v>115</v>
      </c>
      <c r="G606" s="525">
        <f>IF(Setup!$N$9&gt;=VLOOKUP(C606,Reference!$N$41:$O$70,2,0),2,0)</f>
        <v>2</v>
      </c>
      <c r="H606" s="525">
        <v>0</v>
      </c>
      <c r="I606" s="526">
        <v>1</v>
      </c>
      <c r="J606" s="527"/>
      <c r="K606" s="525" t="s">
        <v>182</v>
      </c>
      <c r="L606" s="525"/>
      <c r="M606" s="525">
        <v>2</v>
      </c>
      <c r="N606" s="525">
        <v>8</v>
      </c>
      <c r="O606" s="530" t="s">
        <v>1359</v>
      </c>
      <c r="P606" s="531" t="s">
        <v>945</v>
      </c>
      <c r="Q606" s="524" t="s">
        <v>979</v>
      </c>
      <c r="R606" s="173"/>
      <c r="S606" s="195">
        <f>MATCH($D606,Reference!$J$5:$J$9,0)</f>
        <v>3</v>
      </c>
      <c r="T606" s="195">
        <f>MATCH($E606,Reference!$J$26:$J$32,0)</f>
        <v>4</v>
      </c>
      <c r="U606" s="195">
        <f>MATCH($F606,Reference!$J$45:$J$54,0)</f>
        <v>10</v>
      </c>
      <c r="V606" s="196">
        <f>MATCH($K606,Reference!$J$37:$J$39,0)</f>
        <v>3</v>
      </c>
      <c r="W606" s="197">
        <f t="shared" si="885"/>
        <v>2</v>
      </c>
      <c r="X606" s="197">
        <f t="shared" si="1"/>
        <v>1</v>
      </c>
      <c r="Y606" s="198">
        <v>0</v>
      </c>
      <c r="Z606" s="197">
        <f t="shared" si="886"/>
        <v>2</v>
      </c>
      <c r="AA606" s="199" t="b">
        <f t="shared" si="3"/>
        <v>0</v>
      </c>
      <c r="AB606" s="199" t="b">
        <f t="shared" si="4"/>
        <v>0</v>
      </c>
      <c r="AC606" s="200">
        <f t="shared" ref="AC606:AD606" si="890">1-I606</f>
        <v>0</v>
      </c>
      <c r="AD606" s="200">
        <f t="shared" si="890"/>
        <v>1</v>
      </c>
      <c r="AE606" s="199">
        <f t="shared" si="6"/>
        <v>2</v>
      </c>
      <c r="AF606" s="201">
        <f t="shared" si="888"/>
        <v>0</v>
      </c>
      <c r="AG606" s="201">
        <f t="shared" si="8"/>
        <v>1</v>
      </c>
      <c r="AH606" s="202">
        <f t="shared" si="889"/>
        <v>0</v>
      </c>
      <c r="AI606" s="205"/>
      <c r="AJ606" s="173"/>
      <c r="AK606" s="173"/>
      <c r="AL606" s="173"/>
      <c r="AM606" s="173"/>
      <c r="AN606" s="173"/>
      <c r="AO606" s="173"/>
      <c r="AP606" s="173"/>
      <c r="AQ606" s="173"/>
      <c r="AR606" s="173"/>
      <c r="AS606" s="173"/>
      <c r="AT606" s="173"/>
      <c r="AU606" s="173"/>
      <c r="AV606" s="173"/>
    </row>
    <row r="607" spans="1:48" ht="14.25">
      <c r="A607" s="206"/>
      <c r="B607" s="522">
        <v>4</v>
      </c>
      <c r="C607" s="523" t="s">
        <v>1360</v>
      </c>
      <c r="D607" s="524" t="s">
        <v>68</v>
      </c>
      <c r="E607" s="524" t="s">
        <v>79</v>
      </c>
      <c r="F607" s="524" t="s">
        <v>115</v>
      </c>
      <c r="G607" s="525">
        <f>IF(Setup!$N$9&gt;=VLOOKUP(C607,Reference!$N$41:$O$70,2,0),2,0)</f>
        <v>2</v>
      </c>
      <c r="H607" s="525">
        <v>0</v>
      </c>
      <c r="I607" s="526">
        <v>1</v>
      </c>
      <c r="J607" s="527"/>
      <c r="K607" s="525" t="s">
        <v>182</v>
      </c>
      <c r="L607" s="525"/>
      <c r="M607" s="525">
        <v>3</v>
      </c>
      <c r="N607" s="525">
        <v>5</v>
      </c>
      <c r="O607" s="530" t="s">
        <v>1361</v>
      </c>
      <c r="P607" s="531" t="s">
        <v>275</v>
      </c>
      <c r="Q607" s="524" t="s">
        <v>979</v>
      </c>
      <c r="R607" s="173"/>
      <c r="S607" s="195">
        <f>MATCH($D607,Reference!$J$5:$J$9,0)</f>
        <v>3</v>
      </c>
      <c r="T607" s="195">
        <f>MATCH($E607,Reference!$J$26:$J$32,0)</f>
        <v>4</v>
      </c>
      <c r="U607" s="195">
        <f>MATCH($F607,Reference!$J$45:$J$54,0)</f>
        <v>10</v>
      </c>
      <c r="V607" s="196">
        <f>MATCH($K607,Reference!$J$37:$J$39,0)</f>
        <v>3</v>
      </c>
      <c r="W607" s="197">
        <f t="shared" si="885"/>
        <v>2</v>
      </c>
      <c r="X607" s="197">
        <f t="shared" si="1"/>
        <v>1</v>
      </c>
      <c r="Y607" s="198">
        <v>0</v>
      </c>
      <c r="Z607" s="197">
        <f t="shared" si="886"/>
        <v>2</v>
      </c>
      <c r="AA607" s="199" t="b">
        <f t="shared" si="3"/>
        <v>0</v>
      </c>
      <c r="AB607" s="199" t="b">
        <f t="shared" si="4"/>
        <v>0</v>
      </c>
      <c r="AC607" s="200">
        <f t="shared" ref="AC607:AD607" si="891">1-I607</f>
        <v>0</v>
      </c>
      <c r="AD607" s="200">
        <f t="shared" si="891"/>
        <v>1</v>
      </c>
      <c r="AE607" s="199">
        <f t="shared" si="6"/>
        <v>2</v>
      </c>
      <c r="AF607" s="201">
        <f t="shared" si="888"/>
        <v>0</v>
      </c>
      <c r="AG607" s="201">
        <f t="shared" si="8"/>
        <v>1</v>
      </c>
      <c r="AH607" s="202">
        <f t="shared" si="889"/>
        <v>0</v>
      </c>
      <c r="AI607" s="205"/>
      <c r="AJ607" s="173"/>
      <c r="AK607" s="173"/>
      <c r="AL607" s="173"/>
      <c r="AM607" s="173"/>
      <c r="AN607" s="173"/>
      <c r="AO607" s="173"/>
      <c r="AP607" s="173"/>
      <c r="AQ607" s="173"/>
      <c r="AR607" s="173"/>
      <c r="AS607" s="173"/>
      <c r="AT607" s="173"/>
      <c r="AU607" s="173"/>
      <c r="AV607" s="173"/>
    </row>
    <row r="608" spans="1:48" ht="14.25">
      <c r="A608" s="211"/>
      <c r="B608" s="522">
        <v>5</v>
      </c>
      <c r="C608" s="523" t="s">
        <v>1362</v>
      </c>
      <c r="D608" s="524" t="s">
        <v>68</v>
      </c>
      <c r="E608" s="524" t="s">
        <v>79</v>
      </c>
      <c r="F608" s="524" t="s">
        <v>115</v>
      </c>
      <c r="G608" s="525">
        <f>IF(Setup!$N$9&gt;=VLOOKUP(C608,Reference!$N$41:$O$70,2,0),2,0)</f>
        <v>2</v>
      </c>
      <c r="H608" s="525">
        <v>0</v>
      </c>
      <c r="I608" s="526">
        <v>1</v>
      </c>
      <c r="J608" s="527"/>
      <c r="K608" s="525" t="s">
        <v>182</v>
      </c>
      <c r="L608" s="525"/>
      <c r="M608" s="525">
        <v>3</v>
      </c>
      <c r="N608" s="525">
        <v>5</v>
      </c>
      <c r="O608" s="530" t="s">
        <v>1363</v>
      </c>
      <c r="P608" s="531" t="s">
        <v>945</v>
      </c>
      <c r="Q608" s="524" t="s">
        <v>979</v>
      </c>
      <c r="R608" s="173"/>
      <c r="S608" s="195">
        <f>MATCH($D608,Reference!$J$5:$J$9,0)</f>
        <v>3</v>
      </c>
      <c r="T608" s="195">
        <f>MATCH($E608,Reference!$J$26:$J$32,0)</f>
        <v>4</v>
      </c>
      <c r="U608" s="195">
        <f>MATCH($F608,Reference!$J$45:$J$54,0)</f>
        <v>10</v>
      </c>
      <c r="V608" s="196">
        <f>MATCH($K608,Reference!$J$37:$J$39,0)</f>
        <v>3</v>
      </c>
      <c r="W608" s="197">
        <f t="shared" si="885"/>
        <v>2</v>
      </c>
      <c r="X608" s="197">
        <f t="shared" si="1"/>
        <v>1</v>
      </c>
      <c r="Y608" s="198">
        <v>0</v>
      </c>
      <c r="Z608" s="197">
        <f t="shared" si="886"/>
        <v>2</v>
      </c>
      <c r="AA608" s="199" t="b">
        <f t="shared" si="3"/>
        <v>0</v>
      </c>
      <c r="AB608" s="199" t="b">
        <f t="shared" si="4"/>
        <v>0</v>
      </c>
      <c r="AC608" s="200">
        <f t="shared" ref="AC608:AD608" si="892">1-I608</f>
        <v>0</v>
      </c>
      <c r="AD608" s="200">
        <f t="shared" si="892"/>
        <v>1</v>
      </c>
      <c r="AE608" s="199">
        <f t="shared" si="6"/>
        <v>2</v>
      </c>
      <c r="AF608" s="201">
        <f t="shared" si="888"/>
        <v>0</v>
      </c>
      <c r="AG608" s="201">
        <f t="shared" si="8"/>
        <v>1</v>
      </c>
      <c r="AH608" s="202">
        <f t="shared" si="889"/>
        <v>0</v>
      </c>
      <c r="AI608" s="205"/>
      <c r="AJ608" s="173"/>
      <c r="AK608" s="173"/>
      <c r="AL608" s="173"/>
      <c r="AM608" s="173"/>
      <c r="AN608" s="173"/>
      <c r="AO608" s="173"/>
      <c r="AP608" s="173"/>
      <c r="AQ608" s="173"/>
      <c r="AR608" s="173"/>
      <c r="AS608" s="173"/>
      <c r="AT608" s="173"/>
      <c r="AU608" s="173"/>
      <c r="AV608" s="173"/>
    </row>
    <row r="609" spans="1:48" ht="14.25">
      <c r="A609" s="187"/>
      <c r="B609" s="532">
        <v>2</v>
      </c>
      <c r="C609" s="533" t="s">
        <v>1364</v>
      </c>
      <c r="D609" s="534" t="s">
        <v>69</v>
      </c>
      <c r="E609" s="534" t="s">
        <v>78</v>
      </c>
      <c r="F609" s="534" t="s">
        <v>115</v>
      </c>
      <c r="G609" s="535">
        <v>2</v>
      </c>
      <c r="H609" s="535">
        <v>0</v>
      </c>
      <c r="I609" s="536">
        <v>0</v>
      </c>
      <c r="J609" s="510"/>
      <c r="K609" s="535" t="s">
        <v>182</v>
      </c>
      <c r="L609" s="535" t="s">
        <v>230</v>
      </c>
      <c r="M609" s="535">
        <v>1</v>
      </c>
      <c r="N609" s="535">
        <v>1</v>
      </c>
      <c r="O609" s="537" t="s">
        <v>1365</v>
      </c>
      <c r="P609" s="473" t="s">
        <v>184</v>
      </c>
      <c r="Q609" s="534" t="s">
        <v>979</v>
      </c>
      <c r="R609" s="173"/>
      <c r="S609" s="195">
        <f>MATCH($D609,Reference!$J$5:$J$9,0)</f>
        <v>4</v>
      </c>
      <c r="T609" s="195">
        <f>MATCH($E609,Reference!$J$26:$J$32,0)</f>
        <v>3</v>
      </c>
      <c r="U609" s="195">
        <f>MATCH($F609,Reference!$J$45:$J$54,0)</f>
        <v>10</v>
      </c>
      <c r="V609" s="196">
        <f>MATCH($K609,Reference!$J$37:$J$39,0)</f>
        <v>3</v>
      </c>
      <c r="W609" s="197">
        <f t="shared" si="885"/>
        <v>2</v>
      </c>
      <c r="X609" s="197">
        <f t="shared" si="1"/>
        <v>1</v>
      </c>
      <c r="Y609" s="197">
        <f>(MIN(G609,2)+H609-W609)*400</f>
        <v>0</v>
      </c>
      <c r="Z609" s="197">
        <f t="shared" si="886"/>
        <v>2</v>
      </c>
      <c r="AA609" s="199" t="b">
        <f t="shared" si="3"/>
        <v>0</v>
      </c>
      <c r="AB609" s="199" t="b">
        <f t="shared" si="4"/>
        <v>0</v>
      </c>
      <c r="AC609" s="200">
        <f t="shared" ref="AC609:AD609" si="893">1-I609</f>
        <v>1</v>
      </c>
      <c r="AD609" s="200">
        <f t="shared" si="893"/>
        <v>1</v>
      </c>
      <c r="AE609" s="199">
        <f t="shared" si="6"/>
        <v>2</v>
      </c>
      <c r="AF609" s="201">
        <f t="shared" si="888"/>
        <v>0</v>
      </c>
      <c r="AG609" s="201">
        <f t="shared" si="8"/>
        <v>1</v>
      </c>
      <c r="AH609" s="202">
        <f>(MIN(H609,2)+G609-W609)*100</f>
        <v>0</v>
      </c>
      <c r="AI609" s="205"/>
      <c r="AJ609" s="173"/>
      <c r="AK609" s="173"/>
      <c r="AL609" s="173"/>
      <c r="AM609" s="173"/>
      <c r="AN609" s="173"/>
      <c r="AO609" s="173"/>
      <c r="AP609" s="173"/>
      <c r="AQ609" s="173"/>
      <c r="AR609" s="173"/>
      <c r="AS609" s="173"/>
      <c r="AT609" s="173"/>
      <c r="AU609" s="173"/>
      <c r="AV609" s="173"/>
    </row>
    <row r="610" spans="1:48" ht="14.25">
      <c r="A610" s="240"/>
      <c r="B610" s="538">
        <v>4</v>
      </c>
      <c r="C610" s="539" t="s">
        <v>1366</v>
      </c>
      <c r="D610" s="540" t="s">
        <v>70</v>
      </c>
      <c r="E610" s="540" t="s">
        <v>78</v>
      </c>
      <c r="F610" s="540" t="s">
        <v>115</v>
      </c>
      <c r="G610" s="541">
        <v>1</v>
      </c>
      <c r="H610" s="541">
        <v>0</v>
      </c>
      <c r="I610" s="542">
        <v>1</v>
      </c>
      <c r="J610" s="299"/>
      <c r="K610" s="541" t="s">
        <v>182</v>
      </c>
      <c r="L610" s="541" t="s">
        <v>195</v>
      </c>
      <c r="M610" s="541">
        <v>2</v>
      </c>
      <c r="N610" s="541">
        <v>4</v>
      </c>
      <c r="O610" s="543" t="s">
        <v>1367</v>
      </c>
      <c r="P610" s="479" t="s">
        <v>396</v>
      </c>
      <c r="Q610" s="540" t="s">
        <v>979</v>
      </c>
      <c r="R610" s="173"/>
      <c r="S610" s="195">
        <f>MATCH($D610,Reference!$J$5:$J$9,0)</f>
        <v>5</v>
      </c>
      <c r="T610" s="195">
        <f>MATCH($E610,Reference!$J$26:$J$32,0)</f>
        <v>3</v>
      </c>
      <c r="U610" s="195">
        <f>MATCH($F610,Reference!$J$45:$J$54,0)</f>
        <v>10</v>
      </c>
      <c r="V610" s="196">
        <f>MATCH($K610,Reference!$J$37:$J$39,0)</f>
        <v>3</v>
      </c>
      <c r="W610" s="197">
        <f t="shared" ref="W610:W612" si="894">MIN((G610+H610),1)</f>
        <v>1</v>
      </c>
      <c r="X610" s="197">
        <f t="shared" si="1"/>
        <v>1</v>
      </c>
      <c r="Y610" s="197">
        <f t="shared" ref="Y610:Y612" si="895">(MIN(G610,1)+H610-W610)*1600</f>
        <v>0</v>
      </c>
      <c r="Z610" s="197">
        <f t="shared" ref="Z610:Z612" si="896">MIN((G610+H610+1),2)</f>
        <v>2</v>
      </c>
      <c r="AA610" s="199" t="b">
        <f t="shared" si="3"/>
        <v>0</v>
      </c>
      <c r="AB610" s="199" t="b">
        <f t="shared" si="4"/>
        <v>0</v>
      </c>
      <c r="AC610" s="200">
        <f t="shared" ref="AC610:AD610" si="897">1-I610</f>
        <v>0</v>
      </c>
      <c r="AD610" s="200">
        <f t="shared" si="897"/>
        <v>1</v>
      </c>
      <c r="AE610" s="199">
        <f t="shared" si="6"/>
        <v>1</v>
      </c>
      <c r="AF610" s="201">
        <f t="shared" ref="AF610:AF612" si="898">MIN((H610),1)</f>
        <v>0</v>
      </c>
      <c r="AG610" s="201">
        <f t="shared" si="8"/>
        <v>1</v>
      </c>
      <c r="AH610" s="202">
        <f t="shared" ref="AH610:AH612" si="899">(MIN(H610,2)+G610-W610)*400</f>
        <v>0</v>
      </c>
      <c r="AI610" s="205"/>
      <c r="AJ610" s="173"/>
      <c r="AK610" s="173"/>
      <c r="AL610" s="173"/>
      <c r="AM610" s="173"/>
      <c r="AN610" s="173"/>
      <c r="AO610" s="173"/>
      <c r="AP610" s="173"/>
      <c r="AQ610" s="173"/>
      <c r="AR610" s="173"/>
      <c r="AS610" s="173"/>
      <c r="AT610" s="173"/>
      <c r="AU610" s="173"/>
      <c r="AV610" s="173"/>
    </row>
    <row r="611" spans="1:48" ht="14.25">
      <c r="A611" s="187"/>
      <c r="B611" s="538">
        <v>5</v>
      </c>
      <c r="C611" s="544" t="s">
        <v>1368</v>
      </c>
      <c r="D611" s="540" t="s">
        <v>70</v>
      </c>
      <c r="E611" s="540" t="s">
        <v>78</v>
      </c>
      <c r="F611" s="540" t="s">
        <v>115</v>
      </c>
      <c r="G611" s="541">
        <v>0</v>
      </c>
      <c r="H611" s="541">
        <v>0</v>
      </c>
      <c r="I611" s="542">
        <v>0.2</v>
      </c>
      <c r="J611" s="299"/>
      <c r="K611" s="541" t="s">
        <v>182</v>
      </c>
      <c r="L611" s="541"/>
      <c r="M611" s="541">
        <v>5</v>
      </c>
      <c r="N611" s="541">
        <v>5</v>
      </c>
      <c r="O611" s="543" t="s">
        <v>1369</v>
      </c>
      <c r="P611" s="479" t="s">
        <v>275</v>
      </c>
      <c r="Q611" s="540" t="s">
        <v>979</v>
      </c>
      <c r="R611" s="173"/>
      <c r="S611" s="195">
        <f>MATCH($D611,Reference!$J$5:$J$9,0)</f>
        <v>5</v>
      </c>
      <c r="T611" s="195">
        <f>MATCH($E611,Reference!$J$26:$J$32,0)</f>
        <v>3</v>
      </c>
      <c r="U611" s="195">
        <f>MATCH($F611,Reference!$J$45:$J$54,0)</f>
        <v>10</v>
      </c>
      <c r="V611" s="196">
        <f>MATCH($K611,Reference!$J$37:$J$39,0)</f>
        <v>3</v>
      </c>
      <c r="W611" s="197">
        <f t="shared" si="894"/>
        <v>0</v>
      </c>
      <c r="X611" s="197">
        <f t="shared" si="1"/>
        <v>0</v>
      </c>
      <c r="Y611" s="197">
        <f t="shared" si="895"/>
        <v>0</v>
      </c>
      <c r="Z611" s="197">
        <f t="shared" si="896"/>
        <v>1</v>
      </c>
      <c r="AA611" s="199" t="b">
        <f t="shared" si="3"/>
        <v>1</v>
      </c>
      <c r="AB611" s="199" t="b">
        <f t="shared" si="4"/>
        <v>0</v>
      </c>
      <c r="AC611" s="200">
        <f t="shared" ref="AC611:AD611" si="900">1-I611</f>
        <v>0.8</v>
      </c>
      <c r="AD611" s="200">
        <f t="shared" si="900"/>
        <v>1</v>
      </c>
      <c r="AE611" s="199">
        <f t="shared" si="6"/>
        <v>0.8</v>
      </c>
      <c r="AF611" s="201">
        <f t="shared" si="898"/>
        <v>0</v>
      </c>
      <c r="AG611" s="201">
        <f t="shared" si="8"/>
        <v>0</v>
      </c>
      <c r="AH611" s="202">
        <f t="shared" si="899"/>
        <v>0</v>
      </c>
      <c r="AI611" s="205"/>
      <c r="AJ611" s="173"/>
      <c r="AK611" s="173"/>
      <c r="AL611" s="173"/>
      <c r="AM611" s="173"/>
      <c r="AN611" s="173"/>
      <c r="AO611" s="173"/>
      <c r="AP611" s="173"/>
      <c r="AQ611" s="173"/>
      <c r="AR611" s="173"/>
      <c r="AS611" s="173"/>
      <c r="AT611" s="173"/>
      <c r="AU611" s="173"/>
      <c r="AV611" s="173"/>
    </row>
    <row r="612" spans="1:48" ht="14.25">
      <c r="A612" s="209"/>
      <c r="B612" s="538">
        <v>6</v>
      </c>
      <c r="C612" s="539" t="s">
        <v>1370</v>
      </c>
      <c r="D612" s="540" t="s">
        <v>70</v>
      </c>
      <c r="E612" s="540" t="s">
        <v>78</v>
      </c>
      <c r="F612" s="540" t="s">
        <v>115</v>
      </c>
      <c r="G612" s="541">
        <v>0</v>
      </c>
      <c r="H612" s="541">
        <v>1</v>
      </c>
      <c r="I612" s="542">
        <v>0</v>
      </c>
      <c r="J612" s="299"/>
      <c r="K612" s="541" t="s">
        <v>182</v>
      </c>
      <c r="L612" s="541"/>
      <c r="M612" s="541">
        <v>6</v>
      </c>
      <c r="N612" s="541">
        <v>6</v>
      </c>
      <c r="O612" s="543" t="s">
        <v>1371</v>
      </c>
      <c r="P612" s="479" t="s">
        <v>184</v>
      </c>
      <c r="Q612" s="540" t="s">
        <v>979</v>
      </c>
      <c r="R612" s="173"/>
      <c r="S612" s="195">
        <f>MATCH($D612,Reference!$J$5:$J$9,0)</f>
        <v>5</v>
      </c>
      <c r="T612" s="195">
        <f>MATCH($E612,Reference!$J$26:$J$32,0)</f>
        <v>3</v>
      </c>
      <c r="U612" s="195">
        <f>MATCH($F612,Reference!$J$45:$J$54,0)</f>
        <v>10</v>
      </c>
      <c r="V612" s="196">
        <f>MATCH($K612,Reference!$J$37:$J$39,0)</f>
        <v>3</v>
      </c>
      <c r="W612" s="197">
        <f t="shared" si="894"/>
        <v>1</v>
      </c>
      <c r="X612" s="197">
        <f t="shared" si="1"/>
        <v>1</v>
      </c>
      <c r="Y612" s="197">
        <f t="shared" si="895"/>
        <v>0</v>
      </c>
      <c r="Z612" s="197">
        <f t="shared" si="896"/>
        <v>2</v>
      </c>
      <c r="AA612" s="199" t="b">
        <f t="shared" si="3"/>
        <v>0</v>
      </c>
      <c r="AB612" s="199" t="b">
        <f t="shared" si="4"/>
        <v>0</v>
      </c>
      <c r="AC612" s="200">
        <f t="shared" ref="AC612:AD612" si="901">1-I612</f>
        <v>1</v>
      </c>
      <c r="AD612" s="200">
        <f t="shared" si="901"/>
        <v>1</v>
      </c>
      <c r="AE612" s="199">
        <f t="shared" si="6"/>
        <v>1</v>
      </c>
      <c r="AF612" s="201">
        <f t="shared" si="898"/>
        <v>1</v>
      </c>
      <c r="AG612" s="201">
        <f t="shared" si="8"/>
        <v>1</v>
      </c>
      <c r="AH612" s="202">
        <f t="shared" si="899"/>
        <v>0</v>
      </c>
      <c r="AI612" s="205"/>
      <c r="AJ612" s="173"/>
      <c r="AK612" s="173"/>
      <c r="AL612" s="173"/>
      <c r="AM612" s="173"/>
      <c r="AN612" s="173"/>
      <c r="AO612" s="173"/>
      <c r="AP612" s="173"/>
      <c r="AQ612" s="173"/>
      <c r="AR612" s="173"/>
      <c r="AS612" s="173"/>
      <c r="AT612" s="173"/>
      <c r="AU612" s="173"/>
      <c r="AV612" s="173"/>
    </row>
    <row r="613" spans="1:48" ht="14.25">
      <c r="A613" s="187"/>
      <c r="B613" s="209">
        <v>1</v>
      </c>
      <c r="C613" s="545" t="s">
        <v>1372</v>
      </c>
      <c r="D613" s="546" t="s">
        <v>63</v>
      </c>
      <c r="E613" s="546" t="s">
        <v>82</v>
      </c>
      <c r="F613" s="546" t="s">
        <v>11</v>
      </c>
      <c r="G613" s="547">
        <v>2</v>
      </c>
      <c r="H613" s="547">
        <v>1</v>
      </c>
      <c r="I613" s="548">
        <v>0</v>
      </c>
      <c r="J613" s="548">
        <v>0</v>
      </c>
      <c r="K613" s="549" t="s">
        <v>182</v>
      </c>
      <c r="L613" s="549"/>
      <c r="M613" s="549">
        <v>2</v>
      </c>
      <c r="N613" s="549">
        <v>1</v>
      </c>
      <c r="O613" s="550" t="s">
        <v>1373</v>
      </c>
      <c r="P613" s="551" t="s">
        <v>1374</v>
      </c>
      <c r="Q613" s="546" t="s">
        <v>148</v>
      </c>
      <c r="R613" s="173"/>
      <c r="S613" s="195">
        <f>MATCH($D613,Reference!$J$5:$J$9,0)</f>
        <v>2</v>
      </c>
      <c r="T613" s="195">
        <f>MATCH($E613,Reference!$J$26:$J$32,0)</f>
        <v>7</v>
      </c>
      <c r="U613" s="195">
        <f>MATCH($F613,Reference!$J$45:$J$54,0)</f>
        <v>2</v>
      </c>
      <c r="V613" s="196">
        <f>MATCH($K613,Reference!$J$37:$J$39,0)</f>
        <v>3</v>
      </c>
      <c r="W613" s="197">
        <f t="shared" ref="W613:W688" si="902">MIN((G613+H613),2)</f>
        <v>2</v>
      </c>
      <c r="X613" s="197">
        <f t="shared" si="1"/>
        <v>1</v>
      </c>
      <c r="Y613" s="197">
        <f t="shared" ref="Y613:Y661" si="903">(MIN(G613,2)+H613-W613)*50</f>
        <v>50</v>
      </c>
      <c r="Z613" s="197">
        <f t="shared" ref="Z613:Z688" si="904">MIN((G613+H613),2)</f>
        <v>2</v>
      </c>
      <c r="AA613" s="199" t="b">
        <f t="shared" si="3"/>
        <v>0</v>
      </c>
      <c r="AB613" s="199" t="b">
        <f t="shared" si="4"/>
        <v>0</v>
      </c>
      <c r="AC613" s="200">
        <f t="shared" ref="AC613:AD613" si="905">1-I613</f>
        <v>1</v>
      </c>
      <c r="AD613" s="200">
        <f t="shared" si="905"/>
        <v>1</v>
      </c>
      <c r="AE613" s="199">
        <f t="shared" si="6"/>
        <v>2</v>
      </c>
      <c r="AF613" s="201">
        <f t="shared" ref="AF613:AF688" si="906">MIN((H613),2)</f>
        <v>1</v>
      </c>
      <c r="AG613" s="201">
        <f t="shared" si="8"/>
        <v>1</v>
      </c>
      <c r="AH613" s="202">
        <f t="shared" ref="AH613:AH661" si="907">(MIN(H613,2)+G613-W613)*5</f>
        <v>5</v>
      </c>
      <c r="AI613" s="205"/>
      <c r="AJ613" s="173"/>
      <c r="AK613" s="173"/>
      <c r="AL613" s="173"/>
      <c r="AM613" s="173"/>
      <c r="AN613" s="173"/>
      <c r="AO613" s="173"/>
      <c r="AP613" s="173"/>
      <c r="AQ613" s="173"/>
      <c r="AR613" s="173"/>
      <c r="AS613" s="173"/>
      <c r="AT613" s="173"/>
      <c r="AU613" s="173"/>
      <c r="AV613" s="173"/>
    </row>
    <row r="614" spans="1:48" ht="14.25">
      <c r="A614" s="187"/>
      <c r="B614" s="209">
        <v>1</v>
      </c>
      <c r="C614" s="545" t="s">
        <v>1375</v>
      </c>
      <c r="D614" s="546" t="s">
        <v>63</v>
      </c>
      <c r="E614" s="546" t="s">
        <v>82</v>
      </c>
      <c r="F614" s="546" t="s">
        <v>20</v>
      </c>
      <c r="G614" s="547">
        <v>2</v>
      </c>
      <c r="H614" s="547">
        <v>0</v>
      </c>
      <c r="I614" s="548">
        <v>0.33</v>
      </c>
      <c r="J614" s="548">
        <v>0.33</v>
      </c>
      <c r="K614" s="549" t="s">
        <v>182</v>
      </c>
      <c r="L614" s="549" t="s">
        <v>536</v>
      </c>
      <c r="M614" s="549">
        <v>2</v>
      </c>
      <c r="N614" s="549">
        <v>1</v>
      </c>
      <c r="O614" s="550" t="s">
        <v>1376</v>
      </c>
      <c r="P614" s="292"/>
      <c r="Q614" s="546" t="s">
        <v>148</v>
      </c>
      <c r="R614" s="173"/>
      <c r="S614" s="195">
        <f>MATCH($D614,Reference!$J$5:$J$9,0)</f>
        <v>2</v>
      </c>
      <c r="T614" s="195">
        <f>MATCH($E614,Reference!$J$26:$J$32,0)</f>
        <v>7</v>
      </c>
      <c r="U614" s="195">
        <f>MATCH($F614,Reference!$J$45:$J$54,0)</f>
        <v>6</v>
      </c>
      <c r="V614" s="196">
        <f>MATCH($K614,Reference!$J$37:$J$39,0)</f>
        <v>3</v>
      </c>
      <c r="W614" s="197">
        <f t="shared" si="902"/>
        <v>2</v>
      </c>
      <c r="X614" s="197">
        <f t="shared" si="1"/>
        <v>1</v>
      </c>
      <c r="Y614" s="197">
        <f t="shared" si="903"/>
        <v>0</v>
      </c>
      <c r="Z614" s="197">
        <f t="shared" si="904"/>
        <v>2</v>
      </c>
      <c r="AA614" s="199" t="b">
        <f t="shared" si="3"/>
        <v>0</v>
      </c>
      <c r="AB614" s="199" t="b">
        <f t="shared" si="4"/>
        <v>0</v>
      </c>
      <c r="AC614" s="200">
        <f t="shared" ref="AC614:AD614" si="908">1-I614</f>
        <v>0.66999999999999993</v>
      </c>
      <c r="AD614" s="200">
        <f t="shared" si="908"/>
        <v>0.66999999999999993</v>
      </c>
      <c r="AE614" s="199">
        <f t="shared" si="6"/>
        <v>2</v>
      </c>
      <c r="AF614" s="201">
        <f t="shared" si="906"/>
        <v>0</v>
      </c>
      <c r="AG614" s="201">
        <f t="shared" si="8"/>
        <v>1</v>
      </c>
      <c r="AH614" s="202">
        <f t="shared" si="907"/>
        <v>0</v>
      </c>
      <c r="AI614" s="205"/>
      <c r="AJ614" s="173"/>
      <c r="AK614" s="173"/>
      <c r="AL614" s="173"/>
      <c r="AM614" s="173"/>
      <c r="AN614" s="173"/>
      <c r="AO614" s="173"/>
      <c r="AP614" s="173"/>
      <c r="AQ614" s="173"/>
      <c r="AR614" s="173"/>
      <c r="AS614" s="173"/>
      <c r="AT614" s="173"/>
      <c r="AU614" s="173"/>
      <c r="AV614" s="173"/>
    </row>
    <row r="615" spans="1:48" ht="14.25">
      <c r="A615" s="187"/>
      <c r="B615" s="209">
        <v>1</v>
      </c>
      <c r="C615" s="545" t="s">
        <v>1377</v>
      </c>
      <c r="D615" s="546" t="s">
        <v>63</v>
      </c>
      <c r="E615" s="546" t="s">
        <v>82</v>
      </c>
      <c r="F615" s="546" t="s">
        <v>18</v>
      </c>
      <c r="G615" s="547">
        <v>2</v>
      </c>
      <c r="H615" s="547">
        <v>0</v>
      </c>
      <c r="I615" s="548">
        <v>0.66</v>
      </c>
      <c r="J615" s="548">
        <v>0.66</v>
      </c>
      <c r="K615" s="549" t="s">
        <v>146</v>
      </c>
      <c r="L615" s="549"/>
      <c r="M615" s="549"/>
      <c r="N615" s="549"/>
      <c r="O615" s="550" t="s">
        <v>1378</v>
      </c>
      <c r="P615" s="292"/>
      <c r="Q615" s="546" t="s">
        <v>148</v>
      </c>
      <c r="R615" s="173"/>
      <c r="S615" s="195">
        <f>MATCH($D615,Reference!$J$5:$J$9,0)</f>
        <v>2</v>
      </c>
      <c r="T615" s="195">
        <f>MATCH($E615,Reference!$J$26:$J$32,0)</f>
        <v>7</v>
      </c>
      <c r="U615" s="195">
        <f>MATCH($F615,Reference!$J$45:$J$54,0)</f>
        <v>5</v>
      </c>
      <c r="V615" s="196">
        <f>MATCH($K615,Reference!$J$37:$J$39,0)</f>
        <v>2</v>
      </c>
      <c r="W615" s="197">
        <f t="shared" si="902"/>
        <v>2</v>
      </c>
      <c r="X615" s="197">
        <f t="shared" si="1"/>
        <v>1</v>
      </c>
      <c r="Y615" s="197">
        <f t="shared" si="903"/>
        <v>0</v>
      </c>
      <c r="Z615" s="197">
        <f t="shared" si="904"/>
        <v>2</v>
      </c>
      <c r="AA615" s="199" t="b">
        <f t="shared" si="3"/>
        <v>0</v>
      </c>
      <c r="AB615" s="199" t="b">
        <f t="shared" si="4"/>
        <v>0</v>
      </c>
      <c r="AC615" s="200">
        <f t="shared" ref="AC615:AD615" si="909">1-I615</f>
        <v>0.33999999999999997</v>
      </c>
      <c r="AD615" s="200">
        <f t="shared" si="909"/>
        <v>0.33999999999999997</v>
      </c>
      <c r="AE615" s="199">
        <f t="shared" si="6"/>
        <v>2</v>
      </c>
      <c r="AF615" s="201">
        <f t="shared" si="906"/>
        <v>0</v>
      </c>
      <c r="AG615" s="201">
        <f t="shared" si="8"/>
        <v>1</v>
      </c>
      <c r="AH615" s="202">
        <f t="shared" si="907"/>
        <v>0</v>
      </c>
      <c r="AI615" s="205"/>
      <c r="AJ615" s="173"/>
      <c r="AK615" s="173"/>
      <c r="AL615" s="173"/>
      <c r="AM615" s="173"/>
      <c r="AN615" s="173"/>
      <c r="AO615" s="173"/>
      <c r="AP615" s="173"/>
      <c r="AQ615" s="173"/>
      <c r="AR615" s="173"/>
      <c r="AS615" s="173"/>
      <c r="AT615" s="173"/>
      <c r="AU615" s="173"/>
      <c r="AV615" s="173"/>
    </row>
    <row r="616" spans="1:48" ht="14.25">
      <c r="A616" s="206"/>
      <c r="B616" s="209">
        <v>1</v>
      </c>
      <c r="C616" s="545" t="s">
        <v>1379</v>
      </c>
      <c r="D616" s="546" t="s">
        <v>63</v>
      </c>
      <c r="E616" s="546" t="s">
        <v>82</v>
      </c>
      <c r="F616" s="546" t="s">
        <v>115</v>
      </c>
      <c r="G616" s="547">
        <v>2</v>
      </c>
      <c r="H616" s="547">
        <v>0</v>
      </c>
      <c r="I616" s="548">
        <v>0.33</v>
      </c>
      <c r="J616" s="548">
        <v>0.33</v>
      </c>
      <c r="K616" s="549" t="s">
        <v>182</v>
      </c>
      <c r="L616" s="549"/>
      <c r="M616" s="549">
        <v>1</v>
      </c>
      <c r="N616" s="549">
        <v>2</v>
      </c>
      <c r="O616" s="550" t="s">
        <v>1380</v>
      </c>
      <c r="P616" s="551" t="s">
        <v>184</v>
      </c>
      <c r="Q616" s="546" t="s">
        <v>148</v>
      </c>
      <c r="R616" s="173"/>
      <c r="S616" s="195">
        <f>MATCH($D616,Reference!$J$5:$J$9,0)</f>
        <v>2</v>
      </c>
      <c r="T616" s="195">
        <f>MATCH($E616,Reference!$J$26:$J$32,0)</f>
        <v>7</v>
      </c>
      <c r="U616" s="195">
        <f>MATCH($F616,Reference!$J$45:$J$54,0)</f>
        <v>10</v>
      </c>
      <c r="V616" s="196">
        <f>MATCH($K616,Reference!$J$37:$J$39,0)</f>
        <v>3</v>
      </c>
      <c r="W616" s="197">
        <f t="shared" si="902"/>
        <v>2</v>
      </c>
      <c r="X616" s="197">
        <f t="shared" si="1"/>
        <v>1</v>
      </c>
      <c r="Y616" s="197">
        <f t="shared" si="903"/>
        <v>0</v>
      </c>
      <c r="Z616" s="197">
        <f t="shared" si="904"/>
        <v>2</v>
      </c>
      <c r="AA616" s="199" t="b">
        <f t="shared" si="3"/>
        <v>0</v>
      </c>
      <c r="AB616" s="199" t="b">
        <f t="shared" si="4"/>
        <v>0</v>
      </c>
      <c r="AC616" s="200">
        <f t="shared" ref="AC616:AD616" si="910">1-I616</f>
        <v>0.66999999999999993</v>
      </c>
      <c r="AD616" s="200">
        <f t="shared" si="910"/>
        <v>0.66999999999999993</v>
      </c>
      <c r="AE616" s="199">
        <f t="shared" si="6"/>
        <v>2</v>
      </c>
      <c r="AF616" s="201">
        <f t="shared" si="906"/>
        <v>0</v>
      </c>
      <c r="AG616" s="201">
        <f t="shared" si="8"/>
        <v>1</v>
      </c>
      <c r="AH616" s="202">
        <f t="shared" si="907"/>
        <v>0</v>
      </c>
      <c r="AI616" s="205"/>
      <c r="AJ616" s="173"/>
      <c r="AK616" s="173"/>
      <c r="AL616" s="173"/>
      <c r="AM616" s="173"/>
      <c r="AN616" s="173"/>
      <c r="AO616" s="173"/>
      <c r="AP616" s="173"/>
      <c r="AQ616" s="173"/>
      <c r="AR616" s="173"/>
      <c r="AS616" s="173"/>
      <c r="AT616" s="173"/>
      <c r="AU616" s="173"/>
      <c r="AV616" s="173"/>
    </row>
    <row r="617" spans="1:48" ht="14.25">
      <c r="A617" s="240"/>
      <c r="B617" s="209">
        <v>1</v>
      </c>
      <c r="C617" s="545" t="s">
        <v>1381</v>
      </c>
      <c r="D617" s="546" t="s">
        <v>63</v>
      </c>
      <c r="E617" s="546" t="s">
        <v>82</v>
      </c>
      <c r="F617" s="546" t="s">
        <v>8</v>
      </c>
      <c r="G617" s="547">
        <v>2</v>
      </c>
      <c r="H617" s="547">
        <v>0</v>
      </c>
      <c r="I617" s="548">
        <v>1</v>
      </c>
      <c r="J617" s="548">
        <v>1</v>
      </c>
      <c r="K617" s="549" t="s">
        <v>146</v>
      </c>
      <c r="L617" s="549"/>
      <c r="M617" s="549"/>
      <c r="N617" s="549"/>
      <c r="O617" s="550" t="s">
        <v>1382</v>
      </c>
      <c r="P617" s="292"/>
      <c r="Q617" s="546" t="s">
        <v>148</v>
      </c>
      <c r="R617" s="173"/>
      <c r="S617" s="195">
        <f>MATCH($D617,Reference!$J$5:$J$9,0)</f>
        <v>2</v>
      </c>
      <c r="T617" s="195">
        <f>MATCH($E617,Reference!$J$26:$J$32,0)</f>
        <v>7</v>
      </c>
      <c r="U617" s="195">
        <f>MATCH($F617,Reference!$J$45:$J$54,0)</f>
        <v>1</v>
      </c>
      <c r="V617" s="196">
        <f>MATCH($K617,Reference!$J$37:$J$39,0)</f>
        <v>2</v>
      </c>
      <c r="W617" s="197">
        <f t="shared" si="902"/>
        <v>2</v>
      </c>
      <c r="X617" s="197">
        <f t="shared" si="1"/>
        <v>1</v>
      </c>
      <c r="Y617" s="197">
        <f t="shared" si="903"/>
        <v>0</v>
      </c>
      <c r="Z617" s="197">
        <f t="shared" si="904"/>
        <v>2</v>
      </c>
      <c r="AA617" s="199" t="b">
        <f t="shared" si="3"/>
        <v>0</v>
      </c>
      <c r="AB617" s="199" t="b">
        <f t="shared" si="4"/>
        <v>0</v>
      </c>
      <c r="AC617" s="200">
        <f t="shared" ref="AC617:AD617" si="911">1-I617</f>
        <v>0</v>
      </c>
      <c r="AD617" s="200">
        <f t="shared" si="911"/>
        <v>0</v>
      </c>
      <c r="AE617" s="199">
        <f t="shared" si="6"/>
        <v>2</v>
      </c>
      <c r="AF617" s="201">
        <f t="shared" si="906"/>
        <v>0</v>
      </c>
      <c r="AG617" s="201">
        <f t="shared" si="8"/>
        <v>1</v>
      </c>
      <c r="AH617" s="202">
        <f t="shared" si="907"/>
        <v>0</v>
      </c>
      <c r="AI617" s="205"/>
      <c r="AJ617" s="173"/>
      <c r="AK617" s="173"/>
      <c r="AL617" s="173"/>
      <c r="AM617" s="173"/>
      <c r="AN617" s="173"/>
      <c r="AO617" s="173"/>
      <c r="AP617" s="173"/>
      <c r="AQ617" s="173"/>
      <c r="AR617" s="173"/>
      <c r="AS617" s="173"/>
      <c r="AT617" s="173"/>
      <c r="AU617" s="173"/>
      <c r="AV617" s="173"/>
    </row>
    <row r="618" spans="1:48" ht="14.25">
      <c r="A618" s="206"/>
      <c r="B618" s="209">
        <v>1</v>
      </c>
      <c r="C618" s="545" t="s">
        <v>1383</v>
      </c>
      <c r="D618" s="546" t="s">
        <v>63</v>
      </c>
      <c r="E618" s="546" t="s">
        <v>82</v>
      </c>
      <c r="F618" s="546" t="s">
        <v>115</v>
      </c>
      <c r="G618" s="547">
        <v>2</v>
      </c>
      <c r="H618" s="547">
        <v>0</v>
      </c>
      <c r="I618" s="548">
        <v>0.33</v>
      </c>
      <c r="J618" s="548">
        <v>0.33</v>
      </c>
      <c r="K618" s="546" t="s">
        <v>182</v>
      </c>
      <c r="L618" s="549"/>
      <c r="M618" s="549">
        <v>1</v>
      </c>
      <c r="N618" s="552">
        <v>2</v>
      </c>
      <c r="O618" s="550" t="s">
        <v>1384</v>
      </c>
      <c r="P618" s="551" t="s">
        <v>1374</v>
      </c>
      <c r="Q618" s="546" t="s">
        <v>148</v>
      </c>
      <c r="R618" s="173"/>
      <c r="S618" s="195">
        <f>MATCH($D618,Reference!$J$5:$J$9,0)</f>
        <v>2</v>
      </c>
      <c r="T618" s="195">
        <f>MATCH($E618,Reference!$J$26:$J$32,0)</f>
        <v>7</v>
      </c>
      <c r="U618" s="195">
        <f>MATCH($F618,Reference!$J$45:$J$54,0)</f>
        <v>10</v>
      </c>
      <c r="V618" s="196">
        <f>MATCH($K618,Reference!$J$37:$J$39,0)</f>
        <v>3</v>
      </c>
      <c r="W618" s="197">
        <f t="shared" si="902"/>
        <v>2</v>
      </c>
      <c r="X618" s="197">
        <f t="shared" si="1"/>
        <v>1</v>
      </c>
      <c r="Y618" s="197">
        <f t="shared" si="903"/>
        <v>0</v>
      </c>
      <c r="Z618" s="197">
        <f t="shared" si="904"/>
        <v>2</v>
      </c>
      <c r="AA618" s="199" t="b">
        <f t="shared" si="3"/>
        <v>0</v>
      </c>
      <c r="AB618" s="199" t="b">
        <f t="shared" si="4"/>
        <v>0</v>
      </c>
      <c r="AC618" s="200">
        <f t="shared" ref="AC618:AD618" si="912">1-I618</f>
        <v>0.66999999999999993</v>
      </c>
      <c r="AD618" s="200">
        <f t="shared" si="912"/>
        <v>0.66999999999999993</v>
      </c>
      <c r="AE618" s="199">
        <f t="shared" si="6"/>
        <v>2</v>
      </c>
      <c r="AF618" s="201">
        <f t="shared" si="906"/>
        <v>0</v>
      </c>
      <c r="AG618" s="201">
        <f t="shared" si="8"/>
        <v>1</v>
      </c>
      <c r="AH618" s="202">
        <f t="shared" si="907"/>
        <v>0</v>
      </c>
      <c r="AI618" s="205"/>
      <c r="AJ618" s="173"/>
      <c r="AK618" s="173"/>
      <c r="AL618" s="173"/>
      <c r="AM618" s="173"/>
      <c r="AN618" s="173"/>
      <c r="AO618" s="173"/>
      <c r="AP618" s="173"/>
      <c r="AQ618" s="173"/>
      <c r="AR618" s="173"/>
      <c r="AS618" s="173"/>
      <c r="AT618" s="173"/>
      <c r="AU618" s="173"/>
      <c r="AV618" s="173"/>
    </row>
    <row r="619" spans="1:48" ht="14.25">
      <c r="A619" s="187"/>
      <c r="B619" s="209">
        <v>1</v>
      </c>
      <c r="C619" s="545" t="s">
        <v>1385</v>
      </c>
      <c r="D619" s="546" t="s">
        <v>63</v>
      </c>
      <c r="E619" s="546" t="s">
        <v>82</v>
      </c>
      <c r="F619" s="546" t="s">
        <v>18</v>
      </c>
      <c r="G619" s="547">
        <v>2</v>
      </c>
      <c r="H619" s="547">
        <v>0</v>
      </c>
      <c r="I619" s="548">
        <v>0.33</v>
      </c>
      <c r="J619" s="548">
        <v>0.33</v>
      </c>
      <c r="K619" s="549" t="s">
        <v>146</v>
      </c>
      <c r="L619" s="549"/>
      <c r="M619" s="549"/>
      <c r="N619" s="549"/>
      <c r="O619" s="550" t="s">
        <v>1386</v>
      </c>
      <c r="P619" s="292"/>
      <c r="Q619" s="546" t="s">
        <v>148</v>
      </c>
      <c r="R619" s="173"/>
      <c r="S619" s="195">
        <f>MATCH($D619,Reference!$J$5:$J$9,0)</f>
        <v>2</v>
      </c>
      <c r="T619" s="195">
        <f>MATCH($E619,Reference!$J$26:$J$32,0)</f>
        <v>7</v>
      </c>
      <c r="U619" s="195">
        <f>MATCH($F619,Reference!$J$45:$J$54,0)</f>
        <v>5</v>
      </c>
      <c r="V619" s="196">
        <f>MATCH($K619,Reference!$J$37:$J$39,0)</f>
        <v>2</v>
      </c>
      <c r="W619" s="197">
        <f t="shared" si="902"/>
        <v>2</v>
      </c>
      <c r="X619" s="197">
        <f t="shared" si="1"/>
        <v>1</v>
      </c>
      <c r="Y619" s="197">
        <f t="shared" si="903"/>
        <v>0</v>
      </c>
      <c r="Z619" s="197">
        <f t="shared" si="904"/>
        <v>2</v>
      </c>
      <c r="AA619" s="199" t="b">
        <f t="shared" si="3"/>
        <v>0</v>
      </c>
      <c r="AB619" s="199" t="b">
        <f t="shared" si="4"/>
        <v>0</v>
      </c>
      <c r="AC619" s="200">
        <f t="shared" ref="AC619:AD619" si="913">1-I619</f>
        <v>0.66999999999999993</v>
      </c>
      <c r="AD619" s="200">
        <f t="shared" si="913"/>
        <v>0.66999999999999993</v>
      </c>
      <c r="AE619" s="199">
        <f t="shared" si="6"/>
        <v>2</v>
      </c>
      <c r="AF619" s="201">
        <f t="shared" si="906"/>
        <v>0</v>
      </c>
      <c r="AG619" s="201">
        <f t="shared" si="8"/>
        <v>1</v>
      </c>
      <c r="AH619" s="202">
        <f t="shared" si="907"/>
        <v>0</v>
      </c>
      <c r="AI619" s="205"/>
      <c r="AJ619" s="173"/>
      <c r="AK619" s="173"/>
      <c r="AL619" s="173"/>
      <c r="AM619" s="173"/>
      <c r="AN619" s="173"/>
      <c r="AO619" s="173"/>
      <c r="AP619" s="173"/>
      <c r="AQ619" s="173"/>
      <c r="AR619" s="173"/>
      <c r="AS619" s="173"/>
      <c r="AT619" s="173"/>
      <c r="AU619" s="173"/>
      <c r="AV619" s="173"/>
    </row>
    <row r="620" spans="1:48" ht="14.25">
      <c r="A620" s="206"/>
      <c r="B620" s="209">
        <v>1</v>
      </c>
      <c r="C620" s="545" t="s">
        <v>1387</v>
      </c>
      <c r="D620" s="546" t="s">
        <v>63</v>
      </c>
      <c r="E620" s="546" t="s">
        <v>82</v>
      </c>
      <c r="F620" s="546" t="s">
        <v>115</v>
      </c>
      <c r="G620" s="547">
        <v>2</v>
      </c>
      <c r="H620" s="547">
        <v>0</v>
      </c>
      <c r="I620" s="548">
        <v>0</v>
      </c>
      <c r="J620" s="548">
        <v>0</v>
      </c>
      <c r="K620" s="549" t="s">
        <v>182</v>
      </c>
      <c r="L620" s="549"/>
      <c r="M620" s="549">
        <v>2</v>
      </c>
      <c r="N620" s="549">
        <v>1</v>
      </c>
      <c r="O620" s="550" t="s">
        <v>1239</v>
      </c>
      <c r="P620" s="551" t="s">
        <v>193</v>
      </c>
      <c r="Q620" s="546" t="s">
        <v>148</v>
      </c>
      <c r="R620" s="173"/>
      <c r="S620" s="195">
        <f>MATCH($D620,Reference!$J$5:$J$9,0)</f>
        <v>2</v>
      </c>
      <c r="T620" s="195">
        <f>MATCH($E620,Reference!$J$26:$J$32,0)</f>
        <v>7</v>
      </c>
      <c r="U620" s="195">
        <f>MATCH($F620,Reference!$J$45:$J$54,0)</f>
        <v>10</v>
      </c>
      <c r="V620" s="196">
        <f>MATCH($K620,Reference!$J$37:$J$39,0)</f>
        <v>3</v>
      </c>
      <c r="W620" s="197">
        <f t="shared" si="902"/>
        <v>2</v>
      </c>
      <c r="X620" s="197">
        <f t="shared" si="1"/>
        <v>1</v>
      </c>
      <c r="Y620" s="197">
        <f t="shared" si="903"/>
        <v>0</v>
      </c>
      <c r="Z620" s="197">
        <f t="shared" si="904"/>
        <v>2</v>
      </c>
      <c r="AA620" s="199" t="b">
        <f t="shared" si="3"/>
        <v>0</v>
      </c>
      <c r="AB620" s="199" t="b">
        <f t="shared" si="4"/>
        <v>0</v>
      </c>
      <c r="AC620" s="200">
        <f t="shared" ref="AC620:AD620" si="914">1-I620</f>
        <v>1</v>
      </c>
      <c r="AD620" s="200">
        <f t="shared" si="914"/>
        <v>1</v>
      </c>
      <c r="AE620" s="199">
        <f t="shared" si="6"/>
        <v>2</v>
      </c>
      <c r="AF620" s="201">
        <f t="shared" si="906"/>
        <v>0</v>
      </c>
      <c r="AG620" s="201">
        <f t="shared" si="8"/>
        <v>1</v>
      </c>
      <c r="AH620" s="202">
        <f t="shared" si="907"/>
        <v>0</v>
      </c>
      <c r="AI620" s="205"/>
      <c r="AJ620" s="173"/>
      <c r="AK620" s="173"/>
      <c r="AL620" s="173"/>
      <c r="AM620" s="173"/>
      <c r="AN620" s="173"/>
      <c r="AO620" s="173"/>
      <c r="AP620" s="173"/>
      <c r="AQ620" s="173"/>
      <c r="AR620" s="173"/>
      <c r="AS620" s="173"/>
      <c r="AT620" s="173"/>
      <c r="AU620" s="173"/>
      <c r="AV620" s="173"/>
    </row>
    <row r="621" spans="1:48" ht="14.25">
      <c r="A621" s="209"/>
      <c r="B621" s="209">
        <v>2</v>
      </c>
      <c r="C621" s="545" t="s">
        <v>1388</v>
      </c>
      <c r="D621" s="546" t="s">
        <v>63</v>
      </c>
      <c r="E621" s="546" t="s">
        <v>82</v>
      </c>
      <c r="F621" s="546" t="s">
        <v>21</v>
      </c>
      <c r="G621" s="547">
        <v>2</v>
      </c>
      <c r="H621" s="547">
        <v>0</v>
      </c>
      <c r="I621" s="548">
        <v>0.66</v>
      </c>
      <c r="J621" s="548">
        <v>0.66</v>
      </c>
      <c r="K621" s="549" t="s">
        <v>146</v>
      </c>
      <c r="L621" s="549"/>
      <c r="M621" s="549"/>
      <c r="N621" s="549"/>
      <c r="O621" s="550" t="s">
        <v>1389</v>
      </c>
      <c r="P621" s="292"/>
      <c r="Q621" s="546" t="s">
        <v>148</v>
      </c>
      <c r="R621" s="173"/>
      <c r="S621" s="195">
        <f>MATCH($D621,Reference!$J$5:$J$9,0)</f>
        <v>2</v>
      </c>
      <c r="T621" s="195">
        <f>MATCH($E621,Reference!$J$26:$J$32,0)</f>
        <v>7</v>
      </c>
      <c r="U621" s="195">
        <f>MATCH($F621,Reference!$J$45:$J$54,0)</f>
        <v>7</v>
      </c>
      <c r="V621" s="196">
        <f>MATCH($K621,Reference!$J$37:$J$39,0)</f>
        <v>2</v>
      </c>
      <c r="W621" s="197">
        <f t="shared" si="902"/>
        <v>2</v>
      </c>
      <c r="X621" s="197">
        <f t="shared" si="1"/>
        <v>1</v>
      </c>
      <c r="Y621" s="197">
        <f t="shared" si="903"/>
        <v>0</v>
      </c>
      <c r="Z621" s="197">
        <f t="shared" si="904"/>
        <v>2</v>
      </c>
      <c r="AA621" s="199" t="b">
        <f t="shared" si="3"/>
        <v>0</v>
      </c>
      <c r="AB621" s="199" t="b">
        <f t="shared" si="4"/>
        <v>0</v>
      </c>
      <c r="AC621" s="200">
        <f t="shared" ref="AC621:AD621" si="915">1-I621</f>
        <v>0.33999999999999997</v>
      </c>
      <c r="AD621" s="200">
        <f t="shared" si="915"/>
        <v>0.33999999999999997</v>
      </c>
      <c r="AE621" s="199">
        <f t="shared" si="6"/>
        <v>2</v>
      </c>
      <c r="AF621" s="201">
        <f t="shared" si="906"/>
        <v>0</v>
      </c>
      <c r="AG621" s="201">
        <f t="shared" si="8"/>
        <v>1</v>
      </c>
      <c r="AH621" s="202">
        <f t="shared" si="907"/>
        <v>0</v>
      </c>
      <c r="AI621" s="205"/>
      <c r="AJ621" s="173"/>
      <c r="AK621" s="173"/>
      <c r="AL621" s="173"/>
      <c r="AM621" s="173"/>
      <c r="AN621" s="173"/>
      <c r="AO621" s="173"/>
      <c r="AP621" s="173"/>
      <c r="AQ621" s="173"/>
      <c r="AR621" s="173"/>
      <c r="AS621" s="173"/>
      <c r="AT621" s="173"/>
      <c r="AU621" s="173"/>
      <c r="AV621" s="173"/>
    </row>
    <row r="622" spans="1:48" ht="14.25">
      <c r="A622" s="240"/>
      <c r="B622" s="209">
        <v>2</v>
      </c>
      <c r="C622" s="545" t="s">
        <v>1390</v>
      </c>
      <c r="D622" s="546" t="s">
        <v>63</v>
      </c>
      <c r="E622" s="546" t="s">
        <v>82</v>
      </c>
      <c r="F622" s="546" t="s">
        <v>11</v>
      </c>
      <c r="G622" s="547">
        <v>2</v>
      </c>
      <c r="H622" s="547">
        <v>0</v>
      </c>
      <c r="I622" s="548">
        <v>1</v>
      </c>
      <c r="J622" s="548">
        <v>0.66</v>
      </c>
      <c r="K622" s="549" t="s">
        <v>146</v>
      </c>
      <c r="L622" s="549"/>
      <c r="M622" s="549"/>
      <c r="N622" s="549"/>
      <c r="O622" s="550" t="s">
        <v>1391</v>
      </c>
      <c r="P622" s="292"/>
      <c r="Q622" s="546" t="s">
        <v>148</v>
      </c>
      <c r="R622" s="173"/>
      <c r="S622" s="195">
        <f>MATCH($D622,Reference!$J$5:$J$9,0)</f>
        <v>2</v>
      </c>
      <c r="T622" s="195">
        <f>MATCH($E622,Reference!$J$26:$J$32,0)</f>
        <v>7</v>
      </c>
      <c r="U622" s="195">
        <f>MATCH($F622,Reference!$J$45:$J$54,0)</f>
        <v>2</v>
      </c>
      <c r="V622" s="196">
        <f>MATCH($K622,Reference!$J$37:$J$39,0)</f>
        <v>2</v>
      </c>
      <c r="W622" s="197">
        <f t="shared" si="902"/>
        <v>2</v>
      </c>
      <c r="X622" s="197">
        <f t="shared" si="1"/>
        <v>1</v>
      </c>
      <c r="Y622" s="197">
        <f t="shared" si="903"/>
        <v>0</v>
      </c>
      <c r="Z622" s="197">
        <f t="shared" si="904"/>
        <v>2</v>
      </c>
      <c r="AA622" s="199" t="b">
        <f t="shared" si="3"/>
        <v>0</v>
      </c>
      <c r="AB622" s="199" t="b">
        <f t="shared" si="4"/>
        <v>0</v>
      </c>
      <c r="AC622" s="200">
        <f t="shared" ref="AC622:AD622" si="916">1-I622</f>
        <v>0</v>
      </c>
      <c r="AD622" s="200">
        <f t="shared" si="916"/>
        <v>0.33999999999999997</v>
      </c>
      <c r="AE622" s="199">
        <f t="shared" si="6"/>
        <v>2</v>
      </c>
      <c r="AF622" s="201">
        <f t="shared" si="906"/>
        <v>0</v>
      </c>
      <c r="AG622" s="201">
        <f t="shared" si="8"/>
        <v>1</v>
      </c>
      <c r="AH622" s="202">
        <f t="shared" si="907"/>
        <v>0</v>
      </c>
      <c r="AI622" s="205"/>
      <c r="AJ622" s="173"/>
      <c r="AK622" s="173"/>
      <c r="AL622" s="173"/>
      <c r="AM622" s="173"/>
      <c r="AN622" s="173"/>
      <c r="AO622" s="173"/>
      <c r="AP622" s="173"/>
      <c r="AQ622" s="173"/>
      <c r="AR622" s="173"/>
      <c r="AS622" s="173"/>
      <c r="AT622" s="173"/>
      <c r="AU622" s="173"/>
      <c r="AV622" s="173"/>
    </row>
    <row r="623" spans="1:48" ht="14.25">
      <c r="A623" s="209"/>
      <c r="B623" s="209">
        <v>2</v>
      </c>
      <c r="C623" s="545" t="s">
        <v>1392</v>
      </c>
      <c r="D623" s="546" t="s">
        <v>63</v>
      </c>
      <c r="E623" s="546" t="s">
        <v>82</v>
      </c>
      <c r="F623" s="546" t="s">
        <v>26</v>
      </c>
      <c r="G623" s="547">
        <v>2</v>
      </c>
      <c r="H623" s="547">
        <v>0</v>
      </c>
      <c r="I623" s="548">
        <v>0.33</v>
      </c>
      <c r="J623" s="548">
        <v>0.33</v>
      </c>
      <c r="K623" s="549" t="s">
        <v>146</v>
      </c>
      <c r="L623" s="549"/>
      <c r="M623" s="549"/>
      <c r="N623" s="549"/>
      <c r="O623" s="550" t="s">
        <v>1393</v>
      </c>
      <c r="P623" s="292"/>
      <c r="Q623" s="546" t="s">
        <v>148</v>
      </c>
      <c r="R623" s="173"/>
      <c r="S623" s="195">
        <f>MATCH($D623,Reference!$J$5:$J$9,0)</f>
        <v>2</v>
      </c>
      <c r="T623" s="195">
        <f>MATCH($E623,Reference!$J$26:$J$32,0)</f>
        <v>7</v>
      </c>
      <c r="U623" s="195">
        <f>MATCH($F623,Reference!$J$45:$J$54,0)</f>
        <v>9</v>
      </c>
      <c r="V623" s="196">
        <f>MATCH($K623,Reference!$J$37:$J$39,0)</f>
        <v>2</v>
      </c>
      <c r="W623" s="197">
        <f t="shared" si="902"/>
        <v>2</v>
      </c>
      <c r="X623" s="197">
        <f t="shared" si="1"/>
        <v>1</v>
      </c>
      <c r="Y623" s="197">
        <f t="shared" si="903"/>
        <v>0</v>
      </c>
      <c r="Z623" s="197">
        <f t="shared" si="904"/>
        <v>2</v>
      </c>
      <c r="AA623" s="199" t="b">
        <f t="shared" si="3"/>
        <v>0</v>
      </c>
      <c r="AB623" s="199" t="b">
        <f t="shared" si="4"/>
        <v>0</v>
      </c>
      <c r="AC623" s="200">
        <f t="shared" ref="AC623:AD623" si="917">1-I623</f>
        <v>0.66999999999999993</v>
      </c>
      <c r="AD623" s="200">
        <f t="shared" si="917"/>
        <v>0.66999999999999993</v>
      </c>
      <c r="AE623" s="199">
        <f t="shared" si="6"/>
        <v>2</v>
      </c>
      <c r="AF623" s="201">
        <f t="shared" si="906"/>
        <v>0</v>
      </c>
      <c r="AG623" s="201">
        <f t="shared" si="8"/>
        <v>1</v>
      </c>
      <c r="AH623" s="202">
        <f t="shared" si="907"/>
        <v>0</v>
      </c>
      <c r="AI623" s="205"/>
      <c r="AJ623" s="173"/>
      <c r="AK623" s="173"/>
      <c r="AL623" s="173"/>
      <c r="AM623" s="173"/>
      <c r="AN623" s="173"/>
      <c r="AO623" s="173"/>
      <c r="AP623" s="173"/>
      <c r="AQ623" s="173"/>
      <c r="AR623" s="173"/>
      <c r="AS623" s="173"/>
      <c r="AT623" s="173"/>
      <c r="AU623" s="173"/>
      <c r="AV623" s="173"/>
    </row>
    <row r="624" spans="1:48" ht="14.25">
      <c r="A624" s="187"/>
      <c r="B624" s="209">
        <v>2</v>
      </c>
      <c r="C624" s="545" t="s">
        <v>1394</v>
      </c>
      <c r="D624" s="546" t="s">
        <v>63</v>
      </c>
      <c r="E624" s="546" t="s">
        <v>82</v>
      </c>
      <c r="F624" s="546" t="s">
        <v>115</v>
      </c>
      <c r="G624" s="547">
        <v>2</v>
      </c>
      <c r="H624" s="547">
        <v>0</v>
      </c>
      <c r="I624" s="548">
        <v>0.33</v>
      </c>
      <c r="J624" s="548">
        <v>0.33</v>
      </c>
      <c r="K624" s="549" t="s">
        <v>182</v>
      </c>
      <c r="L624" s="549"/>
      <c r="M624" s="549">
        <v>3</v>
      </c>
      <c r="N624" s="549">
        <v>2</v>
      </c>
      <c r="O624" s="550" t="s">
        <v>1395</v>
      </c>
      <c r="P624" s="551" t="s">
        <v>1374</v>
      </c>
      <c r="Q624" s="546" t="s">
        <v>148</v>
      </c>
      <c r="R624" s="173"/>
      <c r="S624" s="195">
        <f>MATCH($D624,Reference!$J$5:$J$9,0)</f>
        <v>2</v>
      </c>
      <c r="T624" s="195">
        <f>MATCH($E624,Reference!$J$26:$J$32,0)</f>
        <v>7</v>
      </c>
      <c r="U624" s="195">
        <f>MATCH($F624,Reference!$J$45:$J$54,0)</f>
        <v>10</v>
      </c>
      <c r="V624" s="196">
        <f>MATCH($K624,Reference!$J$37:$J$39,0)</f>
        <v>3</v>
      </c>
      <c r="W624" s="197">
        <f t="shared" si="902"/>
        <v>2</v>
      </c>
      <c r="X624" s="197">
        <f t="shared" si="1"/>
        <v>1</v>
      </c>
      <c r="Y624" s="197">
        <f t="shared" si="903"/>
        <v>0</v>
      </c>
      <c r="Z624" s="197">
        <f t="shared" si="904"/>
        <v>2</v>
      </c>
      <c r="AA624" s="199" t="b">
        <f t="shared" si="3"/>
        <v>0</v>
      </c>
      <c r="AB624" s="199" t="b">
        <f t="shared" si="4"/>
        <v>0</v>
      </c>
      <c r="AC624" s="200">
        <f t="shared" ref="AC624:AD624" si="918">1-I624</f>
        <v>0.66999999999999993</v>
      </c>
      <c r="AD624" s="200">
        <f t="shared" si="918"/>
        <v>0.66999999999999993</v>
      </c>
      <c r="AE624" s="199">
        <f t="shared" si="6"/>
        <v>2</v>
      </c>
      <c r="AF624" s="201">
        <f t="shared" si="906"/>
        <v>0</v>
      </c>
      <c r="AG624" s="201">
        <f t="shared" si="8"/>
        <v>1</v>
      </c>
      <c r="AH624" s="202">
        <f t="shared" si="907"/>
        <v>0</v>
      </c>
      <c r="AI624" s="205"/>
      <c r="AJ624" s="173"/>
      <c r="AK624" s="173"/>
      <c r="AL624" s="173"/>
      <c r="AM624" s="173"/>
      <c r="AN624" s="173"/>
      <c r="AO624" s="173"/>
      <c r="AP624" s="173"/>
      <c r="AQ624" s="173"/>
      <c r="AR624" s="173"/>
      <c r="AS624" s="173"/>
      <c r="AT624" s="173"/>
      <c r="AU624" s="173"/>
      <c r="AV624" s="173"/>
    </row>
    <row r="625" spans="1:48" ht="14.25">
      <c r="A625" s="187"/>
      <c r="B625" s="209">
        <v>2</v>
      </c>
      <c r="C625" s="545" t="s">
        <v>1396</v>
      </c>
      <c r="D625" s="546" t="s">
        <v>63</v>
      </c>
      <c r="E625" s="546" t="s">
        <v>82</v>
      </c>
      <c r="F625" s="546" t="s">
        <v>25</v>
      </c>
      <c r="G625" s="547">
        <v>2</v>
      </c>
      <c r="H625" s="547">
        <v>0</v>
      </c>
      <c r="I625" s="548">
        <v>0.33</v>
      </c>
      <c r="J625" s="548">
        <v>0.33</v>
      </c>
      <c r="K625" s="549" t="s">
        <v>146</v>
      </c>
      <c r="L625" s="549"/>
      <c r="M625" s="549"/>
      <c r="N625" s="549"/>
      <c r="O625" s="550" t="s">
        <v>1397</v>
      </c>
      <c r="P625" s="292"/>
      <c r="Q625" s="546" t="s">
        <v>148</v>
      </c>
      <c r="R625" s="173"/>
      <c r="S625" s="195">
        <f>MATCH($D625,Reference!$J$5:$J$9,0)</f>
        <v>2</v>
      </c>
      <c r="T625" s="195">
        <f>MATCH($E625,Reference!$J$26:$J$32,0)</f>
        <v>7</v>
      </c>
      <c r="U625" s="195">
        <f>MATCH($F625,Reference!$J$45:$J$54,0)</f>
        <v>8</v>
      </c>
      <c r="V625" s="196">
        <f>MATCH($K625,Reference!$J$37:$J$39,0)</f>
        <v>2</v>
      </c>
      <c r="W625" s="197">
        <f t="shared" si="902"/>
        <v>2</v>
      </c>
      <c r="X625" s="197">
        <f t="shared" si="1"/>
        <v>1</v>
      </c>
      <c r="Y625" s="197">
        <f t="shared" si="903"/>
        <v>0</v>
      </c>
      <c r="Z625" s="197">
        <f t="shared" si="904"/>
        <v>2</v>
      </c>
      <c r="AA625" s="199" t="b">
        <f t="shared" si="3"/>
        <v>0</v>
      </c>
      <c r="AB625" s="199" t="b">
        <f t="shared" si="4"/>
        <v>0</v>
      </c>
      <c r="AC625" s="200">
        <f t="shared" ref="AC625:AD625" si="919">1-I625</f>
        <v>0.66999999999999993</v>
      </c>
      <c r="AD625" s="200">
        <f t="shared" si="919"/>
        <v>0.66999999999999993</v>
      </c>
      <c r="AE625" s="199">
        <f t="shared" si="6"/>
        <v>2</v>
      </c>
      <c r="AF625" s="201">
        <f t="shared" si="906"/>
        <v>0</v>
      </c>
      <c r="AG625" s="201">
        <f t="shared" si="8"/>
        <v>1</v>
      </c>
      <c r="AH625" s="202">
        <f t="shared" si="907"/>
        <v>0</v>
      </c>
      <c r="AI625" s="205"/>
      <c r="AJ625" s="173"/>
      <c r="AK625" s="173"/>
      <c r="AL625" s="173"/>
      <c r="AM625" s="173"/>
      <c r="AN625" s="173"/>
      <c r="AO625" s="173"/>
      <c r="AP625" s="173"/>
      <c r="AQ625" s="173"/>
      <c r="AR625" s="173"/>
      <c r="AS625" s="173"/>
      <c r="AT625" s="173"/>
      <c r="AU625" s="173"/>
      <c r="AV625" s="173"/>
    </row>
    <row r="626" spans="1:48" ht="14.25">
      <c r="A626" s="206"/>
      <c r="B626" s="209">
        <v>2</v>
      </c>
      <c r="C626" s="545" t="s">
        <v>1398</v>
      </c>
      <c r="D626" s="546" t="s">
        <v>63</v>
      </c>
      <c r="E626" s="546" t="s">
        <v>82</v>
      </c>
      <c r="F626" s="546" t="s">
        <v>8</v>
      </c>
      <c r="G626" s="547">
        <v>2</v>
      </c>
      <c r="H626" s="547">
        <v>0</v>
      </c>
      <c r="I626" s="548">
        <v>0.66</v>
      </c>
      <c r="J626" s="548">
        <v>0.66</v>
      </c>
      <c r="K626" s="549" t="s">
        <v>182</v>
      </c>
      <c r="L626" s="549"/>
      <c r="M626" s="549">
        <v>2</v>
      </c>
      <c r="N626" s="549">
        <v>1</v>
      </c>
      <c r="O626" s="550" t="s">
        <v>1399</v>
      </c>
      <c r="P626" s="551" t="s">
        <v>425</v>
      </c>
      <c r="Q626" s="546" t="s">
        <v>148</v>
      </c>
      <c r="R626" s="173"/>
      <c r="S626" s="195">
        <f>MATCH($D626,Reference!$J$5:$J$9,0)</f>
        <v>2</v>
      </c>
      <c r="T626" s="195">
        <f>MATCH($E626,Reference!$J$26:$J$32,0)</f>
        <v>7</v>
      </c>
      <c r="U626" s="195">
        <f>MATCH($F626,Reference!$J$45:$J$54,0)</f>
        <v>1</v>
      </c>
      <c r="V626" s="196">
        <f>MATCH($K626,Reference!$J$37:$J$39,0)</f>
        <v>3</v>
      </c>
      <c r="W626" s="197">
        <f t="shared" si="902"/>
        <v>2</v>
      </c>
      <c r="X626" s="197">
        <f t="shared" si="1"/>
        <v>1</v>
      </c>
      <c r="Y626" s="197">
        <f t="shared" si="903"/>
        <v>0</v>
      </c>
      <c r="Z626" s="197">
        <f t="shared" si="904"/>
        <v>2</v>
      </c>
      <c r="AA626" s="199" t="b">
        <f t="shared" si="3"/>
        <v>0</v>
      </c>
      <c r="AB626" s="199" t="b">
        <f t="shared" si="4"/>
        <v>0</v>
      </c>
      <c r="AC626" s="200">
        <f t="shared" ref="AC626:AD626" si="920">1-I626</f>
        <v>0.33999999999999997</v>
      </c>
      <c r="AD626" s="200">
        <f t="shared" si="920"/>
        <v>0.33999999999999997</v>
      </c>
      <c r="AE626" s="199">
        <f t="shared" si="6"/>
        <v>2</v>
      </c>
      <c r="AF626" s="201">
        <f t="shared" si="906"/>
        <v>0</v>
      </c>
      <c r="AG626" s="201">
        <f t="shared" si="8"/>
        <v>1</v>
      </c>
      <c r="AH626" s="202">
        <f t="shared" si="907"/>
        <v>0</v>
      </c>
      <c r="AI626" s="205"/>
      <c r="AJ626" s="173"/>
      <c r="AK626" s="173"/>
      <c r="AL626" s="173"/>
      <c r="AM626" s="173"/>
      <c r="AN626" s="173"/>
      <c r="AO626" s="173"/>
      <c r="AP626" s="173"/>
      <c r="AQ626" s="173"/>
      <c r="AR626" s="173"/>
      <c r="AS626" s="173"/>
      <c r="AT626" s="173"/>
      <c r="AU626" s="173"/>
      <c r="AV626" s="173"/>
    </row>
    <row r="627" spans="1:48" ht="14.25">
      <c r="A627" s="187"/>
      <c r="B627" s="209">
        <v>2</v>
      </c>
      <c r="C627" s="545" t="s">
        <v>1400</v>
      </c>
      <c r="D627" s="546" t="s">
        <v>63</v>
      </c>
      <c r="E627" s="546" t="s">
        <v>82</v>
      </c>
      <c r="F627" s="546" t="s">
        <v>115</v>
      </c>
      <c r="G627" s="547">
        <v>2</v>
      </c>
      <c r="H627" s="547">
        <v>0</v>
      </c>
      <c r="I627" s="548">
        <v>0.33</v>
      </c>
      <c r="J627" s="548">
        <v>0.33</v>
      </c>
      <c r="K627" s="549" t="s">
        <v>182</v>
      </c>
      <c r="L627" s="549"/>
      <c r="M627" s="549">
        <v>2</v>
      </c>
      <c r="N627" s="549">
        <v>3</v>
      </c>
      <c r="O627" s="550" t="s">
        <v>1401</v>
      </c>
      <c r="P627" s="551" t="s">
        <v>184</v>
      </c>
      <c r="Q627" s="546" t="s">
        <v>148</v>
      </c>
      <c r="R627" s="173"/>
      <c r="S627" s="195">
        <f>MATCH($D627,Reference!$J$5:$J$9,0)</f>
        <v>2</v>
      </c>
      <c r="T627" s="195">
        <f>MATCH($E627,Reference!$J$26:$J$32,0)</f>
        <v>7</v>
      </c>
      <c r="U627" s="195">
        <f>MATCH($F627,Reference!$J$45:$J$54,0)</f>
        <v>10</v>
      </c>
      <c r="V627" s="196">
        <f>MATCH($K627,Reference!$J$37:$J$39,0)</f>
        <v>3</v>
      </c>
      <c r="W627" s="197">
        <f t="shared" si="902"/>
        <v>2</v>
      </c>
      <c r="X627" s="197">
        <f t="shared" si="1"/>
        <v>1</v>
      </c>
      <c r="Y627" s="197">
        <f t="shared" si="903"/>
        <v>0</v>
      </c>
      <c r="Z627" s="197">
        <f t="shared" si="904"/>
        <v>2</v>
      </c>
      <c r="AA627" s="199" t="b">
        <f t="shared" si="3"/>
        <v>0</v>
      </c>
      <c r="AB627" s="199" t="b">
        <f t="shared" si="4"/>
        <v>0</v>
      </c>
      <c r="AC627" s="200">
        <f t="shared" ref="AC627:AD627" si="921">1-I627</f>
        <v>0.66999999999999993</v>
      </c>
      <c r="AD627" s="200">
        <f t="shared" si="921"/>
        <v>0.66999999999999993</v>
      </c>
      <c r="AE627" s="199">
        <f t="shared" si="6"/>
        <v>2</v>
      </c>
      <c r="AF627" s="201">
        <f t="shared" si="906"/>
        <v>0</v>
      </c>
      <c r="AG627" s="201">
        <f t="shared" si="8"/>
        <v>1</v>
      </c>
      <c r="AH627" s="202">
        <f t="shared" si="907"/>
        <v>0</v>
      </c>
      <c r="AI627" s="205"/>
      <c r="AJ627" s="173"/>
      <c r="AK627" s="173"/>
      <c r="AL627" s="173"/>
      <c r="AM627" s="173"/>
      <c r="AN627" s="173"/>
      <c r="AO627" s="173"/>
      <c r="AP627" s="173"/>
      <c r="AQ627" s="173"/>
      <c r="AR627" s="173"/>
      <c r="AS627" s="173"/>
      <c r="AT627" s="173"/>
      <c r="AU627" s="173"/>
      <c r="AV627" s="173"/>
    </row>
    <row r="628" spans="1:48" ht="14.25">
      <c r="A628" s="187"/>
      <c r="B628" s="209">
        <v>2</v>
      </c>
      <c r="C628" s="545" t="s">
        <v>1402</v>
      </c>
      <c r="D628" s="546" t="s">
        <v>63</v>
      </c>
      <c r="E628" s="546" t="s">
        <v>82</v>
      </c>
      <c r="F628" s="546" t="s">
        <v>11</v>
      </c>
      <c r="G628" s="547">
        <v>2</v>
      </c>
      <c r="H628" s="547">
        <v>0</v>
      </c>
      <c r="I628" s="548">
        <v>1</v>
      </c>
      <c r="J628" s="548">
        <v>1</v>
      </c>
      <c r="K628" s="549" t="s">
        <v>182</v>
      </c>
      <c r="L628" s="549" t="s">
        <v>230</v>
      </c>
      <c r="M628" s="549">
        <v>3</v>
      </c>
      <c r="N628" s="549">
        <v>2</v>
      </c>
      <c r="O628" s="550" t="s">
        <v>1403</v>
      </c>
      <c r="P628" s="551" t="s">
        <v>184</v>
      </c>
      <c r="Q628" s="546" t="s">
        <v>148</v>
      </c>
      <c r="R628" s="173"/>
      <c r="S628" s="195">
        <f>MATCH($D628,Reference!$J$5:$J$9,0)</f>
        <v>2</v>
      </c>
      <c r="T628" s="195">
        <f>MATCH($E628,Reference!$J$26:$J$32,0)</f>
        <v>7</v>
      </c>
      <c r="U628" s="195">
        <f>MATCH($F628,Reference!$J$45:$J$54,0)</f>
        <v>2</v>
      </c>
      <c r="V628" s="196">
        <f>MATCH($K628,Reference!$J$37:$J$39,0)</f>
        <v>3</v>
      </c>
      <c r="W628" s="197">
        <f t="shared" si="902"/>
        <v>2</v>
      </c>
      <c r="X628" s="197">
        <f t="shared" si="1"/>
        <v>1</v>
      </c>
      <c r="Y628" s="197">
        <f t="shared" si="903"/>
        <v>0</v>
      </c>
      <c r="Z628" s="197">
        <f t="shared" si="904"/>
        <v>2</v>
      </c>
      <c r="AA628" s="199" t="b">
        <f t="shared" si="3"/>
        <v>0</v>
      </c>
      <c r="AB628" s="199" t="b">
        <f t="shared" si="4"/>
        <v>0</v>
      </c>
      <c r="AC628" s="200">
        <f t="shared" ref="AC628:AD628" si="922">1-I628</f>
        <v>0</v>
      </c>
      <c r="AD628" s="200">
        <f t="shared" si="922"/>
        <v>0</v>
      </c>
      <c r="AE628" s="199">
        <f t="shared" si="6"/>
        <v>2</v>
      </c>
      <c r="AF628" s="201">
        <f t="shared" si="906"/>
        <v>0</v>
      </c>
      <c r="AG628" s="201">
        <f t="shared" si="8"/>
        <v>1</v>
      </c>
      <c r="AH628" s="202">
        <f t="shared" si="907"/>
        <v>0</v>
      </c>
      <c r="AI628" s="205"/>
      <c r="AJ628" s="173"/>
      <c r="AK628" s="173"/>
      <c r="AL628" s="173"/>
      <c r="AM628" s="173"/>
      <c r="AN628" s="173"/>
      <c r="AO628" s="173"/>
      <c r="AP628" s="173"/>
      <c r="AQ628" s="173"/>
      <c r="AR628" s="173"/>
      <c r="AS628" s="173"/>
      <c r="AT628" s="173"/>
      <c r="AU628" s="173"/>
      <c r="AV628" s="173"/>
    </row>
    <row r="629" spans="1:48" ht="14.25">
      <c r="A629" s="209"/>
      <c r="B629" s="209">
        <v>2</v>
      </c>
      <c r="C629" s="550" t="s">
        <v>1404</v>
      </c>
      <c r="D629" s="546" t="s">
        <v>63</v>
      </c>
      <c r="E629" s="546" t="s">
        <v>82</v>
      </c>
      <c r="F629" s="546" t="s">
        <v>115</v>
      </c>
      <c r="G629" s="547">
        <v>2</v>
      </c>
      <c r="H629" s="547">
        <v>0</v>
      </c>
      <c r="I629" s="548">
        <v>0.33</v>
      </c>
      <c r="J629" s="548">
        <v>0.33</v>
      </c>
      <c r="K629" s="549" t="s">
        <v>182</v>
      </c>
      <c r="L629" s="549"/>
      <c r="M629" s="549">
        <v>1</v>
      </c>
      <c r="N629" s="549">
        <v>2</v>
      </c>
      <c r="O629" s="550" t="s">
        <v>1405</v>
      </c>
      <c r="P629" s="551" t="s">
        <v>184</v>
      </c>
      <c r="Q629" s="546" t="s">
        <v>148</v>
      </c>
      <c r="R629" s="173"/>
      <c r="S629" s="195">
        <f>MATCH($D629,Reference!$J$5:$J$9,0)</f>
        <v>2</v>
      </c>
      <c r="T629" s="195">
        <f>MATCH($E629,Reference!$J$26:$J$32,0)</f>
        <v>7</v>
      </c>
      <c r="U629" s="195">
        <f>MATCH($F629,Reference!$J$45:$J$54,0)</f>
        <v>10</v>
      </c>
      <c r="V629" s="196">
        <f>MATCH($K629,Reference!$J$37:$J$39,0)</f>
        <v>3</v>
      </c>
      <c r="W629" s="197">
        <f t="shared" si="902"/>
        <v>2</v>
      </c>
      <c r="X629" s="197">
        <f t="shared" si="1"/>
        <v>1</v>
      </c>
      <c r="Y629" s="197">
        <f t="shared" si="903"/>
        <v>0</v>
      </c>
      <c r="Z629" s="197">
        <f t="shared" si="904"/>
        <v>2</v>
      </c>
      <c r="AA629" s="199" t="b">
        <f t="shared" si="3"/>
        <v>0</v>
      </c>
      <c r="AB629" s="199" t="b">
        <f t="shared" si="4"/>
        <v>0</v>
      </c>
      <c r="AC629" s="200">
        <f t="shared" ref="AC629:AD629" si="923">1-I629</f>
        <v>0.66999999999999993</v>
      </c>
      <c r="AD629" s="200">
        <f t="shared" si="923"/>
        <v>0.66999999999999993</v>
      </c>
      <c r="AE629" s="199">
        <f t="shared" si="6"/>
        <v>2</v>
      </c>
      <c r="AF629" s="201">
        <f t="shared" si="906"/>
        <v>0</v>
      </c>
      <c r="AG629" s="201">
        <f t="shared" si="8"/>
        <v>1</v>
      </c>
      <c r="AH629" s="202">
        <f t="shared" si="907"/>
        <v>0</v>
      </c>
      <c r="AI629" s="205"/>
      <c r="AJ629" s="173"/>
      <c r="AK629" s="173"/>
      <c r="AL629" s="173"/>
      <c r="AM629" s="173"/>
      <c r="AN629" s="173"/>
      <c r="AO629" s="173"/>
      <c r="AP629" s="173"/>
      <c r="AQ629" s="173"/>
      <c r="AR629" s="173"/>
      <c r="AS629" s="173"/>
      <c r="AT629" s="173"/>
      <c r="AU629" s="173"/>
      <c r="AV629" s="173"/>
    </row>
    <row r="630" spans="1:48" ht="14.25">
      <c r="A630" s="209"/>
      <c r="B630" s="209">
        <v>2</v>
      </c>
      <c r="C630" s="545" t="s">
        <v>1406</v>
      </c>
      <c r="D630" s="546" t="s">
        <v>63</v>
      </c>
      <c r="E630" s="546" t="s">
        <v>82</v>
      </c>
      <c r="F630" s="546" t="s">
        <v>21</v>
      </c>
      <c r="G630" s="547">
        <v>2</v>
      </c>
      <c r="H630" s="547">
        <v>0</v>
      </c>
      <c r="I630" s="548">
        <v>1</v>
      </c>
      <c r="J630" s="548">
        <v>1</v>
      </c>
      <c r="K630" s="549" t="s">
        <v>182</v>
      </c>
      <c r="L630" s="549" t="s">
        <v>257</v>
      </c>
      <c r="M630" s="549">
        <v>3</v>
      </c>
      <c r="N630" s="549">
        <v>4</v>
      </c>
      <c r="O630" s="550" t="s">
        <v>588</v>
      </c>
      <c r="P630" s="551" t="s">
        <v>1407</v>
      </c>
      <c r="Q630" s="546" t="s">
        <v>148</v>
      </c>
      <c r="R630" s="173"/>
      <c r="S630" s="195">
        <f>MATCH($D630,Reference!$J$5:$J$9,0)</f>
        <v>2</v>
      </c>
      <c r="T630" s="195">
        <f>MATCH($E630,Reference!$J$26:$J$32,0)</f>
        <v>7</v>
      </c>
      <c r="U630" s="195">
        <f>MATCH($F630,Reference!$J$45:$J$54,0)</f>
        <v>7</v>
      </c>
      <c r="V630" s="196">
        <f>MATCH($K630,Reference!$J$37:$J$39,0)</f>
        <v>3</v>
      </c>
      <c r="W630" s="197">
        <f t="shared" si="902"/>
        <v>2</v>
      </c>
      <c r="X630" s="197">
        <f t="shared" si="1"/>
        <v>1</v>
      </c>
      <c r="Y630" s="197">
        <f t="shared" si="903"/>
        <v>0</v>
      </c>
      <c r="Z630" s="197">
        <f t="shared" si="904"/>
        <v>2</v>
      </c>
      <c r="AA630" s="199" t="b">
        <f t="shared" si="3"/>
        <v>0</v>
      </c>
      <c r="AB630" s="199" t="b">
        <f t="shared" si="4"/>
        <v>0</v>
      </c>
      <c r="AC630" s="200">
        <f t="shared" ref="AC630:AD630" si="924">1-I630</f>
        <v>0</v>
      </c>
      <c r="AD630" s="200">
        <f t="shared" si="924"/>
        <v>0</v>
      </c>
      <c r="AE630" s="199">
        <f t="shared" si="6"/>
        <v>2</v>
      </c>
      <c r="AF630" s="201">
        <f t="shared" si="906"/>
        <v>0</v>
      </c>
      <c r="AG630" s="201">
        <f t="shared" si="8"/>
        <v>1</v>
      </c>
      <c r="AH630" s="202">
        <f t="shared" si="907"/>
        <v>0</v>
      </c>
      <c r="AI630" s="205"/>
      <c r="AJ630" s="173"/>
      <c r="AK630" s="173"/>
      <c r="AL630" s="173"/>
      <c r="AM630" s="173"/>
      <c r="AN630" s="173"/>
      <c r="AO630" s="173"/>
      <c r="AP630" s="173"/>
      <c r="AQ630" s="173"/>
      <c r="AR630" s="173"/>
      <c r="AS630" s="173"/>
      <c r="AT630" s="173"/>
      <c r="AU630" s="173"/>
      <c r="AV630" s="173"/>
    </row>
    <row r="631" spans="1:48" ht="14.25">
      <c r="A631" s="187"/>
      <c r="B631" s="209">
        <v>2</v>
      </c>
      <c r="C631" s="550" t="s">
        <v>1408</v>
      </c>
      <c r="D631" s="546" t="s">
        <v>63</v>
      </c>
      <c r="E631" s="546" t="s">
        <v>82</v>
      </c>
      <c r="F631" s="546" t="s">
        <v>20</v>
      </c>
      <c r="G631" s="547">
        <v>2</v>
      </c>
      <c r="H631" s="547">
        <v>0</v>
      </c>
      <c r="I631" s="548">
        <v>1</v>
      </c>
      <c r="J631" s="548">
        <v>1</v>
      </c>
      <c r="K631" s="549" t="s">
        <v>182</v>
      </c>
      <c r="L631" s="549"/>
      <c r="M631" s="549">
        <v>3</v>
      </c>
      <c r="N631" s="549">
        <v>2</v>
      </c>
      <c r="O631" s="550" t="s">
        <v>1409</v>
      </c>
      <c r="P631" s="551" t="s">
        <v>558</v>
      </c>
      <c r="Q631" s="546" t="s">
        <v>148</v>
      </c>
      <c r="R631" s="173"/>
      <c r="S631" s="195">
        <f>MATCH($D631,Reference!$J$5:$J$9,0)</f>
        <v>2</v>
      </c>
      <c r="T631" s="195">
        <f>MATCH($E631,Reference!$J$26:$J$32,0)</f>
        <v>7</v>
      </c>
      <c r="U631" s="195">
        <f>MATCH($F631,Reference!$J$45:$J$54,0)</f>
        <v>6</v>
      </c>
      <c r="V631" s="196">
        <f>MATCH($K631,Reference!$J$37:$J$39,0)</f>
        <v>3</v>
      </c>
      <c r="W631" s="197">
        <f t="shared" si="902"/>
        <v>2</v>
      </c>
      <c r="X631" s="197">
        <f t="shared" si="1"/>
        <v>1</v>
      </c>
      <c r="Y631" s="197">
        <f t="shared" si="903"/>
        <v>0</v>
      </c>
      <c r="Z631" s="197">
        <f t="shared" si="904"/>
        <v>2</v>
      </c>
      <c r="AA631" s="199" t="b">
        <f t="shared" si="3"/>
        <v>0</v>
      </c>
      <c r="AB631" s="199" t="b">
        <f t="shared" si="4"/>
        <v>0</v>
      </c>
      <c r="AC631" s="200">
        <f t="shared" ref="AC631:AD631" si="925">1-I631</f>
        <v>0</v>
      </c>
      <c r="AD631" s="200">
        <f t="shared" si="925"/>
        <v>0</v>
      </c>
      <c r="AE631" s="199">
        <f t="shared" si="6"/>
        <v>2</v>
      </c>
      <c r="AF631" s="201">
        <f t="shared" si="906"/>
        <v>0</v>
      </c>
      <c r="AG631" s="201">
        <f t="shared" si="8"/>
        <v>1</v>
      </c>
      <c r="AH631" s="202">
        <f t="shared" si="907"/>
        <v>0</v>
      </c>
      <c r="AI631" s="205"/>
      <c r="AJ631" s="173"/>
      <c r="AK631" s="173"/>
      <c r="AL631" s="173"/>
      <c r="AM631" s="173"/>
      <c r="AN631" s="173"/>
      <c r="AO631" s="173"/>
      <c r="AP631" s="173"/>
      <c r="AQ631" s="173"/>
      <c r="AR631" s="173"/>
      <c r="AS631" s="173"/>
      <c r="AT631" s="173"/>
      <c r="AU631" s="173"/>
      <c r="AV631" s="173"/>
    </row>
    <row r="632" spans="1:48" ht="14.25">
      <c r="A632" s="209"/>
      <c r="B632" s="209">
        <v>2</v>
      </c>
      <c r="C632" s="545" t="s">
        <v>1410</v>
      </c>
      <c r="D632" s="546" t="s">
        <v>63</v>
      </c>
      <c r="E632" s="546" t="s">
        <v>82</v>
      </c>
      <c r="F632" s="546" t="s">
        <v>25</v>
      </c>
      <c r="G632" s="547">
        <v>2</v>
      </c>
      <c r="H632" s="547">
        <v>0</v>
      </c>
      <c r="I632" s="548">
        <v>0</v>
      </c>
      <c r="J632" s="548">
        <v>0</v>
      </c>
      <c r="K632" s="549" t="s">
        <v>182</v>
      </c>
      <c r="L632" s="549" t="s">
        <v>239</v>
      </c>
      <c r="M632" s="549">
        <v>4</v>
      </c>
      <c r="N632" s="549">
        <v>3</v>
      </c>
      <c r="O632" s="550" t="s">
        <v>1411</v>
      </c>
      <c r="P632" s="292"/>
      <c r="Q632" s="546" t="s">
        <v>148</v>
      </c>
      <c r="R632" s="173"/>
      <c r="S632" s="195">
        <f>MATCH($D632,Reference!$J$5:$J$9,0)</f>
        <v>2</v>
      </c>
      <c r="T632" s="195">
        <f>MATCH($E632,Reference!$J$26:$J$32,0)</f>
        <v>7</v>
      </c>
      <c r="U632" s="195">
        <f>MATCH($F632,Reference!$J$45:$J$54,0)</f>
        <v>8</v>
      </c>
      <c r="V632" s="196">
        <f>MATCH($K632,Reference!$J$37:$J$39,0)</f>
        <v>3</v>
      </c>
      <c r="W632" s="197">
        <f t="shared" si="902"/>
        <v>2</v>
      </c>
      <c r="X632" s="197">
        <f t="shared" si="1"/>
        <v>1</v>
      </c>
      <c r="Y632" s="197">
        <f t="shared" si="903"/>
        <v>0</v>
      </c>
      <c r="Z632" s="197">
        <f t="shared" si="904"/>
        <v>2</v>
      </c>
      <c r="AA632" s="199" t="b">
        <f t="shared" si="3"/>
        <v>0</v>
      </c>
      <c r="AB632" s="199" t="b">
        <f t="shared" si="4"/>
        <v>0</v>
      </c>
      <c r="AC632" s="200">
        <f t="shared" ref="AC632:AD632" si="926">1-I632</f>
        <v>1</v>
      </c>
      <c r="AD632" s="200">
        <f t="shared" si="926"/>
        <v>1</v>
      </c>
      <c r="AE632" s="199">
        <f t="shared" si="6"/>
        <v>2</v>
      </c>
      <c r="AF632" s="201">
        <f t="shared" si="906"/>
        <v>0</v>
      </c>
      <c r="AG632" s="201">
        <f t="shared" si="8"/>
        <v>1</v>
      </c>
      <c r="AH632" s="202">
        <f t="shared" si="907"/>
        <v>0</v>
      </c>
      <c r="AI632" s="205"/>
      <c r="AJ632" s="173"/>
      <c r="AK632" s="173"/>
      <c r="AL632" s="173"/>
      <c r="AM632" s="173"/>
      <c r="AN632" s="173"/>
      <c r="AO632" s="173"/>
      <c r="AP632" s="173"/>
      <c r="AQ632" s="173"/>
      <c r="AR632" s="173"/>
      <c r="AS632" s="173"/>
      <c r="AT632" s="173"/>
      <c r="AU632" s="173"/>
      <c r="AV632" s="173"/>
    </row>
    <row r="633" spans="1:48" ht="14.25">
      <c r="A633" s="211"/>
      <c r="B633" s="368">
        <v>3</v>
      </c>
      <c r="C633" s="553" t="s">
        <v>1412</v>
      </c>
      <c r="D633" s="554" t="s">
        <v>63</v>
      </c>
      <c r="E633" s="554" t="s">
        <v>82</v>
      </c>
      <c r="F633" s="554" t="s">
        <v>115</v>
      </c>
      <c r="G633" s="547">
        <v>2</v>
      </c>
      <c r="H633" s="547">
        <v>0</v>
      </c>
      <c r="I633" s="548">
        <v>0.66</v>
      </c>
      <c r="J633" s="548">
        <v>0.66</v>
      </c>
      <c r="K633" s="549" t="s">
        <v>182</v>
      </c>
      <c r="L633" s="549"/>
      <c r="M633" s="549">
        <v>2</v>
      </c>
      <c r="N633" s="549">
        <v>1</v>
      </c>
      <c r="O633" s="550" t="s">
        <v>1413</v>
      </c>
      <c r="P633" s="551" t="s">
        <v>396</v>
      </c>
      <c r="Q633" s="554" t="s">
        <v>148</v>
      </c>
      <c r="R633" s="173"/>
      <c r="S633" s="195">
        <f>MATCH($D633,Reference!$J$5:$J$9,0)</f>
        <v>2</v>
      </c>
      <c r="T633" s="195">
        <f>MATCH($E633,Reference!$J$26:$J$32,0)</f>
        <v>7</v>
      </c>
      <c r="U633" s="195">
        <f>MATCH($F633,Reference!$J$45:$J$54,0)</f>
        <v>10</v>
      </c>
      <c r="V633" s="196">
        <f>MATCH($K633,Reference!$J$37:$J$39,0)</f>
        <v>3</v>
      </c>
      <c r="W633" s="197">
        <f t="shared" si="902"/>
        <v>2</v>
      </c>
      <c r="X633" s="197">
        <f t="shared" si="1"/>
        <v>1</v>
      </c>
      <c r="Y633" s="197">
        <f t="shared" si="903"/>
        <v>0</v>
      </c>
      <c r="Z633" s="197">
        <f t="shared" si="904"/>
        <v>2</v>
      </c>
      <c r="AA633" s="199" t="b">
        <f t="shared" si="3"/>
        <v>0</v>
      </c>
      <c r="AB633" s="199" t="b">
        <f t="shared" si="4"/>
        <v>0</v>
      </c>
      <c r="AC633" s="200">
        <f t="shared" ref="AC633:AD633" si="927">1-I633</f>
        <v>0.33999999999999997</v>
      </c>
      <c r="AD633" s="200">
        <f t="shared" si="927"/>
        <v>0.33999999999999997</v>
      </c>
      <c r="AE633" s="199">
        <f t="shared" si="6"/>
        <v>2</v>
      </c>
      <c r="AF633" s="201">
        <f t="shared" si="906"/>
        <v>0</v>
      </c>
      <c r="AG633" s="201">
        <f t="shared" si="8"/>
        <v>1</v>
      </c>
      <c r="AH633" s="202">
        <f t="shared" si="907"/>
        <v>0</v>
      </c>
      <c r="AI633" s="205"/>
      <c r="AJ633" s="173"/>
      <c r="AK633" s="173"/>
      <c r="AL633" s="173"/>
      <c r="AM633" s="173"/>
      <c r="AN633" s="173"/>
      <c r="AO633" s="173"/>
      <c r="AP633" s="173"/>
      <c r="AQ633" s="173"/>
      <c r="AR633" s="173"/>
      <c r="AS633" s="173"/>
      <c r="AT633" s="173"/>
      <c r="AU633" s="173"/>
      <c r="AV633" s="173"/>
    </row>
    <row r="634" spans="1:48" ht="14.25">
      <c r="A634" s="209"/>
      <c r="B634" s="209">
        <v>3</v>
      </c>
      <c r="C634" s="545" t="s">
        <v>1414</v>
      </c>
      <c r="D634" s="546" t="s">
        <v>63</v>
      </c>
      <c r="E634" s="546" t="s">
        <v>82</v>
      </c>
      <c r="F634" s="546" t="s">
        <v>26</v>
      </c>
      <c r="G634" s="547">
        <v>2</v>
      </c>
      <c r="H634" s="547">
        <v>1</v>
      </c>
      <c r="I634" s="548">
        <v>0.33</v>
      </c>
      <c r="J634" s="548">
        <v>0.33</v>
      </c>
      <c r="K634" s="549" t="s">
        <v>146</v>
      </c>
      <c r="L634" s="549"/>
      <c r="M634" s="549"/>
      <c r="N634" s="549"/>
      <c r="O634" s="550" t="s">
        <v>1415</v>
      </c>
      <c r="P634" s="292"/>
      <c r="Q634" s="546" t="s">
        <v>148</v>
      </c>
      <c r="R634" s="278"/>
      <c r="S634" s="195">
        <f>MATCH($D634,Reference!$J$5:$J$9,0)</f>
        <v>2</v>
      </c>
      <c r="T634" s="195">
        <f>MATCH($E634,Reference!$J$26:$J$32,0)</f>
        <v>7</v>
      </c>
      <c r="U634" s="195">
        <f>MATCH($F634,Reference!$J$45:$J$54,0)</f>
        <v>9</v>
      </c>
      <c r="V634" s="196">
        <f>MATCH($K634,Reference!$J$37:$J$39,0)</f>
        <v>2</v>
      </c>
      <c r="W634" s="197">
        <f t="shared" si="902"/>
        <v>2</v>
      </c>
      <c r="X634" s="197">
        <f t="shared" si="1"/>
        <v>1</v>
      </c>
      <c r="Y634" s="197">
        <f t="shared" si="903"/>
        <v>50</v>
      </c>
      <c r="Z634" s="197">
        <f t="shared" si="904"/>
        <v>2</v>
      </c>
      <c r="AA634" s="199" t="b">
        <f t="shared" si="3"/>
        <v>0</v>
      </c>
      <c r="AB634" s="199" t="b">
        <f t="shared" si="4"/>
        <v>0</v>
      </c>
      <c r="AC634" s="200">
        <f t="shared" ref="AC634:AD634" si="928">1-I634</f>
        <v>0.66999999999999993</v>
      </c>
      <c r="AD634" s="200">
        <f t="shared" si="928"/>
        <v>0.66999999999999993</v>
      </c>
      <c r="AE634" s="199">
        <f t="shared" si="6"/>
        <v>2</v>
      </c>
      <c r="AF634" s="201">
        <f t="shared" si="906"/>
        <v>1</v>
      </c>
      <c r="AG634" s="201">
        <f t="shared" si="8"/>
        <v>1</v>
      </c>
      <c r="AH634" s="202">
        <f t="shared" si="907"/>
        <v>5</v>
      </c>
      <c r="AI634" s="205"/>
      <c r="AJ634" s="173"/>
      <c r="AK634" s="173"/>
      <c r="AL634" s="173"/>
      <c r="AM634" s="173"/>
      <c r="AN634" s="173"/>
      <c r="AO634" s="173"/>
      <c r="AP634" s="173"/>
      <c r="AQ634" s="173"/>
      <c r="AR634" s="173"/>
      <c r="AS634" s="173"/>
      <c r="AT634" s="173"/>
      <c r="AU634" s="173"/>
      <c r="AV634" s="173"/>
    </row>
    <row r="635" spans="1:48" ht="14.25">
      <c r="A635" s="240"/>
      <c r="B635" s="209">
        <v>3</v>
      </c>
      <c r="C635" s="545" t="s">
        <v>1416</v>
      </c>
      <c r="D635" s="546" t="s">
        <v>63</v>
      </c>
      <c r="E635" s="546" t="s">
        <v>82</v>
      </c>
      <c r="F635" s="546" t="s">
        <v>115</v>
      </c>
      <c r="G635" s="547">
        <v>2</v>
      </c>
      <c r="H635" s="547">
        <v>0</v>
      </c>
      <c r="I635" s="548">
        <v>0</v>
      </c>
      <c r="J635" s="548">
        <v>0</v>
      </c>
      <c r="K635" s="549" t="s">
        <v>182</v>
      </c>
      <c r="L635" s="549"/>
      <c r="M635" s="549">
        <v>3</v>
      </c>
      <c r="N635" s="549">
        <v>3</v>
      </c>
      <c r="O635" s="550" t="s">
        <v>1417</v>
      </c>
      <c r="P635" s="551" t="s">
        <v>1374</v>
      </c>
      <c r="Q635" s="546" t="s">
        <v>148</v>
      </c>
      <c r="R635" s="173"/>
      <c r="S635" s="195">
        <f>MATCH($D635,Reference!$J$5:$J$9,0)</f>
        <v>2</v>
      </c>
      <c r="T635" s="195">
        <f>MATCH($E635,Reference!$J$26:$J$32,0)</f>
        <v>7</v>
      </c>
      <c r="U635" s="195">
        <f>MATCH($F635,Reference!$J$45:$J$54,0)</f>
        <v>10</v>
      </c>
      <c r="V635" s="196">
        <f>MATCH($K635,Reference!$J$37:$J$39,0)</f>
        <v>3</v>
      </c>
      <c r="W635" s="197">
        <f t="shared" si="902"/>
        <v>2</v>
      </c>
      <c r="X635" s="197">
        <f t="shared" si="1"/>
        <v>1</v>
      </c>
      <c r="Y635" s="197">
        <f t="shared" si="903"/>
        <v>0</v>
      </c>
      <c r="Z635" s="197">
        <f t="shared" si="904"/>
        <v>2</v>
      </c>
      <c r="AA635" s="199" t="b">
        <f t="shared" si="3"/>
        <v>0</v>
      </c>
      <c r="AB635" s="199" t="b">
        <f t="shared" si="4"/>
        <v>0</v>
      </c>
      <c r="AC635" s="200">
        <f t="shared" ref="AC635:AD635" si="929">1-I635</f>
        <v>1</v>
      </c>
      <c r="AD635" s="200">
        <f t="shared" si="929"/>
        <v>1</v>
      </c>
      <c r="AE635" s="199">
        <f t="shared" si="6"/>
        <v>2</v>
      </c>
      <c r="AF635" s="201">
        <f t="shared" si="906"/>
        <v>0</v>
      </c>
      <c r="AG635" s="201">
        <f t="shared" si="8"/>
        <v>1</v>
      </c>
      <c r="AH635" s="202">
        <f t="shared" si="907"/>
        <v>0</v>
      </c>
      <c r="AI635" s="205"/>
      <c r="AJ635" s="173"/>
      <c r="AK635" s="173"/>
      <c r="AL635" s="173"/>
      <c r="AM635" s="173"/>
      <c r="AN635" s="173"/>
      <c r="AO635" s="173"/>
      <c r="AP635" s="173"/>
      <c r="AQ635" s="173"/>
      <c r="AR635" s="173"/>
      <c r="AS635" s="173"/>
      <c r="AT635" s="173"/>
      <c r="AU635" s="173"/>
      <c r="AV635" s="173"/>
    </row>
    <row r="636" spans="1:48" ht="14.25">
      <c r="A636" s="206"/>
      <c r="B636" s="209">
        <v>3</v>
      </c>
      <c r="C636" s="545" t="s">
        <v>1418</v>
      </c>
      <c r="D636" s="546" t="s">
        <v>63</v>
      </c>
      <c r="E636" s="546" t="s">
        <v>82</v>
      </c>
      <c r="F636" s="546" t="s">
        <v>115</v>
      </c>
      <c r="G636" s="547">
        <v>2</v>
      </c>
      <c r="H636" s="547">
        <v>0</v>
      </c>
      <c r="I636" s="548">
        <v>0</v>
      </c>
      <c r="J636" s="548">
        <v>0</v>
      </c>
      <c r="K636" s="549" t="s">
        <v>182</v>
      </c>
      <c r="L636" s="549"/>
      <c r="M636" s="549">
        <v>5</v>
      </c>
      <c r="N636" s="549">
        <v>2</v>
      </c>
      <c r="O636" s="550"/>
      <c r="P636" s="292"/>
      <c r="Q636" s="546" t="s">
        <v>148</v>
      </c>
      <c r="R636" s="173"/>
      <c r="S636" s="195">
        <f>MATCH($D636,Reference!$J$5:$J$9,0)</f>
        <v>2</v>
      </c>
      <c r="T636" s="195">
        <f>MATCH($E636,Reference!$J$26:$J$32,0)</f>
        <v>7</v>
      </c>
      <c r="U636" s="195">
        <f>MATCH($F636,Reference!$J$45:$J$54,0)</f>
        <v>10</v>
      </c>
      <c r="V636" s="196">
        <f>MATCH($K636,Reference!$J$37:$J$39,0)</f>
        <v>3</v>
      </c>
      <c r="W636" s="197">
        <f t="shared" si="902"/>
        <v>2</v>
      </c>
      <c r="X636" s="197">
        <f t="shared" si="1"/>
        <v>1</v>
      </c>
      <c r="Y636" s="197">
        <f t="shared" si="903"/>
        <v>0</v>
      </c>
      <c r="Z636" s="197">
        <f t="shared" si="904"/>
        <v>2</v>
      </c>
      <c r="AA636" s="199" t="b">
        <f t="shared" si="3"/>
        <v>0</v>
      </c>
      <c r="AB636" s="199" t="b">
        <f t="shared" si="4"/>
        <v>0</v>
      </c>
      <c r="AC636" s="200">
        <f t="shared" ref="AC636:AD636" si="930">1-I636</f>
        <v>1</v>
      </c>
      <c r="AD636" s="200">
        <f t="shared" si="930"/>
        <v>1</v>
      </c>
      <c r="AE636" s="199">
        <f t="shared" si="6"/>
        <v>2</v>
      </c>
      <c r="AF636" s="201">
        <f t="shared" si="906"/>
        <v>0</v>
      </c>
      <c r="AG636" s="201">
        <f t="shared" si="8"/>
        <v>1</v>
      </c>
      <c r="AH636" s="202">
        <f t="shared" si="907"/>
        <v>0</v>
      </c>
      <c r="AI636" s="205"/>
      <c r="AJ636" s="173"/>
      <c r="AK636" s="173"/>
      <c r="AL636" s="173"/>
      <c r="AM636" s="173"/>
      <c r="AN636" s="173"/>
      <c r="AO636" s="173"/>
      <c r="AP636" s="173"/>
      <c r="AQ636" s="173"/>
      <c r="AR636" s="173"/>
      <c r="AS636" s="173"/>
      <c r="AT636" s="173"/>
      <c r="AU636" s="173"/>
      <c r="AV636" s="173"/>
    </row>
    <row r="637" spans="1:48" ht="14.25">
      <c r="A637" s="240"/>
      <c r="B637" s="209">
        <v>3</v>
      </c>
      <c r="C637" s="545" t="s">
        <v>1419</v>
      </c>
      <c r="D637" s="546" t="s">
        <v>63</v>
      </c>
      <c r="E637" s="546" t="s">
        <v>82</v>
      </c>
      <c r="F637" s="546" t="s">
        <v>26</v>
      </c>
      <c r="G637" s="547">
        <v>2</v>
      </c>
      <c r="H637" s="547">
        <v>0</v>
      </c>
      <c r="I637" s="548">
        <v>0</v>
      </c>
      <c r="J637" s="548">
        <v>0</v>
      </c>
      <c r="K637" s="549" t="s">
        <v>182</v>
      </c>
      <c r="L637" s="549"/>
      <c r="M637" s="549">
        <v>3</v>
      </c>
      <c r="N637" s="549">
        <v>3</v>
      </c>
      <c r="O637" s="550" t="s">
        <v>1420</v>
      </c>
      <c r="P637" s="551" t="s">
        <v>1421</v>
      </c>
      <c r="Q637" s="546" t="s">
        <v>148</v>
      </c>
      <c r="R637" s="173"/>
      <c r="S637" s="195">
        <f>MATCH($D637,Reference!$J$5:$J$9,0)</f>
        <v>2</v>
      </c>
      <c r="T637" s="195">
        <f>MATCH($E637,Reference!$J$26:$J$32,0)</f>
        <v>7</v>
      </c>
      <c r="U637" s="195">
        <f>MATCH($F637,Reference!$J$45:$J$54,0)</f>
        <v>9</v>
      </c>
      <c r="V637" s="196">
        <f>MATCH($K637,Reference!$J$37:$J$39,0)</f>
        <v>3</v>
      </c>
      <c r="W637" s="197">
        <f t="shared" si="902"/>
        <v>2</v>
      </c>
      <c r="X637" s="197">
        <f t="shared" si="1"/>
        <v>1</v>
      </c>
      <c r="Y637" s="197">
        <f t="shared" si="903"/>
        <v>0</v>
      </c>
      <c r="Z637" s="197">
        <f t="shared" si="904"/>
        <v>2</v>
      </c>
      <c r="AA637" s="199" t="b">
        <f t="shared" si="3"/>
        <v>0</v>
      </c>
      <c r="AB637" s="199" t="b">
        <f t="shared" si="4"/>
        <v>0</v>
      </c>
      <c r="AC637" s="200">
        <f t="shared" ref="AC637:AD637" si="931">1-I637</f>
        <v>1</v>
      </c>
      <c r="AD637" s="200">
        <f t="shared" si="931"/>
        <v>1</v>
      </c>
      <c r="AE637" s="199">
        <f t="shared" si="6"/>
        <v>2</v>
      </c>
      <c r="AF637" s="201">
        <f t="shared" si="906"/>
        <v>0</v>
      </c>
      <c r="AG637" s="201">
        <f t="shared" si="8"/>
        <v>1</v>
      </c>
      <c r="AH637" s="202">
        <f t="shared" si="907"/>
        <v>0</v>
      </c>
      <c r="AI637" s="205"/>
      <c r="AJ637" s="173"/>
      <c r="AK637" s="173"/>
      <c r="AL637" s="173"/>
      <c r="AM637" s="173"/>
      <c r="AN637" s="173"/>
      <c r="AO637" s="173"/>
      <c r="AP637" s="173"/>
      <c r="AQ637" s="173"/>
      <c r="AR637" s="173"/>
      <c r="AS637" s="173"/>
      <c r="AT637" s="173"/>
      <c r="AU637" s="173"/>
      <c r="AV637" s="173"/>
    </row>
    <row r="638" spans="1:48" ht="14.25">
      <c r="A638" s="206"/>
      <c r="B638" s="209">
        <v>3</v>
      </c>
      <c r="C638" s="545" t="s">
        <v>1422</v>
      </c>
      <c r="D638" s="546" t="s">
        <v>63</v>
      </c>
      <c r="E638" s="546" t="s">
        <v>82</v>
      </c>
      <c r="F638" s="546" t="s">
        <v>16</v>
      </c>
      <c r="G638" s="547">
        <v>2</v>
      </c>
      <c r="H638" s="547">
        <v>0</v>
      </c>
      <c r="I638" s="548">
        <v>1</v>
      </c>
      <c r="J638" s="548">
        <v>1</v>
      </c>
      <c r="K638" s="549" t="s">
        <v>146</v>
      </c>
      <c r="L638" s="549"/>
      <c r="M638" s="549"/>
      <c r="N638" s="549"/>
      <c r="O638" s="550" t="s">
        <v>1423</v>
      </c>
      <c r="P638" s="292"/>
      <c r="Q638" s="546" t="s">
        <v>148</v>
      </c>
      <c r="R638" s="173"/>
      <c r="S638" s="195">
        <f>MATCH($D638,Reference!$J$5:$J$9,0)</f>
        <v>2</v>
      </c>
      <c r="T638" s="195">
        <f>MATCH($E638,Reference!$J$26:$J$32,0)</f>
        <v>7</v>
      </c>
      <c r="U638" s="195">
        <f>MATCH($F638,Reference!$J$45:$J$54,0)</f>
        <v>4</v>
      </c>
      <c r="V638" s="196">
        <f>MATCH($K638,Reference!$J$37:$J$39,0)</f>
        <v>2</v>
      </c>
      <c r="W638" s="197">
        <f t="shared" si="902"/>
        <v>2</v>
      </c>
      <c r="X638" s="197">
        <f t="shared" si="1"/>
        <v>1</v>
      </c>
      <c r="Y638" s="197">
        <f t="shared" si="903"/>
        <v>0</v>
      </c>
      <c r="Z638" s="197">
        <f t="shared" si="904"/>
        <v>2</v>
      </c>
      <c r="AA638" s="199" t="b">
        <f t="shared" si="3"/>
        <v>0</v>
      </c>
      <c r="AB638" s="199" t="b">
        <f t="shared" si="4"/>
        <v>0</v>
      </c>
      <c r="AC638" s="200">
        <f t="shared" ref="AC638:AD638" si="932">1-I638</f>
        <v>0</v>
      </c>
      <c r="AD638" s="200">
        <f t="shared" si="932"/>
        <v>0</v>
      </c>
      <c r="AE638" s="199">
        <f t="shared" si="6"/>
        <v>2</v>
      </c>
      <c r="AF638" s="201">
        <f t="shared" si="906"/>
        <v>0</v>
      </c>
      <c r="AG638" s="201">
        <f t="shared" si="8"/>
        <v>1</v>
      </c>
      <c r="AH638" s="202">
        <f t="shared" si="907"/>
        <v>0</v>
      </c>
      <c r="AI638" s="205"/>
      <c r="AJ638" s="173"/>
      <c r="AK638" s="173"/>
      <c r="AL638" s="173"/>
      <c r="AM638" s="173"/>
      <c r="AN638" s="173"/>
      <c r="AO638" s="173"/>
      <c r="AP638" s="173"/>
      <c r="AQ638" s="173"/>
      <c r="AR638" s="173"/>
      <c r="AS638" s="173"/>
      <c r="AT638" s="173"/>
      <c r="AU638" s="173"/>
      <c r="AV638" s="173"/>
    </row>
    <row r="639" spans="1:48" ht="14.25">
      <c r="A639" s="187"/>
      <c r="B639" s="209">
        <v>3</v>
      </c>
      <c r="C639" s="545" t="s">
        <v>1424</v>
      </c>
      <c r="D639" s="546" t="s">
        <v>63</v>
      </c>
      <c r="E639" s="546" t="s">
        <v>82</v>
      </c>
      <c r="F639" s="546" t="s">
        <v>115</v>
      </c>
      <c r="G639" s="547">
        <v>2</v>
      </c>
      <c r="H639" s="547">
        <v>0</v>
      </c>
      <c r="I639" s="548">
        <v>0.33</v>
      </c>
      <c r="J639" s="548">
        <v>0.33</v>
      </c>
      <c r="K639" s="549" t="s">
        <v>182</v>
      </c>
      <c r="L639" s="549"/>
      <c r="M639" s="549">
        <v>2</v>
      </c>
      <c r="N639" s="549">
        <v>2</v>
      </c>
      <c r="O639" s="550" t="s">
        <v>1425</v>
      </c>
      <c r="P639" s="551" t="s">
        <v>184</v>
      </c>
      <c r="Q639" s="546" t="s">
        <v>148</v>
      </c>
      <c r="R639" s="173"/>
      <c r="S639" s="195">
        <f>MATCH($D639,Reference!$J$5:$J$9,0)</f>
        <v>2</v>
      </c>
      <c r="T639" s="195">
        <f>MATCH($E639,Reference!$J$26:$J$32,0)</f>
        <v>7</v>
      </c>
      <c r="U639" s="195">
        <f>MATCH($F639,Reference!$J$45:$J$54,0)</f>
        <v>10</v>
      </c>
      <c r="V639" s="196">
        <f>MATCH($K639,Reference!$J$37:$J$39,0)</f>
        <v>3</v>
      </c>
      <c r="W639" s="197">
        <f t="shared" si="902"/>
        <v>2</v>
      </c>
      <c r="X639" s="197">
        <f t="shared" si="1"/>
        <v>1</v>
      </c>
      <c r="Y639" s="197">
        <f t="shared" si="903"/>
        <v>0</v>
      </c>
      <c r="Z639" s="197">
        <f t="shared" si="904"/>
        <v>2</v>
      </c>
      <c r="AA639" s="199" t="b">
        <f t="shared" si="3"/>
        <v>0</v>
      </c>
      <c r="AB639" s="199" t="b">
        <f t="shared" si="4"/>
        <v>0</v>
      </c>
      <c r="AC639" s="200">
        <f t="shared" ref="AC639:AD639" si="933">1-I639</f>
        <v>0.66999999999999993</v>
      </c>
      <c r="AD639" s="200">
        <f t="shared" si="933"/>
        <v>0.66999999999999993</v>
      </c>
      <c r="AE639" s="199">
        <f t="shared" si="6"/>
        <v>2</v>
      </c>
      <c r="AF639" s="201">
        <f t="shared" si="906"/>
        <v>0</v>
      </c>
      <c r="AG639" s="201">
        <f t="shared" si="8"/>
        <v>1</v>
      </c>
      <c r="AH639" s="202">
        <f t="shared" si="907"/>
        <v>0</v>
      </c>
      <c r="AI639" s="205"/>
      <c r="AJ639" s="173"/>
      <c r="AK639" s="173"/>
      <c r="AL639" s="173"/>
      <c r="AM639" s="173"/>
      <c r="AN639" s="173"/>
      <c r="AO639" s="173"/>
      <c r="AP639" s="173"/>
      <c r="AQ639" s="173"/>
      <c r="AR639" s="173"/>
      <c r="AS639" s="173"/>
      <c r="AT639" s="173"/>
      <c r="AU639" s="173"/>
      <c r="AV639" s="173"/>
    </row>
    <row r="640" spans="1:48" ht="14.25">
      <c r="A640" s="209"/>
      <c r="B640" s="209">
        <v>3</v>
      </c>
      <c r="C640" s="545" t="s">
        <v>1426</v>
      </c>
      <c r="D640" s="546" t="s">
        <v>63</v>
      </c>
      <c r="E640" s="546" t="s">
        <v>82</v>
      </c>
      <c r="F640" s="546" t="s">
        <v>115</v>
      </c>
      <c r="G640" s="547">
        <v>2</v>
      </c>
      <c r="H640" s="547">
        <v>0</v>
      </c>
      <c r="I640" s="548">
        <v>0.66</v>
      </c>
      <c r="J640" s="548">
        <v>0.66</v>
      </c>
      <c r="K640" s="549" t="s">
        <v>182</v>
      </c>
      <c r="L640" s="549"/>
      <c r="M640" s="549">
        <v>3</v>
      </c>
      <c r="N640" s="549">
        <v>3</v>
      </c>
      <c r="O640" s="550" t="s">
        <v>1427</v>
      </c>
      <c r="P640" s="551" t="s">
        <v>1374</v>
      </c>
      <c r="Q640" s="546" t="s">
        <v>148</v>
      </c>
      <c r="R640" s="173"/>
      <c r="S640" s="195">
        <f>MATCH($D640,Reference!$J$5:$J$9,0)</f>
        <v>2</v>
      </c>
      <c r="T640" s="195">
        <f>MATCH($E640,Reference!$J$26:$J$32,0)</f>
        <v>7</v>
      </c>
      <c r="U640" s="195">
        <f>MATCH($F640,Reference!$J$45:$J$54,0)</f>
        <v>10</v>
      </c>
      <c r="V640" s="196">
        <f>MATCH($K640,Reference!$J$37:$J$39,0)</f>
        <v>3</v>
      </c>
      <c r="W640" s="197">
        <f t="shared" si="902"/>
        <v>2</v>
      </c>
      <c r="X640" s="197">
        <f t="shared" si="1"/>
        <v>1</v>
      </c>
      <c r="Y640" s="197">
        <f t="shared" si="903"/>
        <v>0</v>
      </c>
      <c r="Z640" s="197">
        <f t="shared" si="904"/>
        <v>2</v>
      </c>
      <c r="AA640" s="199" t="b">
        <f t="shared" si="3"/>
        <v>0</v>
      </c>
      <c r="AB640" s="199" t="b">
        <f t="shared" si="4"/>
        <v>0</v>
      </c>
      <c r="AC640" s="200">
        <f t="shared" ref="AC640:AD640" si="934">1-I640</f>
        <v>0.33999999999999997</v>
      </c>
      <c r="AD640" s="200">
        <f t="shared" si="934"/>
        <v>0.33999999999999997</v>
      </c>
      <c r="AE640" s="199">
        <f t="shared" si="6"/>
        <v>2</v>
      </c>
      <c r="AF640" s="201">
        <f t="shared" si="906"/>
        <v>0</v>
      </c>
      <c r="AG640" s="201">
        <f t="shared" si="8"/>
        <v>1</v>
      </c>
      <c r="AH640" s="202">
        <f t="shared" si="907"/>
        <v>0</v>
      </c>
      <c r="AI640" s="205"/>
      <c r="AJ640" s="173"/>
      <c r="AK640" s="173"/>
      <c r="AL640" s="173"/>
      <c r="AM640" s="173"/>
      <c r="AN640" s="173"/>
      <c r="AO640" s="173"/>
      <c r="AP640" s="173"/>
      <c r="AQ640" s="173"/>
      <c r="AR640" s="173"/>
      <c r="AS640" s="173"/>
      <c r="AT640" s="173"/>
      <c r="AU640" s="173"/>
      <c r="AV640" s="173"/>
    </row>
    <row r="641" spans="1:48" ht="14.25">
      <c r="A641" s="206"/>
      <c r="B641" s="209">
        <v>3</v>
      </c>
      <c r="C641" s="545" t="s">
        <v>1428</v>
      </c>
      <c r="D641" s="546" t="s">
        <v>63</v>
      </c>
      <c r="E641" s="546" t="s">
        <v>82</v>
      </c>
      <c r="F641" s="546" t="s">
        <v>13</v>
      </c>
      <c r="G641" s="547">
        <v>2</v>
      </c>
      <c r="H641" s="547">
        <v>0</v>
      </c>
      <c r="I641" s="548">
        <v>0.33</v>
      </c>
      <c r="J641" s="548">
        <v>0.33</v>
      </c>
      <c r="K641" s="549" t="s">
        <v>182</v>
      </c>
      <c r="L641" s="549"/>
      <c r="M641" s="549">
        <v>3</v>
      </c>
      <c r="N641" s="549">
        <v>4</v>
      </c>
      <c r="O641" s="550" t="s">
        <v>1429</v>
      </c>
      <c r="P641" s="551" t="s">
        <v>184</v>
      </c>
      <c r="Q641" s="546" t="s">
        <v>148</v>
      </c>
      <c r="R641" s="173"/>
      <c r="S641" s="195">
        <f>MATCH($D641,Reference!$J$5:$J$9,0)</f>
        <v>2</v>
      </c>
      <c r="T641" s="195">
        <f>MATCH($E641,Reference!$J$26:$J$32,0)</f>
        <v>7</v>
      </c>
      <c r="U641" s="195">
        <f>MATCH($F641,Reference!$J$45:$J$54,0)</f>
        <v>3</v>
      </c>
      <c r="V641" s="196">
        <f>MATCH($K641,Reference!$J$37:$J$39,0)</f>
        <v>3</v>
      </c>
      <c r="W641" s="197">
        <f t="shared" si="902"/>
        <v>2</v>
      </c>
      <c r="X641" s="197">
        <f t="shared" si="1"/>
        <v>1</v>
      </c>
      <c r="Y641" s="197">
        <f t="shared" si="903"/>
        <v>0</v>
      </c>
      <c r="Z641" s="197">
        <f t="shared" si="904"/>
        <v>2</v>
      </c>
      <c r="AA641" s="199" t="b">
        <f t="shared" si="3"/>
        <v>0</v>
      </c>
      <c r="AB641" s="199" t="b">
        <f t="shared" si="4"/>
        <v>0</v>
      </c>
      <c r="AC641" s="200">
        <f t="shared" ref="AC641:AD641" si="935">1-I641</f>
        <v>0.66999999999999993</v>
      </c>
      <c r="AD641" s="200">
        <f t="shared" si="935"/>
        <v>0.66999999999999993</v>
      </c>
      <c r="AE641" s="199">
        <f t="shared" si="6"/>
        <v>2</v>
      </c>
      <c r="AF641" s="201">
        <f t="shared" si="906"/>
        <v>0</v>
      </c>
      <c r="AG641" s="201">
        <f t="shared" si="8"/>
        <v>1</v>
      </c>
      <c r="AH641" s="202">
        <f t="shared" si="907"/>
        <v>0</v>
      </c>
      <c r="AI641" s="205"/>
      <c r="AJ641" s="173"/>
      <c r="AK641" s="173"/>
      <c r="AL641" s="173"/>
      <c r="AM641" s="173"/>
      <c r="AN641" s="173"/>
      <c r="AO641" s="173"/>
      <c r="AP641" s="173"/>
      <c r="AQ641" s="173"/>
      <c r="AR641" s="173"/>
      <c r="AS641" s="173"/>
      <c r="AT641" s="173"/>
      <c r="AU641" s="173"/>
      <c r="AV641" s="173"/>
    </row>
    <row r="642" spans="1:48" ht="14.25">
      <c r="A642" s="187"/>
      <c r="B642" s="209">
        <v>3</v>
      </c>
      <c r="C642" s="545" t="s">
        <v>1430</v>
      </c>
      <c r="D642" s="546" t="s">
        <v>63</v>
      </c>
      <c r="E642" s="546" t="s">
        <v>82</v>
      </c>
      <c r="F642" s="546" t="s">
        <v>21</v>
      </c>
      <c r="G642" s="547">
        <v>2</v>
      </c>
      <c r="H642" s="547">
        <v>0</v>
      </c>
      <c r="I642" s="548">
        <v>1</v>
      </c>
      <c r="J642" s="548">
        <v>1</v>
      </c>
      <c r="K642" s="549" t="s">
        <v>182</v>
      </c>
      <c r="L642" s="549"/>
      <c r="M642" s="549">
        <v>3</v>
      </c>
      <c r="N642" s="549">
        <v>2</v>
      </c>
      <c r="O642" s="550" t="s">
        <v>1431</v>
      </c>
      <c r="P642" s="551" t="s">
        <v>275</v>
      </c>
      <c r="Q642" s="546" t="s">
        <v>148</v>
      </c>
      <c r="R642" s="173"/>
      <c r="S642" s="195">
        <f>MATCH($D642,Reference!$J$5:$J$9,0)</f>
        <v>2</v>
      </c>
      <c r="T642" s="195">
        <f>MATCH($E642,Reference!$J$26:$J$32,0)</f>
        <v>7</v>
      </c>
      <c r="U642" s="195">
        <f>MATCH($F642,Reference!$J$45:$J$54,0)</f>
        <v>7</v>
      </c>
      <c r="V642" s="196">
        <f>MATCH($K642,Reference!$J$37:$J$39,0)</f>
        <v>3</v>
      </c>
      <c r="W642" s="197">
        <f t="shared" si="902"/>
        <v>2</v>
      </c>
      <c r="X642" s="197">
        <f t="shared" si="1"/>
        <v>1</v>
      </c>
      <c r="Y642" s="197">
        <f t="shared" si="903"/>
        <v>0</v>
      </c>
      <c r="Z642" s="197">
        <f t="shared" si="904"/>
        <v>2</v>
      </c>
      <c r="AA642" s="199" t="b">
        <f t="shared" si="3"/>
        <v>0</v>
      </c>
      <c r="AB642" s="199" t="b">
        <f t="shared" si="4"/>
        <v>0</v>
      </c>
      <c r="AC642" s="200">
        <f t="shared" ref="AC642:AD642" si="936">1-I642</f>
        <v>0</v>
      </c>
      <c r="AD642" s="200">
        <f t="shared" si="936"/>
        <v>0</v>
      </c>
      <c r="AE642" s="199">
        <f t="shared" si="6"/>
        <v>2</v>
      </c>
      <c r="AF642" s="201">
        <f t="shared" si="906"/>
        <v>0</v>
      </c>
      <c r="AG642" s="201">
        <f t="shared" si="8"/>
        <v>1</v>
      </c>
      <c r="AH642" s="202">
        <f t="shared" si="907"/>
        <v>0</v>
      </c>
      <c r="AI642" s="205"/>
      <c r="AJ642" s="173"/>
      <c r="AK642" s="173"/>
      <c r="AL642" s="173"/>
      <c r="AM642" s="173"/>
      <c r="AN642" s="173"/>
      <c r="AO642" s="173"/>
      <c r="AP642" s="173"/>
      <c r="AQ642" s="173"/>
      <c r="AR642" s="173"/>
      <c r="AS642" s="173"/>
      <c r="AT642" s="173"/>
      <c r="AU642" s="173"/>
      <c r="AV642" s="173"/>
    </row>
    <row r="643" spans="1:48" ht="14.25">
      <c r="A643" s="187"/>
      <c r="B643" s="209">
        <v>3</v>
      </c>
      <c r="C643" s="545" t="s">
        <v>1432</v>
      </c>
      <c r="D643" s="546" t="s">
        <v>63</v>
      </c>
      <c r="E643" s="546" t="s">
        <v>82</v>
      </c>
      <c r="F643" s="546" t="s">
        <v>16</v>
      </c>
      <c r="G643" s="547">
        <v>2</v>
      </c>
      <c r="H643" s="547">
        <v>0</v>
      </c>
      <c r="I643" s="548">
        <v>0.33</v>
      </c>
      <c r="J643" s="548">
        <v>0.33</v>
      </c>
      <c r="K643" s="549" t="s">
        <v>182</v>
      </c>
      <c r="L643" s="549"/>
      <c r="M643" s="549">
        <v>2</v>
      </c>
      <c r="N643" s="549">
        <v>4</v>
      </c>
      <c r="O643" s="550" t="s">
        <v>1433</v>
      </c>
      <c r="P643" s="551" t="s">
        <v>197</v>
      </c>
      <c r="Q643" s="546" t="s">
        <v>148</v>
      </c>
      <c r="R643" s="173"/>
      <c r="S643" s="195">
        <f>MATCH($D643,Reference!$J$5:$J$9,0)</f>
        <v>2</v>
      </c>
      <c r="T643" s="195">
        <f>MATCH($E643,Reference!$J$26:$J$32,0)</f>
        <v>7</v>
      </c>
      <c r="U643" s="195">
        <f>MATCH($F643,Reference!$J$45:$J$54,0)</f>
        <v>4</v>
      </c>
      <c r="V643" s="196">
        <f>MATCH($K643,Reference!$J$37:$J$39,0)</f>
        <v>3</v>
      </c>
      <c r="W643" s="197">
        <f t="shared" si="902"/>
        <v>2</v>
      </c>
      <c r="X643" s="197">
        <f t="shared" si="1"/>
        <v>1</v>
      </c>
      <c r="Y643" s="197">
        <f t="shared" si="903"/>
        <v>0</v>
      </c>
      <c r="Z643" s="197">
        <f t="shared" si="904"/>
        <v>2</v>
      </c>
      <c r="AA643" s="199" t="b">
        <f t="shared" si="3"/>
        <v>0</v>
      </c>
      <c r="AB643" s="199" t="b">
        <f t="shared" si="4"/>
        <v>0</v>
      </c>
      <c r="AC643" s="200">
        <f t="shared" ref="AC643:AD643" si="937">1-I643</f>
        <v>0.66999999999999993</v>
      </c>
      <c r="AD643" s="200">
        <f t="shared" si="937"/>
        <v>0.66999999999999993</v>
      </c>
      <c r="AE643" s="199">
        <f t="shared" si="6"/>
        <v>2</v>
      </c>
      <c r="AF643" s="201">
        <f t="shared" si="906"/>
        <v>0</v>
      </c>
      <c r="AG643" s="201">
        <f t="shared" si="8"/>
        <v>1</v>
      </c>
      <c r="AH643" s="202">
        <f t="shared" si="907"/>
        <v>0</v>
      </c>
      <c r="AI643" s="205"/>
      <c r="AJ643" s="173"/>
      <c r="AK643" s="173"/>
      <c r="AL643" s="173"/>
      <c r="AM643" s="173"/>
      <c r="AN643" s="173"/>
      <c r="AO643" s="173"/>
      <c r="AP643" s="173"/>
      <c r="AQ643" s="173"/>
      <c r="AR643" s="173"/>
      <c r="AS643" s="173"/>
      <c r="AT643" s="173"/>
      <c r="AU643" s="173"/>
      <c r="AV643" s="173"/>
    </row>
    <row r="644" spans="1:48" ht="14.25">
      <c r="A644" s="187"/>
      <c r="B644" s="209">
        <v>4</v>
      </c>
      <c r="C644" s="545" t="s">
        <v>1434</v>
      </c>
      <c r="D644" s="546" t="s">
        <v>63</v>
      </c>
      <c r="E644" s="546" t="s">
        <v>82</v>
      </c>
      <c r="F644" s="546" t="s">
        <v>13</v>
      </c>
      <c r="G644" s="547">
        <v>2</v>
      </c>
      <c r="H644" s="547">
        <v>0</v>
      </c>
      <c r="I644" s="548">
        <v>0.33</v>
      </c>
      <c r="J644" s="548">
        <v>0.33</v>
      </c>
      <c r="K644" s="549" t="s">
        <v>182</v>
      </c>
      <c r="L644" s="549"/>
      <c r="M644" s="549">
        <v>3</v>
      </c>
      <c r="N644" s="549">
        <v>5</v>
      </c>
      <c r="O644" s="550" t="s">
        <v>1435</v>
      </c>
      <c r="P644" s="551" t="s">
        <v>268</v>
      </c>
      <c r="Q644" s="546" t="s">
        <v>148</v>
      </c>
      <c r="R644" s="173"/>
      <c r="S644" s="195">
        <f>MATCH($D644,Reference!$J$5:$J$9,0)</f>
        <v>2</v>
      </c>
      <c r="T644" s="195">
        <f>MATCH($E644,Reference!$J$26:$J$32,0)</f>
        <v>7</v>
      </c>
      <c r="U644" s="195">
        <f>MATCH($F644,Reference!$J$45:$J$54,0)</f>
        <v>3</v>
      </c>
      <c r="V644" s="196">
        <f>MATCH($K644,Reference!$J$37:$J$39,0)</f>
        <v>3</v>
      </c>
      <c r="W644" s="197">
        <f t="shared" si="902"/>
        <v>2</v>
      </c>
      <c r="X644" s="197">
        <f t="shared" si="1"/>
        <v>1</v>
      </c>
      <c r="Y644" s="197">
        <f t="shared" si="903"/>
        <v>0</v>
      </c>
      <c r="Z644" s="197">
        <f t="shared" si="904"/>
        <v>2</v>
      </c>
      <c r="AA644" s="199" t="b">
        <f t="shared" si="3"/>
        <v>0</v>
      </c>
      <c r="AB644" s="199" t="b">
        <f t="shared" si="4"/>
        <v>0</v>
      </c>
      <c r="AC644" s="200">
        <f t="shared" ref="AC644:AD644" si="938">1-I644</f>
        <v>0.66999999999999993</v>
      </c>
      <c r="AD644" s="200">
        <f t="shared" si="938"/>
        <v>0.66999999999999993</v>
      </c>
      <c r="AE644" s="199">
        <f t="shared" si="6"/>
        <v>2</v>
      </c>
      <c r="AF644" s="201">
        <f t="shared" si="906"/>
        <v>0</v>
      </c>
      <c r="AG644" s="201">
        <f t="shared" si="8"/>
        <v>1</v>
      </c>
      <c r="AH644" s="202">
        <f t="shared" si="907"/>
        <v>0</v>
      </c>
      <c r="AI644" s="205"/>
      <c r="AJ644" s="173"/>
      <c r="AK644" s="173"/>
      <c r="AL644" s="173"/>
      <c r="AM644" s="173"/>
      <c r="AN644" s="173"/>
      <c r="AO644" s="173"/>
      <c r="AP644" s="173"/>
      <c r="AQ644" s="173"/>
      <c r="AR644" s="173"/>
      <c r="AS644" s="173"/>
      <c r="AT644" s="173"/>
      <c r="AU644" s="173"/>
      <c r="AV644" s="173"/>
    </row>
    <row r="645" spans="1:48" ht="14.25">
      <c r="A645" s="240"/>
      <c r="B645" s="209">
        <v>4</v>
      </c>
      <c r="C645" s="545" t="s">
        <v>1436</v>
      </c>
      <c r="D645" s="546" t="s">
        <v>63</v>
      </c>
      <c r="E645" s="546" t="s">
        <v>82</v>
      </c>
      <c r="F645" s="546" t="s">
        <v>115</v>
      </c>
      <c r="G645" s="547">
        <v>2</v>
      </c>
      <c r="H645" s="547">
        <v>0</v>
      </c>
      <c r="I645" s="548">
        <v>0.33</v>
      </c>
      <c r="J645" s="548">
        <v>0.33</v>
      </c>
      <c r="K645" s="549" t="s">
        <v>182</v>
      </c>
      <c r="L645" s="549"/>
      <c r="M645" s="549">
        <v>5</v>
      </c>
      <c r="N645" s="549">
        <v>4</v>
      </c>
      <c r="O645" s="550" t="s">
        <v>1239</v>
      </c>
      <c r="P645" s="551" t="s">
        <v>193</v>
      </c>
      <c r="Q645" s="546" t="s">
        <v>148</v>
      </c>
      <c r="R645" s="173"/>
      <c r="S645" s="195">
        <f>MATCH($D645,Reference!$J$5:$J$9,0)</f>
        <v>2</v>
      </c>
      <c r="T645" s="195">
        <f>MATCH($E645,Reference!$J$26:$J$32,0)</f>
        <v>7</v>
      </c>
      <c r="U645" s="195">
        <f>MATCH($F645,Reference!$J$45:$J$54,0)</f>
        <v>10</v>
      </c>
      <c r="V645" s="196">
        <f>MATCH($K645,Reference!$J$37:$J$39,0)</f>
        <v>3</v>
      </c>
      <c r="W645" s="197">
        <f t="shared" si="902"/>
        <v>2</v>
      </c>
      <c r="X645" s="197">
        <f t="shared" si="1"/>
        <v>1</v>
      </c>
      <c r="Y645" s="197">
        <f t="shared" si="903"/>
        <v>0</v>
      </c>
      <c r="Z645" s="197">
        <f t="shared" si="904"/>
        <v>2</v>
      </c>
      <c r="AA645" s="199" t="b">
        <f t="shared" si="3"/>
        <v>0</v>
      </c>
      <c r="AB645" s="199" t="b">
        <f t="shared" si="4"/>
        <v>0</v>
      </c>
      <c r="AC645" s="200">
        <f t="shared" ref="AC645:AD645" si="939">1-I645</f>
        <v>0.66999999999999993</v>
      </c>
      <c r="AD645" s="200">
        <f t="shared" si="939"/>
        <v>0.66999999999999993</v>
      </c>
      <c r="AE645" s="199">
        <f t="shared" si="6"/>
        <v>2</v>
      </c>
      <c r="AF645" s="201">
        <f t="shared" si="906"/>
        <v>0</v>
      </c>
      <c r="AG645" s="201">
        <f t="shared" si="8"/>
        <v>1</v>
      </c>
      <c r="AH645" s="202">
        <f t="shared" si="907"/>
        <v>0</v>
      </c>
      <c r="AI645" s="205"/>
      <c r="AJ645" s="173"/>
      <c r="AK645" s="173"/>
      <c r="AL645" s="173"/>
      <c r="AM645" s="173"/>
      <c r="AN645" s="173"/>
      <c r="AO645" s="173"/>
      <c r="AP645" s="173"/>
      <c r="AQ645" s="173"/>
      <c r="AR645" s="173"/>
      <c r="AS645" s="173"/>
      <c r="AT645" s="173"/>
      <c r="AU645" s="173"/>
      <c r="AV645" s="173"/>
    </row>
    <row r="646" spans="1:48" ht="14.25">
      <c r="A646" s="187"/>
      <c r="B646" s="209">
        <v>4</v>
      </c>
      <c r="C646" s="545" t="s">
        <v>1437</v>
      </c>
      <c r="D646" s="546" t="s">
        <v>63</v>
      </c>
      <c r="E646" s="546" t="s">
        <v>82</v>
      </c>
      <c r="F646" s="546" t="s">
        <v>115</v>
      </c>
      <c r="G646" s="547">
        <v>2</v>
      </c>
      <c r="H646" s="547">
        <v>0</v>
      </c>
      <c r="I646" s="548">
        <v>0</v>
      </c>
      <c r="J646" s="548">
        <v>0</v>
      </c>
      <c r="K646" s="549" t="s">
        <v>182</v>
      </c>
      <c r="L646" s="549"/>
      <c r="M646" s="549">
        <v>2</v>
      </c>
      <c r="N646" s="549">
        <v>6</v>
      </c>
      <c r="O646" s="550" t="s">
        <v>1438</v>
      </c>
      <c r="P646" s="551" t="s">
        <v>268</v>
      </c>
      <c r="Q646" s="546" t="s">
        <v>148</v>
      </c>
      <c r="R646" s="173"/>
      <c r="S646" s="195">
        <f>MATCH($D646,Reference!$J$5:$J$9,0)</f>
        <v>2</v>
      </c>
      <c r="T646" s="195">
        <f>MATCH($E646,Reference!$J$26:$J$32,0)</f>
        <v>7</v>
      </c>
      <c r="U646" s="195">
        <f>MATCH($F646,Reference!$J$45:$J$54,0)</f>
        <v>10</v>
      </c>
      <c r="V646" s="196">
        <f>MATCH($K646,Reference!$J$37:$J$39,0)</f>
        <v>3</v>
      </c>
      <c r="W646" s="197">
        <f t="shared" si="902"/>
        <v>2</v>
      </c>
      <c r="X646" s="197">
        <f t="shared" si="1"/>
        <v>1</v>
      </c>
      <c r="Y646" s="197">
        <f t="shared" si="903"/>
        <v>0</v>
      </c>
      <c r="Z646" s="197">
        <f t="shared" si="904"/>
        <v>2</v>
      </c>
      <c r="AA646" s="199" t="b">
        <f t="shared" si="3"/>
        <v>0</v>
      </c>
      <c r="AB646" s="199" t="b">
        <f t="shared" si="4"/>
        <v>0</v>
      </c>
      <c r="AC646" s="200">
        <f t="shared" ref="AC646:AD646" si="940">1-I646</f>
        <v>1</v>
      </c>
      <c r="AD646" s="200">
        <f t="shared" si="940"/>
        <v>1</v>
      </c>
      <c r="AE646" s="199">
        <f t="shared" si="6"/>
        <v>2</v>
      </c>
      <c r="AF646" s="201">
        <f t="shared" si="906"/>
        <v>0</v>
      </c>
      <c r="AG646" s="201">
        <f t="shared" si="8"/>
        <v>1</v>
      </c>
      <c r="AH646" s="202">
        <f t="shared" si="907"/>
        <v>0</v>
      </c>
      <c r="AI646" s="205"/>
      <c r="AJ646" s="173"/>
      <c r="AK646" s="173"/>
      <c r="AL646" s="173"/>
      <c r="AM646" s="173"/>
      <c r="AN646" s="173"/>
      <c r="AO646" s="173"/>
      <c r="AP646" s="173"/>
      <c r="AQ646" s="173"/>
      <c r="AR646" s="173"/>
      <c r="AS646" s="173"/>
      <c r="AT646" s="173"/>
      <c r="AU646" s="173"/>
      <c r="AV646" s="173"/>
    </row>
    <row r="647" spans="1:48" ht="14.25">
      <c r="A647" s="187"/>
      <c r="B647" s="209">
        <v>4</v>
      </c>
      <c r="C647" s="545" t="s">
        <v>1439</v>
      </c>
      <c r="D647" s="546" t="s">
        <v>63</v>
      </c>
      <c r="E647" s="546" t="s">
        <v>82</v>
      </c>
      <c r="F647" s="546" t="s">
        <v>18</v>
      </c>
      <c r="G647" s="547">
        <v>2</v>
      </c>
      <c r="H647" s="547">
        <v>2</v>
      </c>
      <c r="I647" s="548">
        <v>0.66</v>
      </c>
      <c r="J647" s="548">
        <v>0.66</v>
      </c>
      <c r="K647" s="549" t="s">
        <v>182</v>
      </c>
      <c r="L647" s="549"/>
      <c r="M647" s="549">
        <v>3</v>
      </c>
      <c r="N647" s="549">
        <v>5</v>
      </c>
      <c r="O647" s="550" t="s">
        <v>818</v>
      </c>
      <c r="P647" s="292"/>
      <c r="Q647" s="546" t="s">
        <v>148</v>
      </c>
      <c r="R647" s="173"/>
      <c r="S647" s="195">
        <f>MATCH($D647,Reference!$J$5:$J$9,0)</f>
        <v>2</v>
      </c>
      <c r="T647" s="195">
        <f>MATCH($E647,Reference!$J$26:$J$32,0)</f>
        <v>7</v>
      </c>
      <c r="U647" s="195">
        <f>MATCH($F647,Reference!$J$45:$J$54,0)</f>
        <v>5</v>
      </c>
      <c r="V647" s="196">
        <f>MATCH($K647,Reference!$J$37:$J$39,0)</f>
        <v>3</v>
      </c>
      <c r="W647" s="197">
        <f t="shared" si="902"/>
        <v>2</v>
      </c>
      <c r="X647" s="197">
        <f t="shared" si="1"/>
        <v>1</v>
      </c>
      <c r="Y647" s="197">
        <f t="shared" si="903"/>
        <v>100</v>
      </c>
      <c r="Z647" s="197">
        <f t="shared" si="904"/>
        <v>2</v>
      </c>
      <c r="AA647" s="199" t="b">
        <f t="shared" si="3"/>
        <v>0</v>
      </c>
      <c r="AB647" s="199" t="b">
        <f t="shared" si="4"/>
        <v>0</v>
      </c>
      <c r="AC647" s="200">
        <f t="shared" ref="AC647:AD647" si="941">1-I647</f>
        <v>0.33999999999999997</v>
      </c>
      <c r="AD647" s="200">
        <f t="shared" si="941"/>
        <v>0.33999999999999997</v>
      </c>
      <c r="AE647" s="199">
        <f t="shared" si="6"/>
        <v>2</v>
      </c>
      <c r="AF647" s="201">
        <f t="shared" si="906"/>
        <v>2</v>
      </c>
      <c r="AG647" s="201">
        <f t="shared" si="8"/>
        <v>1</v>
      </c>
      <c r="AH647" s="202">
        <f t="shared" si="907"/>
        <v>10</v>
      </c>
      <c r="AI647" s="205"/>
      <c r="AJ647" s="173"/>
      <c r="AK647" s="173"/>
      <c r="AL647" s="173"/>
      <c r="AM647" s="173"/>
      <c r="AN647" s="173"/>
      <c r="AO647" s="173"/>
      <c r="AP647" s="173"/>
      <c r="AQ647" s="173"/>
      <c r="AR647" s="173"/>
      <c r="AS647" s="173"/>
      <c r="AT647" s="173"/>
      <c r="AU647" s="173"/>
      <c r="AV647" s="173"/>
    </row>
    <row r="648" spans="1:48" ht="14.25">
      <c r="A648" s="213"/>
      <c r="B648" s="209">
        <v>4</v>
      </c>
      <c r="C648" s="545" t="s">
        <v>1440</v>
      </c>
      <c r="D648" s="546" t="s">
        <v>63</v>
      </c>
      <c r="E648" s="546" t="s">
        <v>82</v>
      </c>
      <c r="F648" s="546" t="s">
        <v>115</v>
      </c>
      <c r="G648" s="547">
        <v>2</v>
      </c>
      <c r="H648" s="547">
        <v>1</v>
      </c>
      <c r="I648" s="548">
        <v>0.66</v>
      </c>
      <c r="J648" s="548">
        <v>0.66</v>
      </c>
      <c r="K648" s="546" t="s">
        <v>182</v>
      </c>
      <c r="L648" s="549"/>
      <c r="M648" s="549">
        <v>2</v>
      </c>
      <c r="N648" s="552">
        <v>6</v>
      </c>
      <c r="O648" s="550" t="s">
        <v>1441</v>
      </c>
      <c r="P648" s="292"/>
      <c r="Q648" s="546" t="s">
        <v>148</v>
      </c>
      <c r="R648" s="173"/>
      <c r="S648" s="195">
        <f>MATCH($D648,Reference!$J$5:$J$9,0)</f>
        <v>2</v>
      </c>
      <c r="T648" s="195">
        <f>MATCH($E648,Reference!$J$26:$J$32,0)</f>
        <v>7</v>
      </c>
      <c r="U648" s="195">
        <f>MATCH($F648,Reference!$J$45:$J$54,0)</f>
        <v>10</v>
      </c>
      <c r="V648" s="196">
        <f>MATCH($K648,Reference!$J$37:$J$39,0)</f>
        <v>3</v>
      </c>
      <c r="W648" s="197">
        <f t="shared" si="902"/>
        <v>2</v>
      </c>
      <c r="X648" s="197">
        <f t="shared" si="1"/>
        <v>1</v>
      </c>
      <c r="Y648" s="197">
        <f t="shared" si="903"/>
        <v>50</v>
      </c>
      <c r="Z648" s="197">
        <f t="shared" si="904"/>
        <v>2</v>
      </c>
      <c r="AA648" s="199" t="b">
        <f t="shared" si="3"/>
        <v>0</v>
      </c>
      <c r="AB648" s="199" t="b">
        <f t="shared" si="4"/>
        <v>0</v>
      </c>
      <c r="AC648" s="200">
        <f t="shared" ref="AC648:AD648" si="942">1-I648</f>
        <v>0.33999999999999997</v>
      </c>
      <c r="AD648" s="200">
        <f t="shared" si="942"/>
        <v>0.33999999999999997</v>
      </c>
      <c r="AE648" s="199">
        <f t="shared" si="6"/>
        <v>2</v>
      </c>
      <c r="AF648" s="201">
        <f t="shared" si="906"/>
        <v>1</v>
      </c>
      <c r="AG648" s="201">
        <f t="shared" si="8"/>
        <v>1</v>
      </c>
      <c r="AH648" s="202">
        <f t="shared" si="907"/>
        <v>5</v>
      </c>
      <c r="AI648" s="205"/>
      <c r="AJ648" s="173"/>
      <c r="AK648" s="173"/>
      <c r="AL648" s="173"/>
      <c r="AM648" s="173"/>
      <c r="AN648" s="173"/>
      <c r="AO648" s="173"/>
      <c r="AP648" s="173"/>
      <c r="AQ648" s="173"/>
      <c r="AR648" s="173"/>
      <c r="AS648" s="173"/>
      <c r="AT648" s="173"/>
      <c r="AU648" s="173"/>
      <c r="AV648" s="173"/>
    </row>
    <row r="649" spans="1:48" ht="14.25">
      <c r="A649" s="187"/>
      <c r="B649" s="209">
        <v>4</v>
      </c>
      <c r="C649" s="545" t="s">
        <v>1442</v>
      </c>
      <c r="D649" s="546" t="s">
        <v>63</v>
      </c>
      <c r="E649" s="546" t="s">
        <v>82</v>
      </c>
      <c r="F649" s="546" t="s">
        <v>16</v>
      </c>
      <c r="G649" s="547">
        <v>2</v>
      </c>
      <c r="H649" s="547">
        <v>1</v>
      </c>
      <c r="I649" s="548">
        <v>1</v>
      </c>
      <c r="J649" s="548">
        <v>1</v>
      </c>
      <c r="K649" s="546" t="s">
        <v>182</v>
      </c>
      <c r="L649" s="549" t="s">
        <v>195</v>
      </c>
      <c r="M649" s="546">
        <v>3</v>
      </c>
      <c r="N649" s="552">
        <v>4</v>
      </c>
      <c r="O649" s="550" t="s">
        <v>1443</v>
      </c>
      <c r="P649" s="551" t="s">
        <v>1444</v>
      </c>
      <c r="Q649" s="546" t="s">
        <v>148</v>
      </c>
      <c r="R649" s="173"/>
      <c r="S649" s="195">
        <f>MATCH($D649,Reference!$J$5:$J$9,0)</f>
        <v>2</v>
      </c>
      <c r="T649" s="195">
        <f>MATCH($E649,Reference!$J$26:$J$32,0)</f>
        <v>7</v>
      </c>
      <c r="U649" s="195">
        <f>MATCH($F649,Reference!$J$45:$J$54,0)</f>
        <v>4</v>
      </c>
      <c r="V649" s="196">
        <f>MATCH($K649,Reference!$J$37:$J$39,0)</f>
        <v>3</v>
      </c>
      <c r="W649" s="197">
        <f t="shared" si="902"/>
        <v>2</v>
      </c>
      <c r="X649" s="197">
        <f t="shared" si="1"/>
        <v>1</v>
      </c>
      <c r="Y649" s="197">
        <f t="shared" si="903"/>
        <v>50</v>
      </c>
      <c r="Z649" s="197">
        <f t="shared" si="904"/>
        <v>2</v>
      </c>
      <c r="AA649" s="199" t="b">
        <f t="shared" si="3"/>
        <v>0</v>
      </c>
      <c r="AB649" s="199" t="b">
        <f t="shared" si="4"/>
        <v>0</v>
      </c>
      <c r="AC649" s="200">
        <f t="shared" ref="AC649:AD649" si="943">1-I649</f>
        <v>0</v>
      </c>
      <c r="AD649" s="200">
        <f t="shared" si="943"/>
        <v>0</v>
      </c>
      <c r="AE649" s="199">
        <f t="shared" si="6"/>
        <v>2</v>
      </c>
      <c r="AF649" s="201">
        <f t="shared" si="906"/>
        <v>1</v>
      </c>
      <c r="AG649" s="201">
        <f t="shared" si="8"/>
        <v>1</v>
      </c>
      <c r="AH649" s="202">
        <f t="shared" si="907"/>
        <v>5</v>
      </c>
      <c r="AI649" s="205"/>
      <c r="AJ649" s="173"/>
      <c r="AK649" s="173"/>
      <c r="AL649" s="173"/>
      <c r="AM649" s="173"/>
      <c r="AN649" s="173"/>
      <c r="AO649" s="173"/>
      <c r="AP649" s="173"/>
      <c r="AQ649" s="173"/>
      <c r="AR649" s="173"/>
      <c r="AS649" s="173"/>
      <c r="AT649" s="173"/>
      <c r="AU649" s="173"/>
      <c r="AV649" s="173"/>
    </row>
    <row r="650" spans="1:48" ht="14.25">
      <c r="A650" s="240"/>
      <c r="B650" s="209">
        <v>4</v>
      </c>
      <c r="C650" s="545" t="s">
        <v>1445</v>
      </c>
      <c r="D650" s="546" t="s">
        <v>63</v>
      </c>
      <c r="E650" s="546" t="s">
        <v>82</v>
      </c>
      <c r="F650" s="546" t="s">
        <v>115</v>
      </c>
      <c r="G650" s="547">
        <v>2</v>
      </c>
      <c r="H650" s="547">
        <v>0</v>
      </c>
      <c r="I650" s="548">
        <v>0.66</v>
      </c>
      <c r="J650" s="548">
        <v>0.66</v>
      </c>
      <c r="K650" s="549" t="s">
        <v>182</v>
      </c>
      <c r="L650" s="549"/>
      <c r="M650" s="549">
        <v>3</v>
      </c>
      <c r="N650" s="549">
        <v>5</v>
      </c>
      <c r="O650" s="550" t="s">
        <v>1446</v>
      </c>
      <c r="P650" s="551" t="s">
        <v>275</v>
      </c>
      <c r="Q650" s="546" t="s">
        <v>148</v>
      </c>
      <c r="R650" s="173"/>
      <c r="S650" s="195">
        <f>MATCH($D650,Reference!$J$5:$J$9,0)</f>
        <v>2</v>
      </c>
      <c r="T650" s="195">
        <f>MATCH($E650,Reference!$J$26:$J$32,0)</f>
        <v>7</v>
      </c>
      <c r="U650" s="195">
        <f>MATCH($F650,Reference!$J$45:$J$54,0)</f>
        <v>10</v>
      </c>
      <c r="V650" s="196">
        <f>MATCH($K650,Reference!$J$37:$J$39,0)</f>
        <v>3</v>
      </c>
      <c r="W650" s="197">
        <f t="shared" si="902"/>
        <v>2</v>
      </c>
      <c r="X650" s="197">
        <f t="shared" si="1"/>
        <v>1</v>
      </c>
      <c r="Y650" s="197">
        <f t="shared" si="903"/>
        <v>0</v>
      </c>
      <c r="Z650" s="197">
        <f t="shared" si="904"/>
        <v>2</v>
      </c>
      <c r="AA650" s="199" t="b">
        <f t="shared" si="3"/>
        <v>0</v>
      </c>
      <c r="AB650" s="199" t="b">
        <f t="shared" si="4"/>
        <v>0</v>
      </c>
      <c r="AC650" s="200">
        <f t="shared" ref="AC650:AD650" si="944">1-I650</f>
        <v>0.33999999999999997</v>
      </c>
      <c r="AD650" s="200">
        <f t="shared" si="944"/>
        <v>0.33999999999999997</v>
      </c>
      <c r="AE650" s="199">
        <f t="shared" si="6"/>
        <v>2</v>
      </c>
      <c r="AF650" s="201">
        <f t="shared" si="906"/>
        <v>0</v>
      </c>
      <c r="AG650" s="201">
        <f t="shared" si="8"/>
        <v>1</v>
      </c>
      <c r="AH650" s="202">
        <f t="shared" si="907"/>
        <v>0</v>
      </c>
      <c r="AI650" s="205"/>
      <c r="AJ650" s="173"/>
      <c r="AK650" s="173"/>
      <c r="AL650" s="173"/>
      <c r="AM650" s="173"/>
      <c r="AN650" s="173"/>
      <c r="AO650" s="173"/>
      <c r="AP650" s="173"/>
      <c r="AQ650" s="173"/>
      <c r="AR650" s="173"/>
      <c r="AS650" s="173"/>
      <c r="AT650" s="173"/>
      <c r="AU650" s="173"/>
      <c r="AV650" s="173"/>
    </row>
    <row r="651" spans="1:48" ht="14.25">
      <c r="A651" s="279"/>
      <c r="B651" s="209">
        <v>4</v>
      </c>
      <c r="C651" s="545" t="s">
        <v>1447</v>
      </c>
      <c r="D651" s="546" t="s">
        <v>63</v>
      </c>
      <c r="E651" s="546" t="s">
        <v>82</v>
      </c>
      <c r="F651" s="546" t="s">
        <v>115</v>
      </c>
      <c r="G651" s="547">
        <v>2</v>
      </c>
      <c r="H651" s="547">
        <v>0</v>
      </c>
      <c r="I651" s="548">
        <v>0.33</v>
      </c>
      <c r="J651" s="548">
        <v>0.33</v>
      </c>
      <c r="K651" s="549" t="s">
        <v>182</v>
      </c>
      <c r="L651" s="549"/>
      <c r="M651" s="549">
        <v>1</v>
      </c>
      <c r="N651" s="549">
        <v>8</v>
      </c>
      <c r="O651" s="550" t="s">
        <v>1448</v>
      </c>
      <c r="P651" s="551" t="s">
        <v>1374</v>
      </c>
      <c r="Q651" s="546" t="s">
        <v>148</v>
      </c>
      <c r="R651" s="173"/>
      <c r="S651" s="195">
        <f>MATCH($D651,Reference!$J$5:$J$9,0)</f>
        <v>2</v>
      </c>
      <c r="T651" s="195">
        <f>MATCH($E651,Reference!$J$26:$J$32,0)</f>
        <v>7</v>
      </c>
      <c r="U651" s="195">
        <f>MATCH($F651,Reference!$J$45:$J$54,0)</f>
        <v>10</v>
      </c>
      <c r="V651" s="196">
        <f>MATCH($K651,Reference!$J$37:$J$39,0)</f>
        <v>3</v>
      </c>
      <c r="W651" s="197">
        <f t="shared" si="902"/>
        <v>2</v>
      </c>
      <c r="X651" s="197">
        <f t="shared" si="1"/>
        <v>1</v>
      </c>
      <c r="Y651" s="197">
        <f t="shared" si="903"/>
        <v>0</v>
      </c>
      <c r="Z651" s="197">
        <f t="shared" si="904"/>
        <v>2</v>
      </c>
      <c r="AA651" s="199" t="b">
        <f t="shared" si="3"/>
        <v>0</v>
      </c>
      <c r="AB651" s="199" t="b">
        <f t="shared" si="4"/>
        <v>0</v>
      </c>
      <c r="AC651" s="200">
        <f t="shared" ref="AC651:AD651" si="945">1-I651</f>
        <v>0.66999999999999993</v>
      </c>
      <c r="AD651" s="200">
        <f t="shared" si="945"/>
        <v>0.66999999999999993</v>
      </c>
      <c r="AE651" s="199">
        <f t="shared" si="6"/>
        <v>2</v>
      </c>
      <c r="AF651" s="201">
        <f t="shared" si="906"/>
        <v>0</v>
      </c>
      <c r="AG651" s="201">
        <f t="shared" si="8"/>
        <v>1</v>
      </c>
      <c r="AH651" s="202">
        <f t="shared" si="907"/>
        <v>0</v>
      </c>
      <c r="AI651" s="205"/>
      <c r="AJ651" s="173"/>
      <c r="AK651" s="173"/>
      <c r="AL651" s="173"/>
      <c r="AM651" s="173"/>
      <c r="AN651" s="173"/>
      <c r="AO651" s="173"/>
      <c r="AP651" s="173"/>
      <c r="AQ651" s="173"/>
      <c r="AR651" s="173"/>
      <c r="AS651" s="173"/>
      <c r="AT651" s="173"/>
      <c r="AU651" s="173"/>
      <c r="AV651" s="173"/>
    </row>
    <row r="652" spans="1:48" ht="14.25">
      <c r="A652" s="240"/>
      <c r="B652" s="209">
        <v>4</v>
      </c>
      <c r="C652" s="545" t="s">
        <v>1449</v>
      </c>
      <c r="D652" s="546" t="s">
        <v>63</v>
      </c>
      <c r="E652" s="546" t="s">
        <v>82</v>
      </c>
      <c r="F652" s="546" t="s">
        <v>8</v>
      </c>
      <c r="G652" s="547">
        <v>2</v>
      </c>
      <c r="H652" s="547">
        <v>0</v>
      </c>
      <c r="I652" s="548">
        <v>0.33</v>
      </c>
      <c r="J652" s="548">
        <v>0.33</v>
      </c>
      <c r="K652" s="549" t="s">
        <v>182</v>
      </c>
      <c r="L652" s="549"/>
      <c r="M652" s="549">
        <v>4</v>
      </c>
      <c r="N652" s="549">
        <v>4</v>
      </c>
      <c r="O652" s="550" t="s">
        <v>1450</v>
      </c>
      <c r="P652" s="551" t="s">
        <v>275</v>
      </c>
      <c r="Q652" s="546" t="s">
        <v>148</v>
      </c>
      <c r="R652" s="34"/>
      <c r="S652" s="195">
        <f>MATCH($D652,Reference!$J$5:$J$9,0)</f>
        <v>2</v>
      </c>
      <c r="T652" s="195">
        <f>MATCH($E652,Reference!$J$26:$J$32,0)</f>
        <v>7</v>
      </c>
      <c r="U652" s="195">
        <f>MATCH($F652,Reference!$J$45:$J$54,0)</f>
        <v>1</v>
      </c>
      <c r="V652" s="196">
        <f>MATCH($K652,Reference!$J$37:$J$39,0)</f>
        <v>3</v>
      </c>
      <c r="W652" s="197">
        <f t="shared" si="902"/>
        <v>2</v>
      </c>
      <c r="X652" s="197">
        <f t="shared" si="1"/>
        <v>1</v>
      </c>
      <c r="Y652" s="197">
        <f t="shared" si="903"/>
        <v>0</v>
      </c>
      <c r="Z652" s="197">
        <f t="shared" si="904"/>
        <v>2</v>
      </c>
      <c r="AA652" s="199" t="b">
        <f t="shared" si="3"/>
        <v>0</v>
      </c>
      <c r="AB652" s="199" t="b">
        <f t="shared" si="4"/>
        <v>0</v>
      </c>
      <c r="AC652" s="200">
        <f t="shared" ref="AC652:AD652" si="946">1-I652</f>
        <v>0.66999999999999993</v>
      </c>
      <c r="AD652" s="200">
        <f t="shared" si="946"/>
        <v>0.66999999999999993</v>
      </c>
      <c r="AE652" s="199">
        <f t="shared" si="6"/>
        <v>2</v>
      </c>
      <c r="AF652" s="201">
        <f t="shared" si="906"/>
        <v>0</v>
      </c>
      <c r="AG652" s="201">
        <f t="shared" si="8"/>
        <v>1</v>
      </c>
      <c r="AH652" s="202">
        <f t="shared" si="907"/>
        <v>0</v>
      </c>
      <c r="AI652" s="205"/>
      <c r="AJ652" s="173"/>
      <c r="AK652" s="173"/>
      <c r="AL652" s="173"/>
      <c r="AM652" s="173"/>
      <c r="AN652" s="173"/>
      <c r="AO652" s="173"/>
      <c r="AP652" s="173"/>
      <c r="AQ652" s="173"/>
      <c r="AR652" s="173"/>
      <c r="AS652" s="173"/>
      <c r="AT652" s="173"/>
      <c r="AU652" s="173"/>
      <c r="AV652" s="173"/>
    </row>
    <row r="653" spans="1:48" ht="14.25">
      <c r="A653" s="187"/>
      <c r="B653" s="209">
        <v>5</v>
      </c>
      <c r="C653" s="545" t="s">
        <v>1451</v>
      </c>
      <c r="D653" s="546" t="s">
        <v>63</v>
      </c>
      <c r="E653" s="546" t="s">
        <v>82</v>
      </c>
      <c r="F653" s="546" t="s">
        <v>115</v>
      </c>
      <c r="G653" s="547">
        <v>2</v>
      </c>
      <c r="H653" s="547">
        <v>0</v>
      </c>
      <c r="I653" s="548">
        <v>0.33</v>
      </c>
      <c r="J653" s="548">
        <v>0.33</v>
      </c>
      <c r="K653" s="549" t="s">
        <v>182</v>
      </c>
      <c r="L653" s="549" t="s">
        <v>602</v>
      </c>
      <c r="M653" s="549">
        <v>5</v>
      </c>
      <c r="N653" s="549">
        <v>5</v>
      </c>
      <c r="O653" s="550" t="s">
        <v>1452</v>
      </c>
      <c r="P653" s="551" t="s">
        <v>184</v>
      </c>
      <c r="Q653" s="546" t="s">
        <v>148</v>
      </c>
      <c r="R653" s="173"/>
      <c r="S653" s="195">
        <f>MATCH($D653,Reference!$J$5:$J$9,0)</f>
        <v>2</v>
      </c>
      <c r="T653" s="195">
        <f>MATCH($E653,Reference!$J$26:$J$32,0)</f>
        <v>7</v>
      </c>
      <c r="U653" s="195">
        <f>MATCH($F653,Reference!$J$45:$J$54,0)</f>
        <v>10</v>
      </c>
      <c r="V653" s="196">
        <f>MATCH($K653,Reference!$J$37:$J$39,0)</f>
        <v>3</v>
      </c>
      <c r="W653" s="197">
        <f t="shared" si="902"/>
        <v>2</v>
      </c>
      <c r="X653" s="197">
        <f t="shared" si="1"/>
        <v>1</v>
      </c>
      <c r="Y653" s="197">
        <f t="shared" si="903"/>
        <v>0</v>
      </c>
      <c r="Z653" s="197">
        <f t="shared" si="904"/>
        <v>2</v>
      </c>
      <c r="AA653" s="199" t="b">
        <f t="shared" si="3"/>
        <v>0</v>
      </c>
      <c r="AB653" s="199" t="b">
        <f t="shared" si="4"/>
        <v>0</v>
      </c>
      <c r="AC653" s="200">
        <f t="shared" ref="AC653:AD653" si="947">1-I653</f>
        <v>0.66999999999999993</v>
      </c>
      <c r="AD653" s="200">
        <f t="shared" si="947"/>
        <v>0.66999999999999993</v>
      </c>
      <c r="AE653" s="199">
        <f t="shared" si="6"/>
        <v>2</v>
      </c>
      <c r="AF653" s="201">
        <f t="shared" si="906"/>
        <v>0</v>
      </c>
      <c r="AG653" s="201">
        <f t="shared" si="8"/>
        <v>1</v>
      </c>
      <c r="AH653" s="202">
        <f t="shared" si="907"/>
        <v>0</v>
      </c>
      <c r="AI653" s="205"/>
      <c r="AJ653" s="173"/>
      <c r="AK653" s="173"/>
      <c r="AL653" s="173"/>
      <c r="AM653" s="173"/>
      <c r="AN653" s="173"/>
      <c r="AO653" s="173"/>
      <c r="AP653" s="173"/>
      <c r="AQ653" s="173"/>
      <c r="AR653" s="173"/>
      <c r="AS653" s="173"/>
      <c r="AT653" s="173"/>
      <c r="AU653" s="173"/>
      <c r="AV653" s="173"/>
    </row>
    <row r="654" spans="1:48" ht="14.25">
      <c r="A654" s="279"/>
      <c r="B654" s="209">
        <v>5</v>
      </c>
      <c r="C654" s="545" t="s">
        <v>1453</v>
      </c>
      <c r="D654" s="546" t="s">
        <v>63</v>
      </c>
      <c r="E654" s="546" t="s">
        <v>82</v>
      </c>
      <c r="F654" s="546" t="s">
        <v>13</v>
      </c>
      <c r="G654" s="547">
        <v>2</v>
      </c>
      <c r="H654" s="547">
        <v>0</v>
      </c>
      <c r="I654" s="548">
        <v>0</v>
      </c>
      <c r="J654" s="548">
        <v>0</v>
      </c>
      <c r="K654" s="549" t="s">
        <v>146</v>
      </c>
      <c r="L654" s="549"/>
      <c r="M654" s="549"/>
      <c r="N654" s="549"/>
      <c r="O654" s="550" t="s">
        <v>1454</v>
      </c>
      <c r="P654" s="292"/>
      <c r="Q654" s="546" t="s">
        <v>148</v>
      </c>
      <c r="R654" s="173"/>
      <c r="S654" s="195">
        <f>MATCH($D654,Reference!$J$5:$J$9,0)</f>
        <v>2</v>
      </c>
      <c r="T654" s="195">
        <f>MATCH($E654,Reference!$J$26:$J$32,0)</f>
        <v>7</v>
      </c>
      <c r="U654" s="195">
        <f>MATCH($F654,Reference!$J$45:$J$54,0)</f>
        <v>3</v>
      </c>
      <c r="V654" s="196">
        <f>MATCH($K654,Reference!$J$37:$J$39,0)</f>
        <v>2</v>
      </c>
      <c r="W654" s="197">
        <f t="shared" si="902"/>
        <v>2</v>
      </c>
      <c r="X654" s="197">
        <f t="shared" si="1"/>
        <v>1</v>
      </c>
      <c r="Y654" s="197">
        <f t="shared" si="903"/>
        <v>0</v>
      </c>
      <c r="Z654" s="197">
        <f t="shared" si="904"/>
        <v>2</v>
      </c>
      <c r="AA654" s="199" t="b">
        <f t="shared" si="3"/>
        <v>0</v>
      </c>
      <c r="AB654" s="199" t="b">
        <f t="shared" si="4"/>
        <v>0</v>
      </c>
      <c r="AC654" s="200">
        <f t="shared" ref="AC654:AD654" si="948">1-I654</f>
        <v>1</v>
      </c>
      <c r="AD654" s="200">
        <f t="shared" si="948"/>
        <v>1</v>
      </c>
      <c r="AE654" s="199">
        <f t="shared" si="6"/>
        <v>2</v>
      </c>
      <c r="AF654" s="201">
        <f t="shared" si="906"/>
        <v>0</v>
      </c>
      <c r="AG654" s="201">
        <f t="shared" si="8"/>
        <v>1</v>
      </c>
      <c r="AH654" s="202">
        <f t="shared" si="907"/>
        <v>0</v>
      </c>
      <c r="AI654" s="205"/>
      <c r="AJ654" s="173"/>
      <c r="AK654" s="173"/>
      <c r="AL654" s="173"/>
      <c r="AM654" s="173"/>
      <c r="AN654" s="173"/>
      <c r="AO654" s="173"/>
      <c r="AP654" s="173"/>
      <c r="AQ654" s="173"/>
      <c r="AR654" s="173"/>
      <c r="AS654" s="173"/>
      <c r="AT654" s="173"/>
      <c r="AU654" s="173"/>
      <c r="AV654" s="173"/>
    </row>
    <row r="655" spans="1:48" ht="14.25">
      <c r="A655" s="206"/>
      <c r="B655" s="209">
        <v>5</v>
      </c>
      <c r="C655" s="545" t="s">
        <v>1455</v>
      </c>
      <c r="D655" s="546" t="s">
        <v>63</v>
      </c>
      <c r="E655" s="546" t="s">
        <v>82</v>
      </c>
      <c r="F655" s="546" t="s">
        <v>115</v>
      </c>
      <c r="G655" s="547">
        <v>2</v>
      </c>
      <c r="H655" s="547">
        <v>0</v>
      </c>
      <c r="I655" s="548">
        <v>0.33</v>
      </c>
      <c r="J655" s="548">
        <v>0.33</v>
      </c>
      <c r="K655" s="549" t="s">
        <v>182</v>
      </c>
      <c r="L655" s="549"/>
      <c r="M655" s="549">
        <v>4</v>
      </c>
      <c r="N655" s="549">
        <v>4</v>
      </c>
      <c r="O655" s="550" t="s">
        <v>1456</v>
      </c>
      <c r="P655" s="551" t="s">
        <v>1374</v>
      </c>
      <c r="Q655" s="546" t="s">
        <v>148</v>
      </c>
      <c r="R655" s="173"/>
      <c r="S655" s="195">
        <f>MATCH($D655,Reference!$J$5:$J$9,0)</f>
        <v>2</v>
      </c>
      <c r="T655" s="195">
        <f>MATCH($E655,Reference!$J$26:$J$32,0)</f>
        <v>7</v>
      </c>
      <c r="U655" s="195">
        <f>MATCH($F655,Reference!$J$45:$J$54,0)</f>
        <v>10</v>
      </c>
      <c r="V655" s="196">
        <f>MATCH($K655,Reference!$J$37:$J$39,0)</f>
        <v>3</v>
      </c>
      <c r="W655" s="197">
        <f t="shared" si="902"/>
        <v>2</v>
      </c>
      <c r="X655" s="197">
        <f t="shared" si="1"/>
        <v>1</v>
      </c>
      <c r="Y655" s="197">
        <f t="shared" si="903"/>
        <v>0</v>
      </c>
      <c r="Z655" s="197">
        <f t="shared" si="904"/>
        <v>2</v>
      </c>
      <c r="AA655" s="199" t="b">
        <f t="shared" si="3"/>
        <v>0</v>
      </c>
      <c r="AB655" s="199" t="b">
        <f t="shared" si="4"/>
        <v>0</v>
      </c>
      <c r="AC655" s="200">
        <f t="shared" ref="AC655:AD655" si="949">1-I655</f>
        <v>0.66999999999999993</v>
      </c>
      <c r="AD655" s="200">
        <f t="shared" si="949"/>
        <v>0.66999999999999993</v>
      </c>
      <c r="AE655" s="199">
        <f t="shared" si="6"/>
        <v>2</v>
      </c>
      <c r="AF655" s="201">
        <f t="shared" si="906"/>
        <v>0</v>
      </c>
      <c r="AG655" s="201">
        <f t="shared" si="8"/>
        <v>1</v>
      </c>
      <c r="AH655" s="202">
        <f t="shared" si="907"/>
        <v>0</v>
      </c>
      <c r="AI655" s="205"/>
      <c r="AJ655" s="173"/>
      <c r="AK655" s="173"/>
      <c r="AL655" s="173"/>
      <c r="AM655" s="173"/>
      <c r="AN655" s="173"/>
      <c r="AO655" s="173"/>
      <c r="AP655" s="173"/>
      <c r="AQ655" s="173"/>
      <c r="AR655" s="173"/>
      <c r="AS655" s="173"/>
      <c r="AT655" s="173"/>
      <c r="AU655" s="173"/>
      <c r="AV655" s="173"/>
    </row>
    <row r="656" spans="1:48" ht="14.25">
      <c r="A656" s="206"/>
      <c r="B656" s="209">
        <v>5</v>
      </c>
      <c r="C656" s="545" t="s">
        <v>1457</v>
      </c>
      <c r="D656" s="546" t="s">
        <v>63</v>
      </c>
      <c r="E656" s="546" t="s">
        <v>82</v>
      </c>
      <c r="F656" s="546" t="s">
        <v>115</v>
      </c>
      <c r="G656" s="547">
        <v>2</v>
      </c>
      <c r="H656" s="547">
        <v>0</v>
      </c>
      <c r="I656" s="548">
        <v>0.66</v>
      </c>
      <c r="J656" s="548">
        <v>0.33</v>
      </c>
      <c r="K656" s="546" t="s">
        <v>182</v>
      </c>
      <c r="L656" s="549" t="s">
        <v>230</v>
      </c>
      <c r="M656" s="549">
        <v>4</v>
      </c>
      <c r="N656" s="552">
        <v>3</v>
      </c>
      <c r="O656" s="550" t="s">
        <v>1458</v>
      </c>
      <c r="P656" s="551" t="s">
        <v>1374</v>
      </c>
      <c r="Q656" s="546" t="s">
        <v>148</v>
      </c>
      <c r="R656" s="173"/>
      <c r="S656" s="195">
        <f>MATCH($D656,Reference!$J$5:$J$9,0)</f>
        <v>2</v>
      </c>
      <c r="T656" s="195">
        <f>MATCH($E656,Reference!$J$26:$J$32,0)</f>
        <v>7</v>
      </c>
      <c r="U656" s="195">
        <f>MATCH($F656,Reference!$J$45:$J$54,0)</f>
        <v>10</v>
      </c>
      <c r="V656" s="196">
        <f>MATCH($K656,Reference!$J$37:$J$39,0)</f>
        <v>3</v>
      </c>
      <c r="W656" s="197">
        <f t="shared" si="902"/>
        <v>2</v>
      </c>
      <c r="X656" s="197">
        <f t="shared" si="1"/>
        <v>1</v>
      </c>
      <c r="Y656" s="197">
        <f t="shared" si="903"/>
        <v>0</v>
      </c>
      <c r="Z656" s="197">
        <f t="shared" si="904"/>
        <v>2</v>
      </c>
      <c r="AA656" s="199" t="b">
        <f t="shared" si="3"/>
        <v>0</v>
      </c>
      <c r="AB656" s="199" t="b">
        <f t="shared" si="4"/>
        <v>0</v>
      </c>
      <c r="AC656" s="200">
        <f t="shared" ref="AC656:AD656" si="950">1-I656</f>
        <v>0.33999999999999997</v>
      </c>
      <c r="AD656" s="200">
        <f t="shared" si="950"/>
        <v>0.66999999999999993</v>
      </c>
      <c r="AE656" s="199">
        <f t="shared" si="6"/>
        <v>2</v>
      </c>
      <c r="AF656" s="201">
        <f t="shared" si="906"/>
        <v>0</v>
      </c>
      <c r="AG656" s="201">
        <f t="shared" si="8"/>
        <v>1</v>
      </c>
      <c r="AH656" s="202">
        <f t="shared" si="907"/>
        <v>0</v>
      </c>
      <c r="AI656" s="205"/>
      <c r="AJ656" s="173"/>
      <c r="AK656" s="173"/>
      <c r="AL656" s="173"/>
      <c r="AM656" s="173"/>
      <c r="AN656" s="173"/>
      <c r="AO656" s="173"/>
      <c r="AP656" s="173"/>
      <c r="AQ656" s="173"/>
      <c r="AR656" s="173"/>
      <c r="AS656" s="173"/>
      <c r="AT656" s="173"/>
      <c r="AU656" s="173"/>
      <c r="AV656" s="173"/>
    </row>
    <row r="657" spans="1:48" ht="14.25">
      <c r="A657" s="240"/>
      <c r="B657" s="209">
        <v>5</v>
      </c>
      <c r="C657" s="545" t="s">
        <v>1459</v>
      </c>
      <c r="D657" s="546" t="s">
        <v>63</v>
      </c>
      <c r="E657" s="546" t="s">
        <v>82</v>
      </c>
      <c r="F657" s="546" t="s">
        <v>115</v>
      </c>
      <c r="G657" s="547">
        <v>2</v>
      </c>
      <c r="H657" s="547">
        <v>0</v>
      </c>
      <c r="I657" s="548">
        <v>0.66</v>
      </c>
      <c r="J657" s="548">
        <v>0.66</v>
      </c>
      <c r="K657" s="549" t="s">
        <v>182</v>
      </c>
      <c r="L657" s="549"/>
      <c r="M657" s="549">
        <v>5</v>
      </c>
      <c r="N657" s="549">
        <v>6</v>
      </c>
      <c r="O657" s="550"/>
      <c r="P657" s="292"/>
      <c r="Q657" s="546" t="s">
        <v>148</v>
      </c>
      <c r="R657" s="173"/>
      <c r="S657" s="195">
        <f>MATCH($D657,Reference!$J$5:$J$9,0)</f>
        <v>2</v>
      </c>
      <c r="T657" s="195">
        <f>MATCH($E657,Reference!$J$26:$J$32,0)</f>
        <v>7</v>
      </c>
      <c r="U657" s="195">
        <f>MATCH($F657,Reference!$J$45:$J$54,0)</f>
        <v>10</v>
      </c>
      <c r="V657" s="196">
        <f>MATCH($K657,Reference!$J$37:$J$39,0)</f>
        <v>3</v>
      </c>
      <c r="W657" s="197">
        <f t="shared" si="902"/>
        <v>2</v>
      </c>
      <c r="X657" s="197">
        <f t="shared" si="1"/>
        <v>1</v>
      </c>
      <c r="Y657" s="197">
        <f t="shared" si="903"/>
        <v>0</v>
      </c>
      <c r="Z657" s="197">
        <f t="shared" si="904"/>
        <v>2</v>
      </c>
      <c r="AA657" s="199" t="b">
        <f t="shared" si="3"/>
        <v>0</v>
      </c>
      <c r="AB657" s="199" t="b">
        <f t="shared" si="4"/>
        <v>0</v>
      </c>
      <c r="AC657" s="200">
        <f t="shared" ref="AC657:AD657" si="951">1-I657</f>
        <v>0.33999999999999997</v>
      </c>
      <c r="AD657" s="200">
        <f t="shared" si="951"/>
        <v>0.33999999999999997</v>
      </c>
      <c r="AE657" s="199">
        <f t="shared" si="6"/>
        <v>2</v>
      </c>
      <c r="AF657" s="201">
        <f t="shared" si="906"/>
        <v>0</v>
      </c>
      <c r="AG657" s="201">
        <f t="shared" si="8"/>
        <v>1</v>
      </c>
      <c r="AH657" s="202">
        <f t="shared" si="907"/>
        <v>0</v>
      </c>
      <c r="AI657" s="205"/>
      <c r="AJ657" s="173"/>
      <c r="AK657" s="173"/>
      <c r="AL657" s="173"/>
      <c r="AM657" s="173"/>
      <c r="AN657" s="173"/>
      <c r="AO657" s="173"/>
      <c r="AP657" s="173"/>
      <c r="AQ657" s="173"/>
      <c r="AR657" s="173"/>
      <c r="AS657" s="173"/>
      <c r="AT657" s="173"/>
      <c r="AU657" s="173"/>
      <c r="AV657" s="173"/>
    </row>
    <row r="658" spans="1:48" ht="14.25">
      <c r="A658" s="211"/>
      <c r="B658" s="209">
        <v>5</v>
      </c>
      <c r="C658" s="550" t="s">
        <v>1460</v>
      </c>
      <c r="D658" s="546" t="s">
        <v>63</v>
      </c>
      <c r="E658" s="546" t="s">
        <v>82</v>
      </c>
      <c r="F658" s="546" t="s">
        <v>20</v>
      </c>
      <c r="G658" s="547">
        <v>2</v>
      </c>
      <c r="H658" s="547">
        <v>0</v>
      </c>
      <c r="I658" s="548">
        <v>0</v>
      </c>
      <c r="J658" s="548">
        <v>0</v>
      </c>
      <c r="K658" s="549" t="s">
        <v>182</v>
      </c>
      <c r="L658" s="549"/>
      <c r="M658" s="549">
        <v>3</v>
      </c>
      <c r="N658" s="549">
        <v>7</v>
      </c>
      <c r="O658" s="550" t="s">
        <v>1461</v>
      </c>
      <c r="P658" s="551" t="s">
        <v>558</v>
      </c>
      <c r="Q658" s="546" t="s">
        <v>148</v>
      </c>
      <c r="R658" s="173"/>
      <c r="S658" s="195">
        <f>MATCH($D658,Reference!$J$5:$J$9,0)</f>
        <v>2</v>
      </c>
      <c r="T658" s="195">
        <f>MATCH($E658,Reference!$J$26:$J$32,0)</f>
        <v>7</v>
      </c>
      <c r="U658" s="195">
        <f>MATCH($F658,Reference!$J$45:$J$54,0)</f>
        <v>6</v>
      </c>
      <c r="V658" s="196">
        <f>MATCH($K658,Reference!$J$37:$J$39,0)</f>
        <v>3</v>
      </c>
      <c r="W658" s="197">
        <f t="shared" si="902"/>
        <v>2</v>
      </c>
      <c r="X658" s="197">
        <f t="shared" si="1"/>
        <v>1</v>
      </c>
      <c r="Y658" s="197">
        <f t="shared" si="903"/>
        <v>0</v>
      </c>
      <c r="Z658" s="197">
        <f t="shared" si="904"/>
        <v>2</v>
      </c>
      <c r="AA658" s="199" t="b">
        <f t="shared" si="3"/>
        <v>0</v>
      </c>
      <c r="AB658" s="199" t="b">
        <f t="shared" si="4"/>
        <v>0</v>
      </c>
      <c r="AC658" s="200">
        <f t="shared" ref="AC658:AD658" si="952">1-I658</f>
        <v>1</v>
      </c>
      <c r="AD658" s="200">
        <f t="shared" si="952"/>
        <v>1</v>
      </c>
      <c r="AE658" s="199">
        <f t="shared" si="6"/>
        <v>2</v>
      </c>
      <c r="AF658" s="201">
        <f t="shared" si="906"/>
        <v>0</v>
      </c>
      <c r="AG658" s="201">
        <f t="shared" si="8"/>
        <v>1</v>
      </c>
      <c r="AH658" s="202">
        <f t="shared" si="907"/>
        <v>0</v>
      </c>
      <c r="AI658" s="205"/>
      <c r="AJ658" s="173"/>
      <c r="AK658" s="173"/>
      <c r="AL658" s="173"/>
      <c r="AM658" s="173"/>
      <c r="AN658" s="173"/>
      <c r="AO658" s="173"/>
      <c r="AP658" s="173"/>
      <c r="AQ658" s="173"/>
      <c r="AR658" s="173"/>
      <c r="AS658" s="173"/>
      <c r="AT658" s="173"/>
      <c r="AU658" s="173"/>
      <c r="AV658" s="173"/>
    </row>
    <row r="659" spans="1:48" ht="14.25">
      <c r="A659" s="240"/>
      <c r="B659" s="209">
        <v>7</v>
      </c>
      <c r="C659" s="545" t="s">
        <v>1462</v>
      </c>
      <c r="D659" s="546" t="s">
        <v>63</v>
      </c>
      <c r="E659" s="546" t="s">
        <v>82</v>
      </c>
      <c r="F659" s="546" t="s">
        <v>115</v>
      </c>
      <c r="G659" s="547">
        <v>2</v>
      </c>
      <c r="H659" s="547">
        <v>0</v>
      </c>
      <c r="I659" s="548">
        <v>0.66</v>
      </c>
      <c r="J659" s="548">
        <v>0.66</v>
      </c>
      <c r="K659" s="549" t="s">
        <v>182</v>
      </c>
      <c r="L659" s="549" t="s">
        <v>230</v>
      </c>
      <c r="M659" s="549">
        <v>5</v>
      </c>
      <c r="N659" s="549">
        <v>9</v>
      </c>
      <c r="O659" s="550"/>
      <c r="P659" s="292"/>
      <c r="Q659" s="546" t="s">
        <v>148</v>
      </c>
      <c r="R659" s="173"/>
      <c r="S659" s="195">
        <f>MATCH($D659,Reference!$J$5:$J$9,0)</f>
        <v>2</v>
      </c>
      <c r="T659" s="195">
        <f>MATCH($E659,Reference!$J$26:$J$32,0)</f>
        <v>7</v>
      </c>
      <c r="U659" s="195">
        <f>MATCH($F659,Reference!$J$45:$J$54,0)</f>
        <v>10</v>
      </c>
      <c r="V659" s="196">
        <f>MATCH($K659,Reference!$J$37:$J$39,0)</f>
        <v>3</v>
      </c>
      <c r="W659" s="197">
        <f t="shared" si="902"/>
        <v>2</v>
      </c>
      <c r="X659" s="197">
        <f t="shared" si="1"/>
        <v>1</v>
      </c>
      <c r="Y659" s="197">
        <f t="shared" si="903"/>
        <v>0</v>
      </c>
      <c r="Z659" s="197">
        <f t="shared" si="904"/>
        <v>2</v>
      </c>
      <c r="AA659" s="199" t="b">
        <f t="shared" si="3"/>
        <v>0</v>
      </c>
      <c r="AB659" s="199" t="b">
        <f t="shared" si="4"/>
        <v>0</v>
      </c>
      <c r="AC659" s="200">
        <f t="shared" ref="AC659:AD659" si="953">1-I659</f>
        <v>0.33999999999999997</v>
      </c>
      <c r="AD659" s="200">
        <f t="shared" si="953"/>
        <v>0.33999999999999997</v>
      </c>
      <c r="AE659" s="199">
        <f t="shared" si="6"/>
        <v>2</v>
      </c>
      <c r="AF659" s="201">
        <f t="shared" si="906"/>
        <v>0</v>
      </c>
      <c r="AG659" s="201">
        <f t="shared" si="8"/>
        <v>1</v>
      </c>
      <c r="AH659" s="202">
        <f t="shared" si="907"/>
        <v>0</v>
      </c>
      <c r="AI659" s="205"/>
      <c r="AJ659" s="173"/>
      <c r="AK659" s="173"/>
      <c r="AL659" s="173"/>
      <c r="AM659" s="173"/>
      <c r="AN659" s="173"/>
      <c r="AO659" s="173"/>
      <c r="AP659" s="173"/>
      <c r="AQ659" s="173"/>
      <c r="AR659" s="173"/>
      <c r="AS659" s="173"/>
      <c r="AT659" s="173"/>
      <c r="AU659" s="173"/>
      <c r="AV659" s="173"/>
    </row>
    <row r="660" spans="1:48" ht="14.25">
      <c r="A660" s="187"/>
      <c r="B660" s="209">
        <v>7</v>
      </c>
      <c r="C660" s="545" t="s">
        <v>1463</v>
      </c>
      <c r="D660" s="546" t="s">
        <v>63</v>
      </c>
      <c r="E660" s="546" t="s">
        <v>82</v>
      </c>
      <c r="F660" s="546" t="s">
        <v>25</v>
      </c>
      <c r="G660" s="547">
        <v>2</v>
      </c>
      <c r="H660" s="547">
        <v>0</v>
      </c>
      <c r="I660" s="548">
        <v>1</v>
      </c>
      <c r="J660" s="548">
        <v>1</v>
      </c>
      <c r="K660" s="549" t="s">
        <v>182</v>
      </c>
      <c r="L660" s="549" t="s">
        <v>239</v>
      </c>
      <c r="M660" s="549">
        <v>6</v>
      </c>
      <c r="N660" s="549">
        <v>8</v>
      </c>
      <c r="O660" s="550"/>
      <c r="P660" s="292"/>
      <c r="Q660" s="546" t="s">
        <v>148</v>
      </c>
      <c r="R660" s="173"/>
      <c r="S660" s="195">
        <f>MATCH($D660,Reference!$J$5:$J$9,0)</f>
        <v>2</v>
      </c>
      <c r="T660" s="195">
        <f>MATCH($E660,Reference!$J$26:$J$32,0)</f>
        <v>7</v>
      </c>
      <c r="U660" s="195">
        <f>MATCH($F660,Reference!$J$45:$J$54,0)</f>
        <v>8</v>
      </c>
      <c r="V660" s="196">
        <f>MATCH($K660,Reference!$J$37:$J$39,0)</f>
        <v>3</v>
      </c>
      <c r="W660" s="197">
        <f t="shared" si="902"/>
        <v>2</v>
      </c>
      <c r="X660" s="197">
        <f t="shared" si="1"/>
        <v>1</v>
      </c>
      <c r="Y660" s="197">
        <f t="shared" si="903"/>
        <v>0</v>
      </c>
      <c r="Z660" s="197">
        <f t="shared" si="904"/>
        <v>2</v>
      </c>
      <c r="AA660" s="199" t="b">
        <f t="shared" si="3"/>
        <v>0</v>
      </c>
      <c r="AB660" s="199" t="b">
        <f t="shared" si="4"/>
        <v>0</v>
      </c>
      <c r="AC660" s="200">
        <f t="shared" ref="AC660:AD660" si="954">1-I660</f>
        <v>0</v>
      </c>
      <c r="AD660" s="200">
        <f t="shared" si="954"/>
        <v>0</v>
      </c>
      <c r="AE660" s="199">
        <f t="shared" si="6"/>
        <v>2</v>
      </c>
      <c r="AF660" s="201">
        <f t="shared" si="906"/>
        <v>0</v>
      </c>
      <c r="AG660" s="201">
        <f t="shared" si="8"/>
        <v>1</v>
      </c>
      <c r="AH660" s="202">
        <f t="shared" si="907"/>
        <v>0</v>
      </c>
      <c r="AI660" s="205"/>
      <c r="AJ660" s="173"/>
      <c r="AK660" s="173"/>
      <c r="AL660" s="173"/>
      <c r="AM660" s="173"/>
      <c r="AN660" s="173"/>
      <c r="AO660" s="173"/>
      <c r="AP660" s="173"/>
      <c r="AQ660" s="173"/>
      <c r="AR660" s="173"/>
      <c r="AS660" s="173"/>
      <c r="AT660" s="173"/>
      <c r="AU660" s="173"/>
      <c r="AV660" s="173"/>
    </row>
    <row r="661" spans="1:48" ht="14.25">
      <c r="A661" s="187"/>
      <c r="B661" s="209">
        <v>9</v>
      </c>
      <c r="C661" s="545" t="s">
        <v>1464</v>
      </c>
      <c r="D661" s="546" t="s">
        <v>63</v>
      </c>
      <c r="E661" s="546" t="s">
        <v>82</v>
      </c>
      <c r="F661" s="546" t="s">
        <v>115</v>
      </c>
      <c r="G661" s="547">
        <v>2</v>
      </c>
      <c r="H661" s="547">
        <v>0</v>
      </c>
      <c r="I661" s="548">
        <v>0.66</v>
      </c>
      <c r="J661" s="548">
        <v>0.66</v>
      </c>
      <c r="K661" s="549" t="s">
        <v>182</v>
      </c>
      <c r="L661" s="549"/>
      <c r="M661" s="549">
        <v>9</v>
      </c>
      <c r="N661" s="549">
        <v>7</v>
      </c>
      <c r="O661" s="550" t="s">
        <v>1465</v>
      </c>
      <c r="P661" s="551" t="s">
        <v>184</v>
      </c>
      <c r="Q661" s="546" t="s">
        <v>148</v>
      </c>
      <c r="R661" s="173"/>
      <c r="S661" s="195">
        <f>MATCH($D661,Reference!$J$5:$J$9,0)</f>
        <v>2</v>
      </c>
      <c r="T661" s="195">
        <f>MATCH($E661,Reference!$J$26:$J$32,0)</f>
        <v>7</v>
      </c>
      <c r="U661" s="195">
        <f>MATCH($F661,Reference!$J$45:$J$54,0)</f>
        <v>10</v>
      </c>
      <c r="V661" s="196">
        <f>MATCH($K661,Reference!$J$37:$J$39,0)</f>
        <v>3</v>
      </c>
      <c r="W661" s="197">
        <f t="shared" si="902"/>
        <v>2</v>
      </c>
      <c r="X661" s="197">
        <f t="shared" si="1"/>
        <v>1</v>
      </c>
      <c r="Y661" s="197">
        <f t="shared" si="903"/>
        <v>0</v>
      </c>
      <c r="Z661" s="197">
        <f t="shared" si="904"/>
        <v>2</v>
      </c>
      <c r="AA661" s="199" t="b">
        <f t="shared" si="3"/>
        <v>0</v>
      </c>
      <c r="AB661" s="199" t="b">
        <f t="shared" si="4"/>
        <v>0</v>
      </c>
      <c r="AC661" s="200">
        <f t="shared" ref="AC661:AD661" si="955">1-I661</f>
        <v>0.33999999999999997</v>
      </c>
      <c r="AD661" s="200">
        <f t="shared" si="955"/>
        <v>0.33999999999999997</v>
      </c>
      <c r="AE661" s="199">
        <f t="shared" si="6"/>
        <v>2</v>
      </c>
      <c r="AF661" s="201">
        <f t="shared" si="906"/>
        <v>0</v>
      </c>
      <c r="AG661" s="201">
        <f t="shared" si="8"/>
        <v>1</v>
      </c>
      <c r="AH661" s="202">
        <f t="shared" si="907"/>
        <v>0</v>
      </c>
      <c r="AI661" s="205"/>
      <c r="AJ661" s="173"/>
      <c r="AK661" s="173"/>
      <c r="AL661" s="173"/>
      <c r="AM661" s="173"/>
      <c r="AN661" s="173"/>
      <c r="AO661" s="173"/>
      <c r="AP661" s="173"/>
      <c r="AQ661" s="173"/>
      <c r="AR661" s="173"/>
      <c r="AS661" s="173"/>
      <c r="AT661" s="173"/>
      <c r="AU661" s="173"/>
      <c r="AV661" s="173"/>
    </row>
    <row r="662" spans="1:48" ht="14.25">
      <c r="A662" s="187"/>
      <c r="B662" s="555">
        <v>1</v>
      </c>
      <c r="C662" s="556" t="s">
        <v>1466</v>
      </c>
      <c r="D662" s="557" t="s">
        <v>69</v>
      </c>
      <c r="E662" s="557" t="s">
        <v>82</v>
      </c>
      <c r="F662" s="557" t="s">
        <v>13</v>
      </c>
      <c r="G662" s="558">
        <v>1</v>
      </c>
      <c r="H662" s="558">
        <v>0</v>
      </c>
      <c r="I662" s="559">
        <v>0.33</v>
      </c>
      <c r="J662" s="559">
        <v>0.33</v>
      </c>
      <c r="K662" s="560" t="s">
        <v>146</v>
      </c>
      <c r="L662" s="560"/>
      <c r="M662" s="560"/>
      <c r="N662" s="560"/>
      <c r="O662" s="561" t="s">
        <v>1467</v>
      </c>
      <c r="P662" s="422"/>
      <c r="Q662" s="557" t="s">
        <v>148</v>
      </c>
      <c r="R662" s="173"/>
      <c r="S662" s="195">
        <f>MATCH($D662,Reference!$J$5:$J$9,0)</f>
        <v>4</v>
      </c>
      <c r="T662" s="195">
        <f>MATCH($E662,Reference!$J$26:$J$32,0)</f>
        <v>7</v>
      </c>
      <c r="U662" s="195">
        <f>MATCH($F662,Reference!$J$45:$J$54,0)</f>
        <v>3</v>
      </c>
      <c r="V662" s="196">
        <f>MATCH($K662,Reference!$J$37:$J$39,0)</f>
        <v>2</v>
      </c>
      <c r="W662" s="197">
        <f t="shared" si="902"/>
        <v>1</v>
      </c>
      <c r="X662" s="197">
        <f t="shared" si="1"/>
        <v>1</v>
      </c>
      <c r="Y662" s="197">
        <f t="shared" ref="Y662:Y688" si="956">(MIN(G662,2)+H662-W662)*400</f>
        <v>0</v>
      </c>
      <c r="Z662" s="197">
        <f t="shared" si="904"/>
        <v>1</v>
      </c>
      <c r="AA662" s="199" t="b">
        <f t="shared" si="3"/>
        <v>0</v>
      </c>
      <c r="AB662" s="199" t="b">
        <f t="shared" si="4"/>
        <v>1</v>
      </c>
      <c r="AC662" s="200">
        <f t="shared" ref="AC662:AD662" si="957">1-I662</f>
        <v>0.66999999999999993</v>
      </c>
      <c r="AD662" s="200">
        <f t="shared" si="957"/>
        <v>0.66999999999999993</v>
      </c>
      <c r="AE662" s="199">
        <f t="shared" si="6"/>
        <v>1.67</v>
      </c>
      <c r="AF662" s="201">
        <f t="shared" si="906"/>
        <v>0</v>
      </c>
      <c r="AG662" s="201">
        <f t="shared" si="8"/>
        <v>1</v>
      </c>
      <c r="AH662" s="202">
        <f t="shared" ref="AH662:AH688" si="958">(MIN(H662,2)+G662-W662)*100</f>
        <v>0</v>
      </c>
      <c r="AI662" s="205"/>
      <c r="AJ662" s="173"/>
      <c r="AK662" s="173"/>
      <c r="AL662" s="173"/>
      <c r="AM662" s="173"/>
      <c r="AN662" s="173"/>
      <c r="AO662" s="173"/>
      <c r="AP662" s="173"/>
      <c r="AQ662" s="173"/>
      <c r="AR662" s="173"/>
      <c r="AS662" s="173"/>
      <c r="AT662" s="173"/>
      <c r="AU662" s="173"/>
      <c r="AV662" s="173"/>
    </row>
    <row r="663" spans="1:48" ht="14.25">
      <c r="A663" s="187"/>
      <c r="B663" s="555">
        <v>2</v>
      </c>
      <c r="C663" s="556" t="s">
        <v>1468</v>
      </c>
      <c r="D663" s="557" t="s">
        <v>69</v>
      </c>
      <c r="E663" s="557" t="s">
        <v>82</v>
      </c>
      <c r="F663" s="557" t="s">
        <v>18</v>
      </c>
      <c r="G663" s="558">
        <v>2</v>
      </c>
      <c r="H663" s="558">
        <v>0</v>
      </c>
      <c r="I663" s="559">
        <v>0.33</v>
      </c>
      <c r="J663" s="559">
        <v>0.33</v>
      </c>
      <c r="K663" s="560" t="s">
        <v>146</v>
      </c>
      <c r="L663" s="560"/>
      <c r="M663" s="560"/>
      <c r="N663" s="560"/>
      <c r="O663" s="561" t="s">
        <v>1469</v>
      </c>
      <c r="P663" s="422"/>
      <c r="Q663" s="557" t="s">
        <v>148</v>
      </c>
      <c r="R663" s="173"/>
      <c r="S663" s="195">
        <f>MATCH($D663,Reference!$J$5:$J$9,0)</f>
        <v>4</v>
      </c>
      <c r="T663" s="195">
        <f>MATCH($E663,Reference!$J$26:$J$32,0)</f>
        <v>7</v>
      </c>
      <c r="U663" s="195">
        <f>MATCH($F663,Reference!$J$45:$J$54,0)</f>
        <v>5</v>
      </c>
      <c r="V663" s="196">
        <f>MATCH($K663,Reference!$J$37:$J$39,0)</f>
        <v>2</v>
      </c>
      <c r="W663" s="197">
        <f t="shared" si="902"/>
        <v>2</v>
      </c>
      <c r="X663" s="197">
        <f t="shared" si="1"/>
        <v>1</v>
      </c>
      <c r="Y663" s="197">
        <f t="shared" si="956"/>
        <v>0</v>
      </c>
      <c r="Z663" s="197">
        <f t="shared" si="904"/>
        <v>2</v>
      </c>
      <c r="AA663" s="199" t="b">
        <f t="shared" si="3"/>
        <v>0</v>
      </c>
      <c r="AB663" s="199" t="b">
        <f t="shared" si="4"/>
        <v>0</v>
      </c>
      <c r="AC663" s="200">
        <f t="shared" ref="AC663:AD663" si="959">1-I663</f>
        <v>0.66999999999999993</v>
      </c>
      <c r="AD663" s="200">
        <f t="shared" si="959"/>
        <v>0.66999999999999993</v>
      </c>
      <c r="AE663" s="199">
        <f t="shared" si="6"/>
        <v>2</v>
      </c>
      <c r="AF663" s="201">
        <f t="shared" si="906"/>
        <v>0</v>
      </c>
      <c r="AG663" s="201">
        <f t="shared" si="8"/>
        <v>1</v>
      </c>
      <c r="AH663" s="202">
        <f t="shared" si="958"/>
        <v>0</v>
      </c>
      <c r="AI663" s="205"/>
      <c r="AJ663" s="173"/>
      <c r="AK663" s="173"/>
      <c r="AL663" s="173"/>
      <c r="AM663" s="173"/>
      <c r="AN663" s="173"/>
      <c r="AO663" s="173"/>
      <c r="AP663" s="173"/>
      <c r="AQ663" s="173"/>
      <c r="AR663" s="173"/>
      <c r="AS663" s="173"/>
      <c r="AT663" s="173"/>
      <c r="AU663" s="173"/>
      <c r="AV663" s="173"/>
    </row>
    <row r="664" spans="1:48" ht="14.25">
      <c r="A664" s="209"/>
      <c r="B664" s="555">
        <v>2</v>
      </c>
      <c r="C664" s="556" t="s">
        <v>1470</v>
      </c>
      <c r="D664" s="557" t="s">
        <v>69</v>
      </c>
      <c r="E664" s="557" t="s">
        <v>82</v>
      </c>
      <c r="F664" s="557" t="s">
        <v>115</v>
      </c>
      <c r="G664" s="558">
        <v>0</v>
      </c>
      <c r="H664" s="558">
        <v>0</v>
      </c>
      <c r="I664" s="559">
        <v>0.66</v>
      </c>
      <c r="J664" s="559">
        <v>0.33</v>
      </c>
      <c r="K664" s="560" t="s">
        <v>182</v>
      </c>
      <c r="L664" s="560"/>
      <c r="M664" s="560">
        <v>2</v>
      </c>
      <c r="N664" s="560">
        <v>3</v>
      </c>
      <c r="O664" s="561" t="s">
        <v>1471</v>
      </c>
      <c r="P664" s="422"/>
      <c r="Q664" s="557" t="s">
        <v>148</v>
      </c>
      <c r="R664" s="173"/>
      <c r="S664" s="195">
        <f>MATCH($D664,Reference!$J$5:$J$9,0)</f>
        <v>4</v>
      </c>
      <c r="T664" s="195">
        <f>MATCH($E664,Reference!$J$26:$J$32,0)</f>
        <v>7</v>
      </c>
      <c r="U664" s="195">
        <f>MATCH($F664,Reference!$J$45:$J$54,0)</f>
        <v>10</v>
      </c>
      <c r="V664" s="196">
        <f>MATCH($K664,Reference!$J$37:$J$39,0)</f>
        <v>3</v>
      </c>
      <c r="W664" s="197">
        <f t="shared" si="902"/>
        <v>0</v>
      </c>
      <c r="X664" s="197">
        <f t="shared" si="1"/>
        <v>0</v>
      </c>
      <c r="Y664" s="197">
        <f t="shared" si="956"/>
        <v>0</v>
      </c>
      <c r="Z664" s="197">
        <f t="shared" si="904"/>
        <v>0</v>
      </c>
      <c r="AA664" s="199" t="b">
        <f t="shared" si="3"/>
        <v>1</v>
      </c>
      <c r="AB664" s="199" t="b">
        <f t="shared" si="4"/>
        <v>1</v>
      </c>
      <c r="AC664" s="200">
        <f t="shared" ref="AC664:AD664" si="960">1-I664</f>
        <v>0.33999999999999997</v>
      </c>
      <c r="AD664" s="200">
        <f t="shared" si="960"/>
        <v>0.66999999999999993</v>
      </c>
      <c r="AE664" s="199">
        <f t="shared" si="6"/>
        <v>1.0099999999999998</v>
      </c>
      <c r="AF664" s="201">
        <f t="shared" si="906"/>
        <v>0</v>
      </c>
      <c r="AG664" s="201">
        <f t="shared" si="8"/>
        <v>0</v>
      </c>
      <c r="AH664" s="202">
        <f t="shared" si="958"/>
        <v>0</v>
      </c>
      <c r="AI664" s="205"/>
      <c r="AJ664" s="173"/>
      <c r="AK664" s="173"/>
      <c r="AL664" s="173"/>
      <c r="AM664" s="173"/>
      <c r="AN664" s="173"/>
      <c r="AO664" s="173"/>
      <c r="AP664" s="173"/>
      <c r="AQ664" s="173"/>
      <c r="AR664" s="173"/>
      <c r="AS664" s="173"/>
      <c r="AT664" s="173"/>
      <c r="AU664" s="173"/>
      <c r="AV664" s="173"/>
    </row>
    <row r="665" spans="1:48" ht="14.25">
      <c r="A665" s="187"/>
      <c r="B665" s="555">
        <v>2</v>
      </c>
      <c r="C665" s="556" t="s">
        <v>1472</v>
      </c>
      <c r="D665" s="557" t="s">
        <v>69</v>
      </c>
      <c r="E665" s="557" t="s">
        <v>82</v>
      </c>
      <c r="F665" s="557" t="s">
        <v>11</v>
      </c>
      <c r="G665" s="558">
        <v>2</v>
      </c>
      <c r="H665" s="558">
        <v>0</v>
      </c>
      <c r="I665" s="559">
        <v>0.66</v>
      </c>
      <c r="J665" s="559">
        <v>0.66</v>
      </c>
      <c r="K665" s="560" t="s">
        <v>146</v>
      </c>
      <c r="L665" s="560"/>
      <c r="M665" s="560"/>
      <c r="N665" s="560"/>
      <c r="O665" s="561" t="s">
        <v>1473</v>
      </c>
      <c r="P665" s="422"/>
      <c r="Q665" s="557" t="s">
        <v>148</v>
      </c>
      <c r="R665" s="173"/>
      <c r="S665" s="195">
        <f>MATCH($D665,Reference!$J$5:$J$9,0)</f>
        <v>4</v>
      </c>
      <c r="T665" s="195">
        <f>MATCH($E665,Reference!$J$26:$J$32,0)</f>
        <v>7</v>
      </c>
      <c r="U665" s="195">
        <f>MATCH($F665,Reference!$J$45:$J$54,0)</f>
        <v>2</v>
      </c>
      <c r="V665" s="196">
        <f>MATCH($K665,Reference!$J$37:$J$39,0)</f>
        <v>2</v>
      </c>
      <c r="W665" s="197">
        <f t="shared" si="902"/>
        <v>2</v>
      </c>
      <c r="X665" s="197">
        <f t="shared" si="1"/>
        <v>1</v>
      </c>
      <c r="Y665" s="197">
        <f t="shared" si="956"/>
        <v>0</v>
      </c>
      <c r="Z665" s="197">
        <f t="shared" si="904"/>
        <v>2</v>
      </c>
      <c r="AA665" s="199" t="b">
        <f t="shared" si="3"/>
        <v>0</v>
      </c>
      <c r="AB665" s="199" t="b">
        <f t="shared" si="4"/>
        <v>0</v>
      </c>
      <c r="AC665" s="200">
        <f t="shared" ref="AC665:AD665" si="961">1-I665</f>
        <v>0.33999999999999997</v>
      </c>
      <c r="AD665" s="200">
        <f t="shared" si="961"/>
        <v>0.33999999999999997</v>
      </c>
      <c r="AE665" s="199">
        <f t="shared" si="6"/>
        <v>2</v>
      </c>
      <c r="AF665" s="201">
        <f t="shared" si="906"/>
        <v>0</v>
      </c>
      <c r="AG665" s="201">
        <f t="shared" si="8"/>
        <v>1</v>
      </c>
      <c r="AH665" s="202">
        <f t="shared" si="958"/>
        <v>0</v>
      </c>
      <c r="AI665" s="205"/>
      <c r="AJ665" s="173"/>
      <c r="AK665" s="173"/>
      <c r="AL665" s="173"/>
      <c r="AM665" s="173"/>
      <c r="AN665" s="173"/>
      <c r="AO665" s="173"/>
      <c r="AP665" s="173"/>
      <c r="AQ665" s="173"/>
      <c r="AR665" s="173"/>
      <c r="AS665" s="173"/>
      <c r="AT665" s="173"/>
      <c r="AU665" s="173"/>
      <c r="AV665" s="173"/>
    </row>
    <row r="666" spans="1:48" ht="14.25">
      <c r="A666" s="240"/>
      <c r="B666" s="555">
        <v>3</v>
      </c>
      <c r="C666" s="556" t="s">
        <v>1474</v>
      </c>
      <c r="D666" s="557" t="s">
        <v>69</v>
      </c>
      <c r="E666" s="557" t="s">
        <v>82</v>
      </c>
      <c r="F666" s="557" t="s">
        <v>20</v>
      </c>
      <c r="G666" s="558">
        <v>2</v>
      </c>
      <c r="H666" s="558">
        <v>0</v>
      </c>
      <c r="I666" s="559">
        <v>0.33</v>
      </c>
      <c r="J666" s="559">
        <v>0.33</v>
      </c>
      <c r="K666" s="560" t="s">
        <v>146</v>
      </c>
      <c r="L666" s="560"/>
      <c r="M666" s="560"/>
      <c r="N666" s="560"/>
      <c r="O666" s="561" t="s">
        <v>1475</v>
      </c>
      <c r="P666" s="422"/>
      <c r="Q666" s="557" t="s">
        <v>148</v>
      </c>
      <c r="R666" s="173"/>
      <c r="S666" s="195">
        <f>MATCH($D666,Reference!$J$5:$J$9,0)</f>
        <v>4</v>
      </c>
      <c r="T666" s="195">
        <f>MATCH($E666,Reference!$J$26:$J$32,0)</f>
        <v>7</v>
      </c>
      <c r="U666" s="195">
        <f>MATCH($F666,Reference!$J$45:$J$54,0)</f>
        <v>6</v>
      </c>
      <c r="V666" s="196">
        <f>MATCH($K666,Reference!$J$37:$J$39,0)</f>
        <v>2</v>
      </c>
      <c r="W666" s="197">
        <f t="shared" si="902"/>
        <v>2</v>
      </c>
      <c r="X666" s="197">
        <f t="shared" si="1"/>
        <v>1</v>
      </c>
      <c r="Y666" s="197">
        <f t="shared" si="956"/>
        <v>0</v>
      </c>
      <c r="Z666" s="197">
        <f t="shared" si="904"/>
        <v>2</v>
      </c>
      <c r="AA666" s="199" t="b">
        <f t="shared" si="3"/>
        <v>0</v>
      </c>
      <c r="AB666" s="199" t="b">
        <f t="shared" si="4"/>
        <v>0</v>
      </c>
      <c r="AC666" s="200">
        <f t="shared" ref="AC666:AD666" si="962">1-I666</f>
        <v>0.66999999999999993</v>
      </c>
      <c r="AD666" s="200">
        <f t="shared" si="962"/>
        <v>0.66999999999999993</v>
      </c>
      <c r="AE666" s="199">
        <f t="shared" si="6"/>
        <v>2</v>
      </c>
      <c r="AF666" s="201">
        <f t="shared" si="906"/>
        <v>0</v>
      </c>
      <c r="AG666" s="201">
        <f t="shared" si="8"/>
        <v>1</v>
      </c>
      <c r="AH666" s="202">
        <f t="shared" si="958"/>
        <v>0</v>
      </c>
      <c r="AI666" s="205"/>
      <c r="AJ666" s="173"/>
      <c r="AK666" s="173"/>
      <c r="AL666" s="173"/>
      <c r="AM666" s="173"/>
      <c r="AN666" s="173"/>
      <c r="AO666" s="173"/>
      <c r="AP666" s="173"/>
      <c r="AQ666" s="173"/>
      <c r="AR666" s="173"/>
      <c r="AS666" s="173"/>
      <c r="AT666" s="173"/>
      <c r="AU666" s="173"/>
      <c r="AV666" s="173"/>
    </row>
    <row r="667" spans="1:48" ht="14.25">
      <c r="A667" s="206"/>
      <c r="B667" s="555">
        <v>3</v>
      </c>
      <c r="C667" s="556" t="s">
        <v>1476</v>
      </c>
      <c r="D667" s="557" t="s">
        <v>69</v>
      </c>
      <c r="E667" s="557" t="s">
        <v>82</v>
      </c>
      <c r="F667" s="557" t="s">
        <v>21</v>
      </c>
      <c r="G667" s="558">
        <v>2</v>
      </c>
      <c r="H667" s="558">
        <v>0</v>
      </c>
      <c r="I667" s="559">
        <v>0.66</v>
      </c>
      <c r="J667" s="559">
        <v>0</v>
      </c>
      <c r="K667" s="560" t="s">
        <v>146</v>
      </c>
      <c r="L667" s="560"/>
      <c r="M667" s="560"/>
      <c r="N667" s="560"/>
      <c r="O667" s="561" t="s">
        <v>1477</v>
      </c>
      <c r="P667" s="422"/>
      <c r="Q667" s="557" t="s">
        <v>148</v>
      </c>
      <c r="R667" s="173"/>
      <c r="S667" s="195">
        <f>MATCH($D667,Reference!$J$5:$J$9,0)</f>
        <v>4</v>
      </c>
      <c r="T667" s="195">
        <f>MATCH($E667,Reference!$J$26:$J$32,0)</f>
        <v>7</v>
      </c>
      <c r="U667" s="195">
        <f>MATCH($F667,Reference!$J$45:$J$54,0)</f>
        <v>7</v>
      </c>
      <c r="V667" s="196">
        <f>MATCH($K667,Reference!$J$37:$J$39,0)</f>
        <v>2</v>
      </c>
      <c r="W667" s="197">
        <f t="shared" si="902"/>
        <v>2</v>
      </c>
      <c r="X667" s="197">
        <f t="shared" si="1"/>
        <v>1</v>
      </c>
      <c r="Y667" s="197">
        <f t="shared" si="956"/>
        <v>0</v>
      </c>
      <c r="Z667" s="197">
        <f t="shared" si="904"/>
        <v>2</v>
      </c>
      <c r="AA667" s="199" t="b">
        <f t="shared" si="3"/>
        <v>0</v>
      </c>
      <c r="AB667" s="199" t="b">
        <f t="shared" si="4"/>
        <v>0</v>
      </c>
      <c r="AC667" s="200">
        <f t="shared" ref="AC667:AD667" si="963">1-I667</f>
        <v>0.33999999999999997</v>
      </c>
      <c r="AD667" s="200">
        <f t="shared" si="963"/>
        <v>1</v>
      </c>
      <c r="AE667" s="199">
        <f t="shared" si="6"/>
        <v>2</v>
      </c>
      <c r="AF667" s="201">
        <f t="shared" si="906"/>
        <v>0</v>
      </c>
      <c r="AG667" s="201">
        <f t="shared" si="8"/>
        <v>1</v>
      </c>
      <c r="AH667" s="202">
        <f t="shared" si="958"/>
        <v>0</v>
      </c>
      <c r="AI667" s="205"/>
      <c r="AJ667" s="173"/>
      <c r="AK667" s="173"/>
      <c r="AL667" s="173"/>
      <c r="AM667" s="173"/>
      <c r="AN667" s="173"/>
      <c r="AO667" s="173"/>
      <c r="AP667" s="173"/>
      <c r="AQ667" s="173"/>
      <c r="AR667" s="173"/>
      <c r="AS667" s="173"/>
      <c r="AT667" s="173"/>
      <c r="AU667" s="173"/>
      <c r="AV667" s="173"/>
    </row>
    <row r="668" spans="1:48" ht="14.25">
      <c r="A668" s="240"/>
      <c r="B668" s="555">
        <v>3</v>
      </c>
      <c r="C668" s="556" t="s">
        <v>1478</v>
      </c>
      <c r="D668" s="557" t="s">
        <v>69</v>
      </c>
      <c r="E668" s="557" t="s">
        <v>82</v>
      </c>
      <c r="F668" s="557" t="s">
        <v>115</v>
      </c>
      <c r="G668" s="558">
        <v>0</v>
      </c>
      <c r="H668" s="558">
        <v>0</v>
      </c>
      <c r="I668" s="559">
        <v>0.33</v>
      </c>
      <c r="J668" s="559">
        <v>0.33</v>
      </c>
      <c r="K668" s="557" t="s">
        <v>182</v>
      </c>
      <c r="L668" s="560"/>
      <c r="M668" s="560">
        <v>4</v>
      </c>
      <c r="N668" s="562">
        <v>2</v>
      </c>
      <c r="O668" s="561" t="s">
        <v>1479</v>
      </c>
      <c r="P668" s="563" t="s">
        <v>184</v>
      </c>
      <c r="Q668" s="557" t="s">
        <v>148</v>
      </c>
      <c r="R668" s="173"/>
      <c r="S668" s="195">
        <f>MATCH($D668,Reference!$J$5:$J$9,0)</f>
        <v>4</v>
      </c>
      <c r="T668" s="195">
        <f>MATCH($E668,Reference!$J$26:$J$32,0)</f>
        <v>7</v>
      </c>
      <c r="U668" s="195">
        <f>MATCH($F668,Reference!$J$45:$J$54,0)</f>
        <v>10</v>
      </c>
      <c r="V668" s="196">
        <f>MATCH($K668,Reference!$J$37:$J$39,0)</f>
        <v>3</v>
      </c>
      <c r="W668" s="197">
        <f t="shared" si="902"/>
        <v>0</v>
      </c>
      <c r="X668" s="197">
        <f t="shared" si="1"/>
        <v>0</v>
      </c>
      <c r="Y668" s="197">
        <f t="shared" si="956"/>
        <v>0</v>
      </c>
      <c r="Z668" s="197">
        <f t="shared" si="904"/>
        <v>0</v>
      </c>
      <c r="AA668" s="199" t="b">
        <f t="shared" si="3"/>
        <v>1</v>
      </c>
      <c r="AB668" s="199" t="b">
        <f t="shared" si="4"/>
        <v>1</v>
      </c>
      <c r="AC668" s="200">
        <f t="shared" ref="AC668:AD668" si="964">1-I668</f>
        <v>0.66999999999999993</v>
      </c>
      <c r="AD668" s="200">
        <f t="shared" si="964"/>
        <v>0.66999999999999993</v>
      </c>
      <c r="AE668" s="199">
        <f t="shared" si="6"/>
        <v>1.3399999999999999</v>
      </c>
      <c r="AF668" s="201">
        <f t="shared" si="906"/>
        <v>0</v>
      </c>
      <c r="AG668" s="201">
        <f t="shared" si="8"/>
        <v>0</v>
      </c>
      <c r="AH668" s="202">
        <f t="shared" si="958"/>
        <v>0</v>
      </c>
      <c r="AI668" s="205"/>
      <c r="AJ668" s="173"/>
      <c r="AK668" s="173"/>
      <c r="AL668" s="173"/>
      <c r="AM668" s="173"/>
      <c r="AN668" s="173"/>
      <c r="AO668" s="173"/>
      <c r="AP668" s="173"/>
      <c r="AQ668" s="173"/>
      <c r="AR668" s="173"/>
      <c r="AS668" s="173"/>
      <c r="AT668" s="173"/>
      <c r="AU668" s="173"/>
      <c r="AV668" s="173"/>
    </row>
    <row r="669" spans="1:48" ht="14.25">
      <c r="A669" s="211"/>
      <c r="B669" s="555">
        <v>3</v>
      </c>
      <c r="C669" s="556" t="s">
        <v>1480</v>
      </c>
      <c r="D669" s="557" t="s">
        <v>69</v>
      </c>
      <c r="E669" s="557" t="s">
        <v>82</v>
      </c>
      <c r="F669" s="557" t="s">
        <v>8</v>
      </c>
      <c r="G669" s="558">
        <v>1</v>
      </c>
      <c r="H669" s="558">
        <v>0</v>
      </c>
      <c r="I669" s="559">
        <v>0.33</v>
      </c>
      <c r="J669" s="559">
        <v>0.33</v>
      </c>
      <c r="K669" s="557" t="s">
        <v>146</v>
      </c>
      <c r="L669" s="560"/>
      <c r="M669" s="557"/>
      <c r="N669" s="562"/>
      <c r="O669" s="561" t="s">
        <v>1481</v>
      </c>
      <c r="P669" s="422"/>
      <c r="Q669" s="557" t="s">
        <v>148</v>
      </c>
      <c r="R669" s="173"/>
      <c r="S669" s="195">
        <f>MATCH($D669,Reference!$J$5:$J$9,0)</f>
        <v>4</v>
      </c>
      <c r="T669" s="195">
        <f>MATCH($E669,Reference!$J$26:$J$32,0)</f>
        <v>7</v>
      </c>
      <c r="U669" s="195">
        <f>MATCH($F669,Reference!$J$45:$J$54,0)</f>
        <v>1</v>
      </c>
      <c r="V669" s="196">
        <f>MATCH($K669,Reference!$J$37:$J$39,0)</f>
        <v>2</v>
      </c>
      <c r="W669" s="197">
        <f t="shared" si="902"/>
        <v>1</v>
      </c>
      <c r="X669" s="197">
        <f t="shared" si="1"/>
        <v>1</v>
      </c>
      <c r="Y669" s="197">
        <f t="shared" si="956"/>
        <v>0</v>
      </c>
      <c r="Z669" s="197">
        <f t="shared" si="904"/>
        <v>1</v>
      </c>
      <c r="AA669" s="199" t="b">
        <f t="shared" si="3"/>
        <v>0</v>
      </c>
      <c r="AB669" s="199" t="b">
        <f t="shared" si="4"/>
        <v>1</v>
      </c>
      <c r="AC669" s="200">
        <f t="shared" ref="AC669:AD669" si="965">1-I669</f>
        <v>0.66999999999999993</v>
      </c>
      <c r="AD669" s="200">
        <f t="shared" si="965"/>
        <v>0.66999999999999993</v>
      </c>
      <c r="AE669" s="199">
        <f t="shared" si="6"/>
        <v>1.67</v>
      </c>
      <c r="AF669" s="201">
        <f t="shared" si="906"/>
        <v>0</v>
      </c>
      <c r="AG669" s="201">
        <f t="shared" si="8"/>
        <v>1</v>
      </c>
      <c r="AH669" s="202">
        <f t="shared" si="958"/>
        <v>0</v>
      </c>
      <c r="AI669" s="205"/>
      <c r="AJ669" s="173"/>
      <c r="AK669" s="173"/>
      <c r="AL669" s="173"/>
      <c r="AM669" s="173"/>
      <c r="AN669" s="173"/>
      <c r="AO669" s="173"/>
      <c r="AP669" s="173"/>
      <c r="AQ669" s="173"/>
      <c r="AR669" s="173"/>
      <c r="AS669" s="173"/>
      <c r="AT669" s="173"/>
      <c r="AU669" s="173"/>
      <c r="AV669" s="173"/>
    </row>
    <row r="670" spans="1:48" ht="14.25">
      <c r="A670" s="187"/>
      <c r="B670" s="555">
        <v>3</v>
      </c>
      <c r="C670" s="556" t="s">
        <v>1482</v>
      </c>
      <c r="D670" s="557" t="s">
        <v>69</v>
      </c>
      <c r="E670" s="557" t="s">
        <v>82</v>
      </c>
      <c r="F670" s="557" t="s">
        <v>18</v>
      </c>
      <c r="G670" s="558">
        <v>1</v>
      </c>
      <c r="H670" s="558">
        <v>0</v>
      </c>
      <c r="I670" s="559">
        <v>0.33</v>
      </c>
      <c r="J670" s="559">
        <v>0.33</v>
      </c>
      <c r="K670" s="560" t="s">
        <v>182</v>
      </c>
      <c r="L670" s="560"/>
      <c r="M670" s="560">
        <v>3</v>
      </c>
      <c r="N670" s="560">
        <v>3</v>
      </c>
      <c r="O670" s="561" t="s">
        <v>1483</v>
      </c>
      <c r="P670" s="422"/>
      <c r="Q670" s="557" t="s">
        <v>148</v>
      </c>
      <c r="R670" s="173"/>
      <c r="S670" s="195">
        <f>MATCH($D670,Reference!$J$5:$J$9,0)</f>
        <v>4</v>
      </c>
      <c r="T670" s="195">
        <f>MATCH($E670,Reference!$J$26:$J$32,0)</f>
        <v>7</v>
      </c>
      <c r="U670" s="195">
        <f>MATCH($F670,Reference!$J$45:$J$54,0)</f>
        <v>5</v>
      </c>
      <c r="V670" s="196">
        <f>MATCH($K670,Reference!$J$37:$J$39,0)</f>
        <v>3</v>
      </c>
      <c r="W670" s="197">
        <f t="shared" si="902"/>
        <v>1</v>
      </c>
      <c r="X670" s="197">
        <f t="shared" si="1"/>
        <v>1</v>
      </c>
      <c r="Y670" s="197">
        <f t="shared" si="956"/>
        <v>0</v>
      </c>
      <c r="Z670" s="197">
        <f t="shared" si="904"/>
        <v>1</v>
      </c>
      <c r="AA670" s="199" t="b">
        <f t="shared" si="3"/>
        <v>0</v>
      </c>
      <c r="AB670" s="199" t="b">
        <f t="shared" si="4"/>
        <v>1</v>
      </c>
      <c r="AC670" s="200">
        <f t="shared" ref="AC670:AD670" si="966">1-I670</f>
        <v>0.66999999999999993</v>
      </c>
      <c r="AD670" s="200">
        <f t="shared" si="966"/>
        <v>0.66999999999999993</v>
      </c>
      <c r="AE670" s="199">
        <f t="shared" si="6"/>
        <v>1.67</v>
      </c>
      <c r="AF670" s="201">
        <f t="shared" si="906"/>
        <v>0</v>
      </c>
      <c r="AG670" s="201">
        <f t="shared" si="8"/>
        <v>1</v>
      </c>
      <c r="AH670" s="202">
        <f t="shared" si="958"/>
        <v>0</v>
      </c>
      <c r="AI670" s="205"/>
      <c r="AJ670" s="173"/>
      <c r="AK670" s="173"/>
      <c r="AL670" s="173"/>
      <c r="AM670" s="173"/>
      <c r="AN670" s="173"/>
      <c r="AO670" s="173"/>
      <c r="AP670" s="173"/>
      <c r="AQ670" s="173"/>
      <c r="AR670" s="173"/>
      <c r="AS670" s="173"/>
      <c r="AT670" s="173"/>
      <c r="AU670" s="173"/>
      <c r="AV670" s="173"/>
    </row>
    <row r="671" spans="1:48" ht="14.25">
      <c r="A671" s="206"/>
      <c r="B671" s="555">
        <v>3</v>
      </c>
      <c r="C671" s="556" t="s">
        <v>1484</v>
      </c>
      <c r="D671" s="557" t="s">
        <v>69</v>
      </c>
      <c r="E671" s="557" t="s">
        <v>82</v>
      </c>
      <c r="F671" s="557" t="s">
        <v>11</v>
      </c>
      <c r="G671" s="558">
        <v>2</v>
      </c>
      <c r="H671" s="558">
        <v>0</v>
      </c>
      <c r="I671" s="559">
        <v>0</v>
      </c>
      <c r="J671" s="559">
        <v>0</v>
      </c>
      <c r="K671" s="560" t="s">
        <v>182</v>
      </c>
      <c r="L671" s="560"/>
      <c r="M671" s="560">
        <v>4</v>
      </c>
      <c r="N671" s="560">
        <v>2</v>
      </c>
      <c r="O671" s="561" t="s">
        <v>1485</v>
      </c>
      <c r="P671" s="563" t="s">
        <v>275</v>
      </c>
      <c r="Q671" s="557" t="s">
        <v>148</v>
      </c>
      <c r="R671" s="173"/>
      <c r="S671" s="195">
        <f>MATCH($D671,Reference!$J$5:$J$9,0)</f>
        <v>4</v>
      </c>
      <c r="T671" s="195">
        <f>MATCH($E671,Reference!$J$26:$J$32,0)</f>
        <v>7</v>
      </c>
      <c r="U671" s="195">
        <f>MATCH($F671,Reference!$J$45:$J$54,0)</f>
        <v>2</v>
      </c>
      <c r="V671" s="196">
        <f>MATCH($K671,Reference!$J$37:$J$39,0)</f>
        <v>3</v>
      </c>
      <c r="W671" s="197">
        <f t="shared" si="902"/>
        <v>2</v>
      </c>
      <c r="X671" s="197">
        <f t="shared" si="1"/>
        <v>1</v>
      </c>
      <c r="Y671" s="197">
        <f t="shared" si="956"/>
        <v>0</v>
      </c>
      <c r="Z671" s="197">
        <f t="shared" si="904"/>
        <v>2</v>
      </c>
      <c r="AA671" s="199" t="b">
        <f t="shared" si="3"/>
        <v>0</v>
      </c>
      <c r="AB671" s="199" t="b">
        <f t="shared" si="4"/>
        <v>0</v>
      </c>
      <c r="AC671" s="200">
        <f t="shared" ref="AC671:AD671" si="967">1-I671</f>
        <v>1</v>
      </c>
      <c r="AD671" s="200">
        <f t="shared" si="967"/>
        <v>1</v>
      </c>
      <c r="AE671" s="199">
        <f t="shared" si="6"/>
        <v>2</v>
      </c>
      <c r="AF671" s="201">
        <f t="shared" si="906"/>
        <v>0</v>
      </c>
      <c r="AG671" s="201">
        <f t="shared" si="8"/>
        <v>1</v>
      </c>
      <c r="AH671" s="202">
        <f t="shared" si="958"/>
        <v>0</v>
      </c>
      <c r="AI671" s="205"/>
      <c r="AJ671" s="173"/>
      <c r="AK671" s="173"/>
      <c r="AL671" s="173"/>
      <c r="AM671" s="173"/>
      <c r="AN671" s="173"/>
      <c r="AO671" s="173"/>
      <c r="AP671" s="173"/>
      <c r="AQ671" s="173"/>
      <c r="AR671" s="173"/>
      <c r="AS671" s="173"/>
      <c r="AT671" s="173"/>
      <c r="AU671" s="173"/>
      <c r="AV671" s="173"/>
    </row>
    <row r="672" spans="1:48" ht="14.25">
      <c r="A672" s="240"/>
      <c r="B672" s="555">
        <v>4</v>
      </c>
      <c r="C672" s="556" t="s">
        <v>1486</v>
      </c>
      <c r="D672" s="557" t="s">
        <v>69</v>
      </c>
      <c r="E672" s="557" t="s">
        <v>82</v>
      </c>
      <c r="F672" s="557" t="s">
        <v>8</v>
      </c>
      <c r="G672" s="558">
        <v>2</v>
      </c>
      <c r="H672" s="558">
        <v>0</v>
      </c>
      <c r="I672" s="559">
        <v>0.66</v>
      </c>
      <c r="J672" s="559">
        <v>0</v>
      </c>
      <c r="K672" s="560" t="s">
        <v>146</v>
      </c>
      <c r="L672" s="560"/>
      <c r="M672" s="560"/>
      <c r="N672" s="560"/>
      <c r="O672" s="561" t="s">
        <v>1487</v>
      </c>
      <c r="P672" s="422"/>
      <c r="Q672" s="557" t="s">
        <v>148</v>
      </c>
      <c r="R672" s="173"/>
      <c r="S672" s="195">
        <f>MATCH($D672,Reference!$J$5:$J$9,0)</f>
        <v>4</v>
      </c>
      <c r="T672" s="195">
        <f>MATCH($E672,Reference!$J$26:$J$32,0)</f>
        <v>7</v>
      </c>
      <c r="U672" s="195">
        <f>MATCH($F672,Reference!$J$45:$J$54,0)</f>
        <v>1</v>
      </c>
      <c r="V672" s="196">
        <f>MATCH($K672,Reference!$J$37:$J$39,0)</f>
        <v>2</v>
      </c>
      <c r="W672" s="197">
        <f t="shared" si="902"/>
        <v>2</v>
      </c>
      <c r="X672" s="197">
        <f t="shared" si="1"/>
        <v>1</v>
      </c>
      <c r="Y672" s="197">
        <f t="shared" si="956"/>
        <v>0</v>
      </c>
      <c r="Z672" s="197">
        <f t="shared" si="904"/>
        <v>2</v>
      </c>
      <c r="AA672" s="199" t="b">
        <f t="shared" si="3"/>
        <v>0</v>
      </c>
      <c r="AB672" s="199" t="b">
        <f t="shared" si="4"/>
        <v>0</v>
      </c>
      <c r="AC672" s="200">
        <f t="shared" ref="AC672:AD672" si="968">1-I672</f>
        <v>0.33999999999999997</v>
      </c>
      <c r="AD672" s="200">
        <f t="shared" si="968"/>
        <v>1</v>
      </c>
      <c r="AE672" s="199">
        <f t="shared" si="6"/>
        <v>2</v>
      </c>
      <c r="AF672" s="201">
        <f t="shared" si="906"/>
        <v>0</v>
      </c>
      <c r="AG672" s="201">
        <f t="shared" si="8"/>
        <v>1</v>
      </c>
      <c r="AH672" s="202">
        <f t="shared" si="958"/>
        <v>0</v>
      </c>
      <c r="AI672" s="205"/>
      <c r="AJ672" s="173"/>
      <c r="AK672" s="173"/>
      <c r="AL672" s="173"/>
      <c r="AM672" s="173"/>
      <c r="AN672" s="173"/>
      <c r="AO672" s="173"/>
      <c r="AP672" s="173"/>
      <c r="AQ672" s="173"/>
      <c r="AR672" s="173"/>
      <c r="AS672" s="173"/>
      <c r="AT672" s="173"/>
      <c r="AU672" s="173"/>
      <c r="AV672" s="173"/>
    </row>
    <row r="673" spans="1:48" ht="14.25">
      <c r="A673" s="240"/>
      <c r="B673" s="555">
        <v>4</v>
      </c>
      <c r="C673" s="556" t="s">
        <v>1488</v>
      </c>
      <c r="D673" s="557" t="s">
        <v>69</v>
      </c>
      <c r="E673" s="557" t="s">
        <v>82</v>
      </c>
      <c r="F673" s="557" t="s">
        <v>21</v>
      </c>
      <c r="G673" s="558">
        <v>0</v>
      </c>
      <c r="H673" s="558">
        <v>0</v>
      </c>
      <c r="I673" s="559">
        <v>0.33</v>
      </c>
      <c r="J673" s="559">
        <v>0</v>
      </c>
      <c r="K673" s="560" t="s">
        <v>207</v>
      </c>
      <c r="L673" s="560"/>
      <c r="M673" s="560">
        <v>2</v>
      </c>
      <c r="N673" s="560">
        <v>4</v>
      </c>
      <c r="O673" s="561" t="s">
        <v>1489</v>
      </c>
      <c r="P673" s="422"/>
      <c r="Q673" s="557" t="s">
        <v>148</v>
      </c>
      <c r="R673" s="173"/>
      <c r="S673" s="195">
        <f>MATCH($D673,Reference!$J$5:$J$9,0)</f>
        <v>4</v>
      </c>
      <c r="T673" s="195">
        <f>MATCH($E673,Reference!$J$26:$J$32,0)</f>
        <v>7</v>
      </c>
      <c r="U673" s="195">
        <f>MATCH($F673,Reference!$J$45:$J$54,0)</f>
        <v>7</v>
      </c>
      <c r="V673" s="196">
        <f>MATCH($K673,Reference!$J$37:$J$39,0)</f>
        <v>1</v>
      </c>
      <c r="W673" s="197">
        <f t="shared" si="902"/>
        <v>0</v>
      </c>
      <c r="X673" s="197">
        <f t="shared" si="1"/>
        <v>0</v>
      </c>
      <c r="Y673" s="197">
        <f t="shared" si="956"/>
        <v>0</v>
      </c>
      <c r="Z673" s="197">
        <f t="shared" si="904"/>
        <v>0</v>
      </c>
      <c r="AA673" s="199" t="b">
        <f t="shared" si="3"/>
        <v>1</v>
      </c>
      <c r="AB673" s="199" t="b">
        <f t="shared" si="4"/>
        <v>1</v>
      </c>
      <c r="AC673" s="200">
        <f t="shared" ref="AC673:AD673" si="969">1-I673</f>
        <v>0.66999999999999993</v>
      </c>
      <c r="AD673" s="200">
        <f t="shared" si="969"/>
        <v>1</v>
      </c>
      <c r="AE673" s="199">
        <f t="shared" si="6"/>
        <v>1.67</v>
      </c>
      <c r="AF673" s="201">
        <f t="shared" si="906"/>
        <v>0</v>
      </c>
      <c r="AG673" s="201">
        <f t="shared" si="8"/>
        <v>0</v>
      </c>
      <c r="AH673" s="202">
        <f t="shared" si="958"/>
        <v>0</v>
      </c>
      <c r="AI673" s="205"/>
      <c r="AJ673" s="173"/>
      <c r="AK673" s="173"/>
      <c r="AL673" s="173"/>
      <c r="AM673" s="173"/>
      <c r="AN673" s="173"/>
      <c r="AO673" s="173"/>
      <c r="AP673" s="173"/>
      <c r="AQ673" s="173"/>
      <c r="AR673" s="173"/>
      <c r="AS673" s="173"/>
      <c r="AT673" s="173"/>
      <c r="AU673" s="173"/>
      <c r="AV673" s="173"/>
    </row>
    <row r="674" spans="1:48" ht="14.25">
      <c r="A674" s="187"/>
      <c r="B674" s="555">
        <v>4</v>
      </c>
      <c r="C674" s="556" t="s">
        <v>1490</v>
      </c>
      <c r="D674" s="557" t="s">
        <v>69</v>
      </c>
      <c r="E674" s="557" t="s">
        <v>82</v>
      </c>
      <c r="F674" s="557" t="s">
        <v>115</v>
      </c>
      <c r="G674" s="558">
        <v>1</v>
      </c>
      <c r="H674" s="558">
        <v>0</v>
      </c>
      <c r="I674" s="559">
        <v>0.33</v>
      </c>
      <c r="J674" s="559">
        <v>0</v>
      </c>
      <c r="K674" s="560" t="s">
        <v>182</v>
      </c>
      <c r="L674" s="560"/>
      <c r="M674" s="560">
        <v>4</v>
      </c>
      <c r="N674" s="560">
        <v>4</v>
      </c>
      <c r="O674" s="561" t="s">
        <v>1491</v>
      </c>
      <c r="P674" s="422"/>
      <c r="Q674" s="557" t="s">
        <v>148</v>
      </c>
      <c r="R674" s="173"/>
      <c r="S674" s="195">
        <f>MATCH($D674,Reference!$J$5:$J$9,0)</f>
        <v>4</v>
      </c>
      <c r="T674" s="195">
        <f>MATCH($E674,Reference!$J$26:$J$32,0)</f>
        <v>7</v>
      </c>
      <c r="U674" s="195">
        <f>MATCH($F674,Reference!$J$45:$J$54,0)</f>
        <v>10</v>
      </c>
      <c r="V674" s="196">
        <f>MATCH($K674,Reference!$J$37:$J$39,0)</f>
        <v>3</v>
      </c>
      <c r="W674" s="197">
        <f t="shared" si="902"/>
        <v>1</v>
      </c>
      <c r="X674" s="197">
        <f t="shared" si="1"/>
        <v>1</v>
      </c>
      <c r="Y674" s="197">
        <f t="shared" si="956"/>
        <v>0</v>
      </c>
      <c r="Z674" s="197">
        <f t="shared" si="904"/>
        <v>1</v>
      </c>
      <c r="AA674" s="199" t="b">
        <f t="shared" si="3"/>
        <v>0</v>
      </c>
      <c r="AB674" s="199" t="b">
        <f t="shared" si="4"/>
        <v>1</v>
      </c>
      <c r="AC674" s="200">
        <f t="shared" ref="AC674:AD674" si="970">1-I674</f>
        <v>0.66999999999999993</v>
      </c>
      <c r="AD674" s="200">
        <f t="shared" si="970"/>
        <v>1</v>
      </c>
      <c r="AE674" s="199">
        <f t="shared" si="6"/>
        <v>2</v>
      </c>
      <c r="AF674" s="201">
        <f t="shared" si="906"/>
        <v>0</v>
      </c>
      <c r="AG674" s="201">
        <f t="shared" si="8"/>
        <v>1</v>
      </c>
      <c r="AH674" s="202">
        <f t="shared" si="958"/>
        <v>0</v>
      </c>
      <c r="AI674" s="205"/>
      <c r="AJ674" s="173"/>
      <c r="AK674" s="173"/>
      <c r="AL674" s="173"/>
      <c r="AM674" s="173"/>
      <c r="AN674" s="173"/>
      <c r="AO674" s="173"/>
      <c r="AP674" s="173"/>
      <c r="AQ674" s="173"/>
      <c r="AR674" s="173"/>
      <c r="AS674" s="173"/>
      <c r="AT674" s="173"/>
      <c r="AU674" s="173"/>
      <c r="AV674" s="173"/>
    </row>
    <row r="675" spans="1:48" ht="14.25">
      <c r="A675" s="187"/>
      <c r="B675" s="555">
        <v>4</v>
      </c>
      <c r="C675" s="556" t="s">
        <v>1492</v>
      </c>
      <c r="D675" s="557" t="s">
        <v>69</v>
      </c>
      <c r="E675" s="557" t="s">
        <v>82</v>
      </c>
      <c r="F675" s="557" t="s">
        <v>25</v>
      </c>
      <c r="G675" s="558">
        <v>2</v>
      </c>
      <c r="H675" s="558">
        <v>0</v>
      </c>
      <c r="I675" s="559">
        <v>0.33</v>
      </c>
      <c r="J675" s="559">
        <v>0.33</v>
      </c>
      <c r="K675" s="560" t="s">
        <v>182</v>
      </c>
      <c r="L675" s="560" t="s">
        <v>239</v>
      </c>
      <c r="M675" s="560">
        <v>1</v>
      </c>
      <c r="N675" s="560">
        <v>1</v>
      </c>
      <c r="O675" s="561" t="s">
        <v>1493</v>
      </c>
      <c r="P675" s="563" t="s">
        <v>454</v>
      </c>
      <c r="Q675" s="557" t="s">
        <v>148</v>
      </c>
      <c r="R675" s="173"/>
      <c r="S675" s="195">
        <f>MATCH($D675,Reference!$J$5:$J$9,0)</f>
        <v>4</v>
      </c>
      <c r="T675" s="195">
        <f>MATCH($E675,Reference!$J$26:$J$32,0)</f>
        <v>7</v>
      </c>
      <c r="U675" s="195">
        <f>MATCH($F675,Reference!$J$45:$J$54,0)</f>
        <v>8</v>
      </c>
      <c r="V675" s="196">
        <f>MATCH($K675,Reference!$J$37:$J$39,0)</f>
        <v>3</v>
      </c>
      <c r="W675" s="197">
        <f t="shared" si="902"/>
        <v>2</v>
      </c>
      <c r="X675" s="197">
        <f t="shared" si="1"/>
        <v>1</v>
      </c>
      <c r="Y675" s="197">
        <f t="shared" si="956"/>
        <v>0</v>
      </c>
      <c r="Z675" s="197">
        <f t="shared" si="904"/>
        <v>2</v>
      </c>
      <c r="AA675" s="199" t="b">
        <f t="shared" si="3"/>
        <v>0</v>
      </c>
      <c r="AB675" s="199" t="b">
        <f t="shared" si="4"/>
        <v>0</v>
      </c>
      <c r="AC675" s="200">
        <f t="shared" ref="AC675:AD675" si="971">1-I675</f>
        <v>0.66999999999999993</v>
      </c>
      <c r="AD675" s="200">
        <f t="shared" si="971"/>
        <v>0.66999999999999993</v>
      </c>
      <c r="AE675" s="199">
        <f t="shared" si="6"/>
        <v>2</v>
      </c>
      <c r="AF675" s="201">
        <f t="shared" si="906"/>
        <v>0</v>
      </c>
      <c r="AG675" s="201">
        <f t="shared" si="8"/>
        <v>1</v>
      </c>
      <c r="AH675" s="202">
        <f t="shared" si="958"/>
        <v>0</v>
      </c>
      <c r="AI675" s="205"/>
      <c r="AJ675" s="173"/>
      <c r="AK675" s="173"/>
      <c r="AL675" s="173"/>
      <c r="AM675" s="173"/>
      <c r="AN675" s="173"/>
      <c r="AO675" s="173"/>
      <c r="AP675" s="173"/>
      <c r="AQ675" s="173"/>
      <c r="AR675" s="173"/>
      <c r="AS675" s="173"/>
      <c r="AT675" s="173"/>
      <c r="AU675" s="173"/>
      <c r="AV675" s="173"/>
    </row>
    <row r="676" spans="1:48" ht="14.25">
      <c r="A676" s="187"/>
      <c r="B676" s="555">
        <v>4</v>
      </c>
      <c r="C676" s="556" t="s">
        <v>1494</v>
      </c>
      <c r="D676" s="557" t="s">
        <v>69</v>
      </c>
      <c r="E676" s="557" t="s">
        <v>82</v>
      </c>
      <c r="F676" s="557" t="s">
        <v>26</v>
      </c>
      <c r="G676" s="558">
        <v>0</v>
      </c>
      <c r="H676" s="558">
        <v>0</v>
      </c>
      <c r="I676" s="559">
        <v>0</v>
      </c>
      <c r="J676" s="559">
        <v>0</v>
      </c>
      <c r="K676" s="557" t="s">
        <v>182</v>
      </c>
      <c r="L676" s="560"/>
      <c r="M676" s="557">
        <v>5</v>
      </c>
      <c r="N676" s="562">
        <v>3</v>
      </c>
      <c r="O676" s="561" t="s">
        <v>1135</v>
      </c>
      <c r="P676" s="422"/>
      <c r="Q676" s="557" t="s">
        <v>148</v>
      </c>
      <c r="R676" s="173"/>
      <c r="S676" s="195">
        <f>MATCH($D676,Reference!$J$5:$J$9,0)</f>
        <v>4</v>
      </c>
      <c r="T676" s="195">
        <f>MATCH($E676,Reference!$J$26:$J$32,0)</f>
        <v>7</v>
      </c>
      <c r="U676" s="195">
        <f>MATCH($F676,Reference!$J$45:$J$54,0)</f>
        <v>9</v>
      </c>
      <c r="V676" s="196">
        <f>MATCH($K676,Reference!$J$37:$J$39,0)</f>
        <v>3</v>
      </c>
      <c r="W676" s="197">
        <f t="shared" si="902"/>
        <v>0</v>
      </c>
      <c r="X676" s="197">
        <f t="shared" si="1"/>
        <v>0</v>
      </c>
      <c r="Y676" s="197">
        <f t="shared" si="956"/>
        <v>0</v>
      </c>
      <c r="Z676" s="197">
        <f t="shared" si="904"/>
        <v>0</v>
      </c>
      <c r="AA676" s="199" t="b">
        <f t="shared" si="3"/>
        <v>1</v>
      </c>
      <c r="AB676" s="199" t="b">
        <f t="shared" si="4"/>
        <v>1</v>
      </c>
      <c r="AC676" s="200">
        <f t="shared" ref="AC676:AD676" si="972">1-I676</f>
        <v>1</v>
      </c>
      <c r="AD676" s="200">
        <f t="shared" si="972"/>
        <v>1</v>
      </c>
      <c r="AE676" s="199">
        <f t="shared" si="6"/>
        <v>2</v>
      </c>
      <c r="AF676" s="201">
        <f t="shared" si="906"/>
        <v>0</v>
      </c>
      <c r="AG676" s="201">
        <f t="shared" si="8"/>
        <v>0</v>
      </c>
      <c r="AH676" s="202">
        <f t="shared" si="958"/>
        <v>0</v>
      </c>
      <c r="AI676" s="205"/>
      <c r="AJ676" s="173"/>
      <c r="AK676" s="173"/>
      <c r="AL676" s="173"/>
      <c r="AM676" s="173"/>
      <c r="AN676" s="173"/>
      <c r="AO676" s="173"/>
      <c r="AP676" s="173"/>
      <c r="AQ676" s="173"/>
      <c r="AR676" s="173"/>
      <c r="AS676" s="173"/>
      <c r="AT676" s="173"/>
      <c r="AU676" s="173"/>
      <c r="AV676" s="173"/>
    </row>
    <row r="677" spans="1:48" ht="14.25">
      <c r="A677" s="187"/>
      <c r="B677" s="555">
        <v>4</v>
      </c>
      <c r="C677" s="556" t="s">
        <v>1495</v>
      </c>
      <c r="D677" s="557" t="s">
        <v>69</v>
      </c>
      <c r="E677" s="557" t="s">
        <v>82</v>
      </c>
      <c r="F677" s="557" t="s">
        <v>20</v>
      </c>
      <c r="G677" s="558">
        <v>0</v>
      </c>
      <c r="H677" s="558">
        <v>0</v>
      </c>
      <c r="I677" s="559">
        <v>0</v>
      </c>
      <c r="J677" s="559">
        <v>0</v>
      </c>
      <c r="K677" s="560" t="s">
        <v>207</v>
      </c>
      <c r="L677" s="560"/>
      <c r="M677" s="560">
        <v>1</v>
      </c>
      <c r="N677" s="560">
        <v>3</v>
      </c>
      <c r="O677" s="561" t="s">
        <v>1496</v>
      </c>
      <c r="P677" s="422"/>
      <c r="Q677" s="557" t="s">
        <v>148</v>
      </c>
      <c r="R677" s="173"/>
      <c r="S677" s="195">
        <f>MATCH($D677,Reference!$J$5:$J$9,0)</f>
        <v>4</v>
      </c>
      <c r="T677" s="195">
        <f>MATCH($E677,Reference!$J$26:$J$32,0)</f>
        <v>7</v>
      </c>
      <c r="U677" s="195">
        <f>MATCH($F677,Reference!$J$45:$J$54,0)</f>
        <v>6</v>
      </c>
      <c r="V677" s="196">
        <f>MATCH($K677,Reference!$J$37:$J$39,0)</f>
        <v>1</v>
      </c>
      <c r="W677" s="197">
        <f t="shared" si="902"/>
        <v>0</v>
      </c>
      <c r="X677" s="197">
        <f t="shared" si="1"/>
        <v>0</v>
      </c>
      <c r="Y677" s="197">
        <f t="shared" si="956"/>
        <v>0</v>
      </c>
      <c r="Z677" s="197">
        <f t="shared" si="904"/>
        <v>0</v>
      </c>
      <c r="AA677" s="199" t="b">
        <f t="shared" si="3"/>
        <v>1</v>
      </c>
      <c r="AB677" s="199" t="b">
        <f t="shared" si="4"/>
        <v>1</v>
      </c>
      <c r="AC677" s="200">
        <f t="shared" ref="AC677:AD677" si="973">1-I677</f>
        <v>1</v>
      </c>
      <c r="AD677" s="200">
        <f t="shared" si="973"/>
        <v>1</v>
      </c>
      <c r="AE677" s="199">
        <f t="shared" si="6"/>
        <v>2</v>
      </c>
      <c r="AF677" s="201">
        <f t="shared" si="906"/>
        <v>0</v>
      </c>
      <c r="AG677" s="201">
        <f t="shared" si="8"/>
        <v>0</v>
      </c>
      <c r="AH677" s="202">
        <f t="shared" si="958"/>
        <v>0</v>
      </c>
      <c r="AI677" s="205"/>
      <c r="AJ677" s="173"/>
      <c r="AK677" s="173"/>
      <c r="AL677" s="173"/>
      <c r="AM677" s="173"/>
      <c r="AN677" s="173"/>
      <c r="AO677" s="173"/>
      <c r="AP677" s="173"/>
      <c r="AQ677" s="173"/>
      <c r="AR677" s="173"/>
      <c r="AS677" s="173"/>
      <c r="AT677" s="173"/>
      <c r="AU677" s="173"/>
      <c r="AV677" s="173"/>
    </row>
    <row r="678" spans="1:48" ht="14.25">
      <c r="A678" s="240"/>
      <c r="B678" s="555">
        <v>4</v>
      </c>
      <c r="C678" s="556" t="s">
        <v>1497</v>
      </c>
      <c r="D678" s="557" t="s">
        <v>69</v>
      </c>
      <c r="E678" s="557" t="s">
        <v>82</v>
      </c>
      <c r="F678" s="557" t="s">
        <v>115</v>
      </c>
      <c r="G678" s="558">
        <v>2</v>
      </c>
      <c r="H678" s="558">
        <v>0</v>
      </c>
      <c r="I678" s="559">
        <v>1</v>
      </c>
      <c r="J678" s="559">
        <v>1</v>
      </c>
      <c r="K678" s="560" t="s">
        <v>182</v>
      </c>
      <c r="L678" s="560" t="s">
        <v>415</v>
      </c>
      <c r="M678" s="560">
        <v>2</v>
      </c>
      <c r="N678" s="560">
        <v>6</v>
      </c>
      <c r="O678" s="561" t="s">
        <v>1498</v>
      </c>
      <c r="P678" s="563" t="s">
        <v>184</v>
      </c>
      <c r="Q678" s="557" t="s">
        <v>148</v>
      </c>
      <c r="R678" s="173"/>
      <c r="S678" s="195">
        <f>MATCH($D678,Reference!$J$5:$J$9,0)</f>
        <v>4</v>
      </c>
      <c r="T678" s="195">
        <f>MATCH($E678,Reference!$J$26:$J$32,0)</f>
        <v>7</v>
      </c>
      <c r="U678" s="195">
        <f>MATCH($F678,Reference!$J$45:$J$54,0)</f>
        <v>10</v>
      </c>
      <c r="V678" s="196">
        <f>MATCH($K678,Reference!$J$37:$J$39,0)</f>
        <v>3</v>
      </c>
      <c r="W678" s="197">
        <f t="shared" si="902"/>
        <v>2</v>
      </c>
      <c r="X678" s="197">
        <f t="shared" si="1"/>
        <v>1</v>
      </c>
      <c r="Y678" s="197">
        <f t="shared" si="956"/>
        <v>0</v>
      </c>
      <c r="Z678" s="197">
        <f t="shared" si="904"/>
        <v>2</v>
      </c>
      <c r="AA678" s="199" t="b">
        <f t="shared" si="3"/>
        <v>0</v>
      </c>
      <c r="AB678" s="199" t="b">
        <f t="shared" si="4"/>
        <v>0</v>
      </c>
      <c r="AC678" s="200">
        <f t="shared" ref="AC678:AD678" si="974">1-I678</f>
        <v>0</v>
      </c>
      <c r="AD678" s="200">
        <f t="shared" si="974"/>
        <v>0</v>
      </c>
      <c r="AE678" s="199">
        <f t="shared" si="6"/>
        <v>2</v>
      </c>
      <c r="AF678" s="201">
        <f t="shared" si="906"/>
        <v>0</v>
      </c>
      <c r="AG678" s="201">
        <f t="shared" si="8"/>
        <v>1</v>
      </c>
      <c r="AH678" s="202">
        <f t="shared" si="958"/>
        <v>0</v>
      </c>
      <c r="AI678" s="205"/>
      <c r="AJ678" s="173"/>
      <c r="AK678" s="173"/>
      <c r="AL678" s="173"/>
      <c r="AM678" s="173"/>
      <c r="AN678" s="173"/>
      <c r="AO678" s="173"/>
      <c r="AP678" s="173"/>
      <c r="AQ678" s="173"/>
      <c r="AR678" s="173"/>
      <c r="AS678" s="173"/>
      <c r="AT678" s="173"/>
      <c r="AU678" s="173"/>
      <c r="AV678" s="173"/>
    </row>
    <row r="679" spans="1:48" ht="14.25">
      <c r="A679" s="206"/>
      <c r="B679" s="555">
        <v>5</v>
      </c>
      <c r="C679" s="556" t="s">
        <v>1499</v>
      </c>
      <c r="D679" s="557" t="s">
        <v>69</v>
      </c>
      <c r="E679" s="557" t="s">
        <v>82</v>
      </c>
      <c r="F679" s="557" t="s">
        <v>115</v>
      </c>
      <c r="G679" s="558">
        <v>1</v>
      </c>
      <c r="H679" s="558">
        <v>0</v>
      </c>
      <c r="I679" s="559">
        <v>0</v>
      </c>
      <c r="J679" s="559">
        <v>0</v>
      </c>
      <c r="K679" s="560" t="s">
        <v>182</v>
      </c>
      <c r="L679" s="560"/>
      <c r="M679" s="560">
        <v>5</v>
      </c>
      <c r="N679" s="560">
        <v>4</v>
      </c>
      <c r="O679" s="561" t="s">
        <v>1500</v>
      </c>
      <c r="P679" s="563" t="s">
        <v>1374</v>
      </c>
      <c r="Q679" s="557" t="s">
        <v>148</v>
      </c>
      <c r="R679" s="173"/>
      <c r="S679" s="195">
        <f>MATCH($D679,Reference!$J$5:$J$9,0)</f>
        <v>4</v>
      </c>
      <c r="T679" s="195">
        <f>MATCH($E679,Reference!$J$26:$J$32,0)</f>
        <v>7</v>
      </c>
      <c r="U679" s="195">
        <f>MATCH($F679,Reference!$J$45:$J$54,0)</f>
        <v>10</v>
      </c>
      <c r="V679" s="196">
        <f>MATCH($K679,Reference!$J$37:$J$39,0)</f>
        <v>3</v>
      </c>
      <c r="W679" s="197">
        <f t="shared" si="902"/>
        <v>1</v>
      </c>
      <c r="X679" s="197">
        <f t="shared" si="1"/>
        <v>1</v>
      </c>
      <c r="Y679" s="197">
        <f t="shared" si="956"/>
        <v>0</v>
      </c>
      <c r="Z679" s="197">
        <f t="shared" si="904"/>
        <v>1</v>
      </c>
      <c r="AA679" s="199" t="b">
        <f t="shared" si="3"/>
        <v>0</v>
      </c>
      <c r="AB679" s="199" t="b">
        <f t="shared" si="4"/>
        <v>1</v>
      </c>
      <c r="AC679" s="200">
        <f t="shared" ref="AC679:AD679" si="975">1-I679</f>
        <v>1</v>
      </c>
      <c r="AD679" s="200">
        <f t="shared" si="975"/>
        <v>1</v>
      </c>
      <c r="AE679" s="199">
        <f t="shared" si="6"/>
        <v>2</v>
      </c>
      <c r="AF679" s="201">
        <f t="shared" si="906"/>
        <v>0</v>
      </c>
      <c r="AG679" s="201">
        <f t="shared" si="8"/>
        <v>1</v>
      </c>
      <c r="AH679" s="202">
        <f t="shared" si="958"/>
        <v>0</v>
      </c>
      <c r="AI679" s="205"/>
      <c r="AJ679" s="173"/>
      <c r="AK679" s="173"/>
      <c r="AL679" s="173"/>
      <c r="AM679" s="173"/>
      <c r="AN679" s="173"/>
      <c r="AO679" s="173"/>
      <c r="AP679" s="173"/>
      <c r="AQ679" s="173"/>
      <c r="AR679" s="173"/>
      <c r="AS679" s="173"/>
      <c r="AT679" s="173"/>
      <c r="AU679" s="173"/>
      <c r="AV679" s="173"/>
    </row>
    <row r="680" spans="1:48" ht="14.25">
      <c r="A680" s="187"/>
      <c r="B680" s="555">
        <v>6</v>
      </c>
      <c r="C680" s="556" t="s">
        <v>1501</v>
      </c>
      <c r="D680" s="557" t="s">
        <v>69</v>
      </c>
      <c r="E680" s="557" t="s">
        <v>82</v>
      </c>
      <c r="F680" s="557" t="s">
        <v>13</v>
      </c>
      <c r="G680" s="558">
        <v>1</v>
      </c>
      <c r="H680" s="558">
        <v>0</v>
      </c>
      <c r="I680" s="559">
        <v>1</v>
      </c>
      <c r="J680" s="559">
        <v>1</v>
      </c>
      <c r="K680" s="560" t="s">
        <v>182</v>
      </c>
      <c r="L680" s="560" t="s">
        <v>415</v>
      </c>
      <c r="M680" s="560">
        <v>6</v>
      </c>
      <c r="N680" s="560">
        <v>6</v>
      </c>
      <c r="O680" s="561" t="s">
        <v>1502</v>
      </c>
      <c r="P680" s="422"/>
      <c r="Q680" s="557" t="s">
        <v>148</v>
      </c>
      <c r="R680" s="173"/>
      <c r="S680" s="195">
        <f>MATCH($D680,Reference!$J$5:$J$9,0)</f>
        <v>4</v>
      </c>
      <c r="T680" s="195">
        <f>MATCH($E680,Reference!$J$26:$J$32,0)</f>
        <v>7</v>
      </c>
      <c r="U680" s="195">
        <f>MATCH($F680,Reference!$J$45:$J$54,0)</f>
        <v>3</v>
      </c>
      <c r="V680" s="196">
        <f>MATCH($K680,Reference!$J$37:$J$39,0)</f>
        <v>3</v>
      </c>
      <c r="W680" s="197">
        <f t="shared" si="902"/>
        <v>1</v>
      </c>
      <c r="X680" s="197">
        <f t="shared" si="1"/>
        <v>1</v>
      </c>
      <c r="Y680" s="197">
        <f t="shared" si="956"/>
        <v>0</v>
      </c>
      <c r="Z680" s="197">
        <f t="shared" si="904"/>
        <v>1</v>
      </c>
      <c r="AA680" s="199" t="b">
        <f t="shared" si="3"/>
        <v>0</v>
      </c>
      <c r="AB680" s="199" t="b">
        <f t="shared" si="4"/>
        <v>1</v>
      </c>
      <c r="AC680" s="200">
        <f t="shared" ref="AC680:AD680" si="976">1-I680</f>
        <v>0</v>
      </c>
      <c r="AD680" s="200">
        <f t="shared" si="976"/>
        <v>0</v>
      </c>
      <c r="AE680" s="199">
        <f t="shared" si="6"/>
        <v>1</v>
      </c>
      <c r="AF680" s="201">
        <f t="shared" si="906"/>
        <v>0</v>
      </c>
      <c r="AG680" s="201">
        <f t="shared" si="8"/>
        <v>1</v>
      </c>
      <c r="AH680" s="202">
        <f t="shared" si="958"/>
        <v>0</v>
      </c>
      <c r="AI680" s="205"/>
      <c r="AJ680" s="173"/>
      <c r="AK680" s="173"/>
      <c r="AL680" s="173"/>
      <c r="AM680" s="173"/>
      <c r="AN680" s="173"/>
      <c r="AO680" s="173"/>
      <c r="AP680" s="173"/>
      <c r="AQ680" s="173"/>
      <c r="AR680" s="173"/>
      <c r="AS680" s="173"/>
      <c r="AT680" s="173"/>
      <c r="AU680" s="173"/>
      <c r="AV680" s="173"/>
    </row>
    <row r="681" spans="1:48" ht="14.25">
      <c r="A681" s="187"/>
      <c r="B681" s="555">
        <v>6</v>
      </c>
      <c r="C681" s="556" t="s">
        <v>1503</v>
      </c>
      <c r="D681" s="557" t="s">
        <v>69</v>
      </c>
      <c r="E681" s="557" t="s">
        <v>82</v>
      </c>
      <c r="F681" s="557" t="s">
        <v>25</v>
      </c>
      <c r="G681" s="558">
        <v>2</v>
      </c>
      <c r="H681" s="558">
        <v>0</v>
      </c>
      <c r="I681" s="559">
        <v>0.33</v>
      </c>
      <c r="J681" s="559">
        <v>0.33</v>
      </c>
      <c r="K681" s="560" t="s">
        <v>146</v>
      </c>
      <c r="L681" s="560"/>
      <c r="M681" s="560"/>
      <c r="N681" s="560"/>
      <c r="O681" s="561" t="s">
        <v>1504</v>
      </c>
      <c r="P681" s="422"/>
      <c r="Q681" s="557" t="s">
        <v>148</v>
      </c>
      <c r="R681" s="173"/>
      <c r="S681" s="195">
        <f>MATCH($D681,Reference!$J$5:$J$9,0)</f>
        <v>4</v>
      </c>
      <c r="T681" s="195">
        <f>MATCH($E681,Reference!$J$26:$J$32,0)</f>
        <v>7</v>
      </c>
      <c r="U681" s="195">
        <f>MATCH($F681,Reference!$J$45:$J$54,0)</f>
        <v>8</v>
      </c>
      <c r="V681" s="196">
        <f>MATCH($K681,Reference!$J$37:$J$39,0)</f>
        <v>2</v>
      </c>
      <c r="W681" s="197">
        <f t="shared" si="902"/>
        <v>2</v>
      </c>
      <c r="X681" s="197">
        <f t="shared" si="1"/>
        <v>1</v>
      </c>
      <c r="Y681" s="197">
        <f t="shared" si="956"/>
        <v>0</v>
      </c>
      <c r="Z681" s="197">
        <f t="shared" si="904"/>
        <v>2</v>
      </c>
      <c r="AA681" s="199" t="b">
        <f t="shared" si="3"/>
        <v>0</v>
      </c>
      <c r="AB681" s="199" t="b">
        <f t="shared" si="4"/>
        <v>0</v>
      </c>
      <c r="AC681" s="200">
        <f t="shared" ref="AC681:AD681" si="977">1-I681</f>
        <v>0.66999999999999993</v>
      </c>
      <c r="AD681" s="200">
        <f t="shared" si="977"/>
        <v>0.66999999999999993</v>
      </c>
      <c r="AE681" s="199">
        <f t="shared" si="6"/>
        <v>2</v>
      </c>
      <c r="AF681" s="201">
        <f t="shared" si="906"/>
        <v>0</v>
      </c>
      <c r="AG681" s="201">
        <f t="shared" si="8"/>
        <v>1</v>
      </c>
      <c r="AH681" s="202">
        <f t="shared" si="958"/>
        <v>0</v>
      </c>
      <c r="AI681" s="205"/>
      <c r="AJ681" s="173"/>
      <c r="AK681" s="173"/>
      <c r="AL681" s="173"/>
      <c r="AM681" s="173"/>
      <c r="AN681" s="173"/>
      <c r="AO681" s="173"/>
      <c r="AP681" s="173"/>
      <c r="AQ681" s="173"/>
      <c r="AR681" s="173"/>
      <c r="AS681" s="173"/>
      <c r="AT681" s="173"/>
      <c r="AU681" s="173"/>
      <c r="AV681" s="173"/>
    </row>
    <row r="682" spans="1:48" ht="14.25">
      <c r="A682" s="240"/>
      <c r="B682" s="555">
        <v>6</v>
      </c>
      <c r="C682" s="556" t="s">
        <v>1505</v>
      </c>
      <c r="D682" s="557" t="s">
        <v>69</v>
      </c>
      <c r="E682" s="557" t="s">
        <v>82</v>
      </c>
      <c r="F682" s="557" t="s">
        <v>16</v>
      </c>
      <c r="G682" s="558">
        <v>2</v>
      </c>
      <c r="H682" s="558">
        <v>0</v>
      </c>
      <c r="I682" s="559">
        <v>0</v>
      </c>
      <c r="J682" s="559">
        <v>0</v>
      </c>
      <c r="K682" s="560" t="s">
        <v>146</v>
      </c>
      <c r="L682" s="560"/>
      <c r="M682" s="560"/>
      <c r="N682" s="560"/>
      <c r="O682" s="561" t="s">
        <v>1506</v>
      </c>
      <c r="P682" s="422"/>
      <c r="Q682" s="557" t="s">
        <v>148</v>
      </c>
      <c r="R682" s="173"/>
      <c r="S682" s="195">
        <f>MATCH($D682,Reference!$J$5:$J$9,0)</f>
        <v>4</v>
      </c>
      <c r="T682" s="195">
        <f>MATCH($E682,Reference!$J$26:$J$32,0)</f>
        <v>7</v>
      </c>
      <c r="U682" s="195">
        <f>MATCH($F682,Reference!$J$45:$J$54,0)</f>
        <v>4</v>
      </c>
      <c r="V682" s="196">
        <f>MATCH($K682,Reference!$J$37:$J$39,0)</f>
        <v>2</v>
      </c>
      <c r="W682" s="197">
        <f t="shared" si="902"/>
        <v>2</v>
      </c>
      <c r="X682" s="197">
        <f t="shared" si="1"/>
        <v>1</v>
      </c>
      <c r="Y682" s="197">
        <f t="shared" si="956"/>
        <v>0</v>
      </c>
      <c r="Z682" s="197">
        <f t="shared" si="904"/>
        <v>2</v>
      </c>
      <c r="AA682" s="199" t="b">
        <f t="shared" si="3"/>
        <v>0</v>
      </c>
      <c r="AB682" s="199" t="b">
        <f t="shared" si="4"/>
        <v>0</v>
      </c>
      <c r="AC682" s="200">
        <f t="shared" ref="AC682:AD682" si="978">1-I682</f>
        <v>1</v>
      </c>
      <c r="AD682" s="200">
        <f t="shared" si="978"/>
        <v>1</v>
      </c>
      <c r="AE682" s="199">
        <f t="shared" si="6"/>
        <v>2</v>
      </c>
      <c r="AF682" s="201">
        <f t="shared" si="906"/>
        <v>0</v>
      </c>
      <c r="AG682" s="201">
        <f t="shared" si="8"/>
        <v>1</v>
      </c>
      <c r="AH682" s="202">
        <f t="shared" si="958"/>
        <v>0</v>
      </c>
      <c r="AI682" s="205"/>
      <c r="AJ682" s="173"/>
      <c r="AK682" s="173"/>
      <c r="AL682" s="173"/>
      <c r="AM682" s="173"/>
      <c r="AN682" s="173"/>
      <c r="AO682" s="173"/>
      <c r="AP682" s="173"/>
      <c r="AQ682" s="173"/>
      <c r="AR682" s="173"/>
      <c r="AS682" s="173"/>
      <c r="AT682" s="173"/>
      <c r="AU682" s="173"/>
      <c r="AV682" s="173"/>
    </row>
    <row r="683" spans="1:48" ht="14.25">
      <c r="A683" s="187"/>
      <c r="B683" s="555">
        <v>6</v>
      </c>
      <c r="C683" s="556" t="s">
        <v>1507</v>
      </c>
      <c r="D683" s="557" t="s">
        <v>69</v>
      </c>
      <c r="E683" s="557" t="s">
        <v>82</v>
      </c>
      <c r="F683" s="557" t="s">
        <v>115</v>
      </c>
      <c r="G683" s="558">
        <v>2</v>
      </c>
      <c r="H683" s="558">
        <v>0</v>
      </c>
      <c r="I683" s="559">
        <v>0</v>
      </c>
      <c r="J683" s="559">
        <v>0</v>
      </c>
      <c r="K683" s="560" t="s">
        <v>182</v>
      </c>
      <c r="L683" s="560"/>
      <c r="M683" s="560">
        <v>5</v>
      </c>
      <c r="N683" s="560">
        <v>5</v>
      </c>
      <c r="O683" s="561" t="s">
        <v>1508</v>
      </c>
      <c r="P683" s="563" t="s">
        <v>184</v>
      </c>
      <c r="Q683" s="557" t="s">
        <v>148</v>
      </c>
      <c r="R683" s="173"/>
      <c r="S683" s="195">
        <f>MATCH($D683,Reference!$J$5:$J$9,0)</f>
        <v>4</v>
      </c>
      <c r="T683" s="195">
        <f>MATCH($E683,Reference!$J$26:$J$32,0)</f>
        <v>7</v>
      </c>
      <c r="U683" s="195">
        <f>MATCH($F683,Reference!$J$45:$J$54,0)</f>
        <v>10</v>
      </c>
      <c r="V683" s="196">
        <f>MATCH($K683,Reference!$J$37:$J$39,0)</f>
        <v>3</v>
      </c>
      <c r="W683" s="197">
        <f t="shared" si="902"/>
        <v>2</v>
      </c>
      <c r="X683" s="197">
        <f t="shared" si="1"/>
        <v>1</v>
      </c>
      <c r="Y683" s="197">
        <f t="shared" si="956"/>
        <v>0</v>
      </c>
      <c r="Z683" s="197">
        <f t="shared" si="904"/>
        <v>2</v>
      </c>
      <c r="AA683" s="199" t="b">
        <f t="shared" si="3"/>
        <v>0</v>
      </c>
      <c r="AB683" s="199" t="b">
        <f t="shared" si="4"/>
        <v>0</v>
      </c>
      <c r="AC683" s="200">
        <f t="shared" ref="AC683:AD683" si="979">1-I683</f>
        <v>1</v>
      </c>
      <c r="AD683" s="200">
        <f t="shared" si="979"/>
        <v>1</v>
      </c>
      <c r="AE683" s="199">
        <f t="shared" si="6"/>
        <v>2</v>
      </c>
      <c r="AF683" s="201">
        <f t="shared" si="906"/>
        <v>0</v>
      </c>
      <c r="AG683" s="201">
        <f t="shared" si="8"/>
        <v>1</v>
      </c>
      <c r="AH683" s="202">
        <f t="shared" si="958"/>
        <v>0</v>
      </c>
      <c r="AI683" s="205"/>
      <c r="AJ683" s="173"/>
      <c r="AK683" s="173"/>
      <c r="AL683" s="173"/>
      <c r="AM683" s="173"/>
      <c r="AN683" s="173"/>
      <c r="AO683" s="173"/>
      <c r="AP683" s="173"/>
      <c r="AQ683" s="173"/>
      <c r="AR683" s="173"/>
      <c r="AS683" s="173"/>
      <c r="AT683" s="173"/>
      <c r="AU683" s="173"/>
      <c r="AV683" s="173"/>
    </row>
    <row r="684" spans="1:48" ht="14.25">
      <c r="A684" s="187"/>
      <c r="B684" s="555">
        <v>6</v>
      </c>
      <c r="C684" s="556" t="s">
        <v>1509</v>
      </c>
      <c r="D684" s="557" t="s">
        <v>69</v>
      </c>
      <c r="E684" s="557" t="s">
        <v>82</v>
      </c>
      <c r="F684" s="557" t="s">
        <v>115</v>
      </c>
      <c r="G684" s="558">
        <v>0</v>
      </c>
      <c r="H684" s="558">
        <v>0</v>
      </c>
      <c r="I684" s="559">
        <v>0.33</v>
      </c>
      <c r="J684" s="559">
        <v>0.33</v>
      </c>
      <c r="K684" s="560" t="s">
        <v>182</v>
      </c>
      <c r="L684" s="560"/>
      <c r="M684" s="560">
        <v>3</v>
      </c>
      <c r="N684" s="560">
        <v>5</v>
      </c>
      <c r="O684" s="561" t="s">
        <v>1510</v>
      </c>
      <c r="P684" s="563" t="s">
        <v>1374</v>
      </c>
      <c r="Q684" s="557" t="s">
        <v>148</v>
      </c>
      <c r="R684" s="173"/>
      <c r="S684" s="195">
        <f>MATCH($D684,Reference!$J$5:$J$9,0)</f>
        <v>4</v>
      </c>
      <c r="T684" s="195">
        <f>MATCH($E684,Reference!$J$26:$J$32,0)</f>
        <v>7</v>
      </c>
      <c r="U684" s="195">
        <f>MATCH($F684,Reference!$J$45:$J$54,0)</f>
        <v>10</v>
      </c>
      <c r="V684" s="196">
        <f>MATCH($K684,Reference!$J$37:$J$39,0)</f>
        <v>3</v>
      </c>
      <c r="W684" s="197">
        <f t="shared" si="902"/>
        <v>0</v>
      </c>
      <c r="X684" s="197">
        <f t="shared" si="1"/>
        <v>0</v>
      </c>
      <c r="Y684" s="197">
        <f t="shared" si="956"/>
        <v>0</v>
      </c>
      <c r="Z684" s="197">
        <f t="shared" si="904"/>
        <v>0</v>
      </c>
      <c r="AA684" s="199" t="b">
        <f t="shared" si="3"/>
        <v>1</v>
      </c>
      <c r="AB684" s="199" t="b">
        <f t="shared" si="4"/>
        <v>1</v>
      </c>
      <c r="AC684" s="200">
        <f t="shared" ref="AC684:AD684" si="980">1-I684</f>
        <v>0.66999999999999993</v>
      </c>
      <c r="AD684" s="200">
        <f t="shared" si="980"/>
        <v>0.66999999999999993</v>
      </c>
      <c r="AE684" s="199">
        <f t="shared" si="6"/>
        <v>1.3399999999999999</v>
      </c>
      <c r="AF684" s="201">
        <f t="shared" si="906"/>
        <v>0</v>
      </c>
      <c r="AG684" s="201">
        <f t="shared" si="8"/>
        <v>0</v>
      </c>
      <c r="AH684" s="202">
        <f t="shared" si="958"/>
        <v>0</v>
      </c>
      <c r="AI684" s="205"/>
      <c r="AJ684" s="173"/>
      <c r="AK684" s="173"/>
      <c r="AL684" s="173"/>
      <c r="AM684" s="173"/>
      <c r="AN684" s="173"/>
      <c r="AO684" s="173"/>
      <c r="AP684" s="173"/>
      <c r="AQ684" s="173"/>
      <c r="AR684" s="173"/>
      <c r="AS684" s="173"/>
      <c r="AT684" s="173"/>
      <c r="AU684" s="173"/>
      <c r="AV684" s="173"/>
    </row>
    <row r="685" spans="1:48" ht="14.25">
      <c r="A685" s="187"/>
      <c r="B685" s="555">
        <v>6</v>
      </c>
      <c r="C685" s="556" t="s">
        <v>1511</v>
      </c>
      <c r="D685" s="557" t="s">
        <v>69</v>
      </c>
      <c r="E685" s="557" t="s">
        <v>82</v>
      </c>
      <c r="F685" s="557" t="s">
        <v>16</v>
      </c>
      <c r="G685" s="558">
        <v>2</v>
      </c>
      <c r="H685" s="558">
        <v>0</v>
      </c>
      <c r="I685" s="559">
        <v>1</v>
      </c>
      <c r="J685" s="559">
        <v>1</v>
      </c>
      <c r="K685" s="557" t="s">
        <v>182</v>
      </c>
      <c r="L685" s="560"/>
      <c r="M685" s="557">
        <v>6</v>
      </c>
      <c r="N685" s="562">
        <v>6</v>
      </c>
      <c r="O685" s="561" t="s">
        <v>1512</v>
      </c>
      <c r="P685" s="563" t="s">
        <v>184</v>
      </c>
      <c r="Q685" s="557" t="s">
        <v>148</v>
      </c>
      <c r="R685" s="173"/>
      <c r="S685" s="195">
        <f>MATCH($D685,Reference!$J$5:$J$9,0)</f>
        <v>4</v>
      </c>
      <c r="T685" s="195">
        <f>MATCH($E685,Reference!$J$26:$J$32,0)</f>
        <v>7</v>
      </c>
      <c r="U685" s="195">
        <f>MATCH($F685,Reference!$J$45:$J$54,0)</f>
        <v>4</v>
      </c>
      <c r="V685" s="196">
        <f>MATCH($K685,Reference!$J$37:$J$39,0)</f>
        <v>3</v>
      </c>
      <c r="W685" s="197">
        <f t="shared" si="902"/>
        <v>2</v>
      </c>
      <c r="X685" s="197">
        <f t="shared" si="1"/>
        <v>1</v>
      </c>
      <c r="Y685" s="197">
        <f t="shared" si="956"/>
        <v>0</v>
      </c>
      <c r="Z685" s="197">
        <f t="shared" si="904"/>
        <v>2</v>
      </c>
      <c r="AA685" s="199" t="b">
        <f t="shared" si="3"/>
        <v>0</v>
      </c>
      <c r="AB685" s="199" t="b">
        <f t="shared" si="4"/>
        <v>0</v>
      </c>
      <c r="AC685" s="200">
        <f t="shared" ref="AC685:AD685" si="981">1-I685</f>
        <v>0</v>
      </c>
      <c r="AD685" s="200">
        <f t="shared" si="981"/>
        <v>0</v>
      </c>
      <c r="AE685" s="199">
        <f t="shared" si="6"/>
        <v>2</v>
      </c>
      <c r="AF685" s="201">
        <f t="shared" si="906"/>
        <v>0</v>
      </c>
      <c r="AG685" s="201">
        <f t="shared" si="8"/>
        <v>1</v>
      </c>
      <c r="AH685" s="202">
        <f t="shared" si="958"/>
        <v>0</v>
      </c>
      <c r="AI685" s="205"/>
      <c r="AJ685" s="173"/>
      <c r="AK685" s="173"/>
      <c r="AL685" s="173"/>
      <c r="AM685" s="173"/>
      <c r="AN685" s="173"/>
      <c r="AO685" s="173"/>
      <c r="AP685" s="173"/>
      <c r="AQ685" s="173"/>
      <c r="AR685" s="173"/>
      <c r="AS685" s="173"/>
      <c r="AT685" s="173"/>
      <c r="AU685" s="173"/>
      <c r="AV685" s="173"/>
    </row>
    <row r="686" spans="1:48" ht="14.25">
      <c r="A686" s="240"/>
      <c r="B686" s="555">
        <v>6</v>
      </c>
      <c r="C686" s="561" t="s">
        <v>1513</v>
      </c>
      <c r="D686" s="557" t="s">
        <v>69</v>
      </c>
      <c r="E686" s="557" t="s">
        <v>82</v>
      </c>
      <c r="F686" s="557" t="s">
        <v>26</v>
      </c>
      <c r="G686" s="558">
        <v>0</v>
      </c>
      <c r="H686" s="558">
        <v>0</v>
      </c>
      <c r="I686" s="559">
        <v>0</v>
      </c>
      <c r="J686" s="559">
        <v>0</v>
      </c>
      <c r="K686" s="560" t="s">
        <v>182</v>
      </c>
      <c r="L686" s="560"/>
      <c r="M686" s="560">
        <v>6</v>
      </c>
      <c r="N686" s="560">
        <v>7</v>
      </c>
      <c r="O686" s="561" t="s">
        <v>1514</v>
      </c>
      <c r="P686" s="422"/>
      <c r="Q686" s="557" t="s">
        <v>148</v>
      </c>
      <c r="R686" s="173"/>
      <c r="S686" s="195">
        <f>MATCH($D686,Reference!$J$5:$J$9,0)</f>
        <v>4</v>
      </c>
      <c r="T686" s="195">
        <f>MATCH($E686,Reference!$J$26:$J$32,0)</f>
        <v>7</v>
      </c>
      <c r="U686" s="195">
        <f>MATCH($F686,Reference!$J$45:$J$54,0)</f>
        <v>9</v>
      </c>
      <c r="V686" s="196">
        <f>MATCH($K686,Reference!$J$37:$J$39,0)</f>
        <v>3</v>
      </c>
      <c r="W686" s="197">
        <f t="shared" si="902"/>
        <v>0</v>
      </c>
      <c r="X686" s="197">
        <f t="shared" si="1"/>
        <v>0</v>
      </c>
      <c r="Y686" s="197">
        <f t="shared" si="956"/>
        <v>0</v>
      </c>
      <c r="Z686" s="197">
        <f t="shared" si="904"/>
        <v>0</v>
      </c>
      <c r="AA686" s="199" t="b">
        <f t="shared" si="3"/>
        <v>1</v>
      </c>
      <c r="AB686" s="199" t="b">
        <f t="shared" si="4"/>
        <v>1</v>
      </c>
      <c r="AC686" s="200">
        <f t="shared" ref="AC686:AD686" si="982">1-I686</f>
        <v>1</v>
      </c>
      <c r="AD686" s="200">
        <f t="shared" si="982"/>
        <v>1</v>
      </c>
      <c r="AE686" s="199">
        <f t="shared" si="6"/>
        <v>2</v>
      </c>
      <c r="AF686" s="201">
        <f t="shared" si="906"/>
        <v>0</v>
      </c>
      <c r="AG686" s="201">
        <f t="shared" si="8"/>
        <v>0</v>
      </c>
      <c r="AH686" s="202">
        <f t="shared" si="958"/>
        <v>0</v>
      </c>
      <c r="AI686" s="205"/>
      <c r="AJ686" s="173"/>
      <c r="AK686" s="173"/>
      <c r="AL686" s="173"/>
      <c r="AM686" s="173"/>
      <c r="AN686" s="173"/>
      <c r="AO686" s="173"/>
      <c r="AP686" s="173"/>
      <c r="AQ686" s="173"/>
      <c r="AR686" s="173"/>
      <c r="AS686" s="173"/>
      <c r="AT686" s="173"/>
      <c r="AU686" s="173"/>
      <c r="AV686" s="173"/>
    </row>
    <row r="687" spans="1:48" ht="14.25">
      <c r="A687" s="187"/>
      <c r="B687" s="555">
        <v>6</v>
      </c>
      <c r="C687" s="556" t="s">
        <v>1515</v>
      </c>
      <c r="D687" s="557" t="s">
        <v>69</v>
      </c>
      <c r="E687" s="557" t="s">
        <v>82</v>
      </c>
      <c r="F687" s="557" t="s">
        <v>115</v>
      </c>
      <c r="G687" s="558">
        <v>1</v>
      </c>
      <c r="H687" s="558">
        <v>0</v>
      </c>
      <c r="I687" s="559">
        <v>0</v>
      </c>
      <c r="J687" s="559">
        <v>0</v>
      </c>
      <c r="K687" s="560" t="s">
        <v>182</v>
      </c>
      <c r="L687" s="560"/>
      <c r="M687" s="560">
        <v>6</v>
      </c>
      <c r="N687" s="560">
        <v>5</v>
      </c>
      <c r="O687" s="561" t="s">
        <v>1516</v>
      </c>
      <c r="P687" s="563" t="s">
        <v>184</v>
      </c>
      <c r="Q687" s="557" t="s">
        <v>148</v>
      </c>
      <c r="R687" s="173"/>
      <c r="S687" s="195">
        <f>MATCH($D687,Reference!$J$5:$J$9,0)</f>
        <v>4</v>
      </c>
      <c r="T687" s="195">
        <f>MATCH($E687,Reference!$J$26:$J$32,0)</f>
        <v>7</v>
      </c>
      <c r="U687" s="195">
        <f>MATCH($F687,Reference!$J$45:$J$54,0)</f>
        <v>10</v>
      </c>
      <c r="V687" s="196">
        <f>MATCH($K687,Reference!$J$37:$J$39,0)</f>
        <v>3</v>
      </c>
      <c r="W687" s="197">
        <f t="shared" si="902"/>
        <v>1</v>
      </c>
      <c r="X687" s="197">
        <f t="shared" si="1"/>
        <v>1</v>
      </c>
      <c r="Y687" s="197">
        <f t="shared" si="956"/>
        <v>0</v>
      </c>
      <c r="Z687" s="197">
        <f t="shared" si="904"/>
        <v>1</v>
      </c>
      <c r="AA687" s="199" t="b">
        <f t="shared" si="3"/>
        <v>0</v>
      </c>
      <c r="AB687" s="199" t="b">
        <f t="shared" si="4"/>
        <v>1</v>
      </c>
      <c r="AC687" s="200">
        <f t="shared" ref="AC687:AD687" si="983">1-I687</f>
        <v>1</v>
      </c>
      <c r="AD687" s="200">
        <f t="shared" si="983"/>
        <v>1</v>
      </c>
      <c r="AE687" s="199">
        <f t="shared" si="6"/>
        <v>2</v>
      </c>
      <c r="AF687" s="201">
        <f t="shared" si="906"/>
        <v>0</v>
      </c>
      <c r="AG687" s="201">
        <f t="shared" si="8"/>
        <v>1</v>
      </c>
      <c r="AH687" s="202">
        <f t="shared" si="958"/>
        <v>0</v>
      </c>
      <c r="AI687" s="205"/>
      <c r="AJ687" s="173"/>
      <c r="AK687" s="173"/>
      <c r="AL687" s="173"/>
      <c r="AM687" s="173"/>
      <c r="AN687" s="173"/>
      <c r="AO687" s="173"/>
      <c r="AP687" s="173"/>
      <c r="AQ687" s="173"/>
      <c r="AR687" s="173"/>
      <c r="AS687" s="173"/>
      <c r="AT687" s="173"/>
      <c r="AU687" s="173"/>
      <c r="AV687" s="173"/>
    </row>
    <row r="688" spans="1:48" ht="14.25">
      <c r="A688" s="187"/>
      <c r="B688" s="555">
        <v>10</v>
      </c>
      <c r="C688" s="556" t="s">
        <v>1517</v>
      </c>
      <c r="D688" s="557" t="s">
        <v>69</v>
      </c>
      <c r="E688" s="557" t="s">
        <v>82</v>
      </c>
      <c r="F688" s="557" t="s">
        <v>115</v>
      </c>
      <c r="G688" s="558">
        <v>2</v>
      </c>
      <c r="H688" s="558">
        <v>0</v>
      </c>
      <c r="I688" s="559">
        <v>1</v>
      </c>
      <c r="J688" s="559">
        <v>0.33</v>
      </c>
      <c r="K688" s="560" t="s">
        <v>182</v>
      </c>
      <c r="L688" s="560"/>
      <c r="M688" s="560">
        <v>8</v>
      </c>
      <c r="N688" s="560">
        <v>8</v>
      </c>
      <c r="O688" s="561" t="s">
        <v>1518</v>
      </c>
      <c r="P688" s="422"/>
      <c r="Q688" s="557" t="s">
        <v>148</v>
      </c>
      <c r="R688" s="173"/>
      <c r="S688" s="195">
        <f>MATCH($D688,Reference!$J$5:$J$9,0)</f>
        <v>4</v>
      </c>
      <c r="T688" s="195">
        <f>MATCH($E688,Reference!$J$26:$J$32,0)</f>
        <v>7</v>
      </c>
      <c r="U688" s="195">
        <f>MATCH($F688,Reference!$J$45:$J$54,0)</f>
        <v>10</v>
      </c>
      <c r="V688" s="196">
        <f>MATCH($K688,Reference!$J$37:$J$39,0)</f>
        <v>3</v>
      </c>
      <c r="W688" s="197">
        <f t="shared" si="902"/>
        <v>2</v>
      </c>
      <c r="X688" s="197">
        <f t="shared" si="1"/>
        <v>1</v>
      </c>
      <c r="Y688" s="197">
        <f t="shared" si="956"/>
        <v>0</v>
      </c>
      <c r="Z688" s="197">
        <f t="shared" si="904"/>
        <v>2</v>
      </c>
      <c r="AA688" s="199" t="b">
        <f t="shared" si="3"/>
        <v>0</v>
      </c>
      <c r="AB688" s="199" t="b">
        <f t="shared" si="4"/>
        <v>0</v>
      </c>
      <c r="AC688" s="200">
        <f t="shared" ref="AC688:AD688" si="984">1-I688</f>
        <v>0</v>
      </c>
      <c r="AD688" s="200">
        <f t="shared" si="984"/>
        <v>0.66999999999999993</v>
      </c>
      <c r="AE688" s="199">
        <f t="shared" si="6"/>
        <v>2</v>
      </c>
      <c r="AF688" s="201">
        <f t="shared" si="906"/>
        <v>0</v>
      </c>
      <c r="AG688" s="201">
        <f t="shared" si="8"/>
        <v>1</v>
      </c>
      <c r="AH688" s="202">
        <f t="shared" si="958"/>
        <v>0</v>
      </c>
      <c r="AI688" s="205"/>
      <c r="AJ688" s="173"/>
      <c r="AK688" s="173"/>
      <c r="AL688" s="173"/>
      <c r="AM688" s="173"/>
      <c r="AN688" s="173"/>
      <c r="AO688" s="173"/>
      <c r="AP688" s="173"/>
      <c r="AQ688" s="173"/>
      <c r="AR688" s="173"/>
      <c r="AS688" s="173"/>
      <c r="AT688" s="173"/>
      <c r="AU688" s="173"/>
      <c r="AV688" s="173"/>
    </row>
    <row r="689" spans="1:48" ht="14.25">
      <c r="A689" s="240"/>
      <c r="B689" s="564">
        <v>3</v>
      </c>
      <c r="C689" s="565" t="s">
        <v>1519</v>
      </c>
      <c r="D689" s="566" t="s">
        <v>70</v>
      </c>
      <c r="E689" s="566" t="s">
        <v>82</v>
      </c>
      <c r="F689" s="566" t="s">
        <v>11</v>
      </c>
      <c r="G689" s="567">
        <v>1</v>
      </c>
      <c r="H689" s="567">
        <v>0</v>
      </c>
      <c r="I689" s="568">
        <v>0.66</v>
      </c>
      <c r="J689" s="299"/>
      <c r="K689" s="569" t="s">
        <v>182</v>
      </c>
      <c r="L689" s="569" t="s">
        <v>230</v>
      </c>
      <c r="M689" s="569">
        <v>4</v>
      </c>
      <c r="N689" s="569">
        <v>2</v>
      </c>
      <c r="O689" s="570" t="s">
        <v>1520</v>
      </c>
      <c r="P689" s="571"/>
      <c r="Q689" s="566" t="s">
        <v>148</v>
      </c>
      <c r="R689" s="173"/>
      <c r="S689" s="195">
        <f>MATCH($D689,Reference!$J$5:$J$9,0)</f>
        <v>5</v>
      </c>
      <c r="T689" s="195">
        <f>MATCH($E689,Reference!$J$26:$J$32,0)</f>
        <v>7</v>
      </c>
      <c r="U689" s="195">
        <f>MATCH($F689,Reference!$J$45:$J$54,0)</f>
        <v>2</v>
      </c>
      <c r="V689" s="196">
        <f>MATCH($K689,Reference!$J$37:$J$39,0)</f>
        <v>3</v>
      </c>
      <c r="W689" s="197">
        <f t="shared" ref="W689:W708" si="985">MIN((G689+H689),1)</f>
        <v>1</v>
      </c>
      <c r="X689" s="197">
        <f t="shared" si="1"/>
        <v>1</v>
      </c>
      <c r="Y689" s="197">
        <f t="shared" ref="Y689:Y708" si="986">(MIN(G689,1)+H689-W689)*1600</f>
        <v>0</v>
      </c>
      <c r="Z689" s="197">
        <f t="shared" ref="Z689:Z708" si="987">MIN((G689+H689+1),2)</f>
        <v>2</v>
      </c>
      <c r="AA689" s="199" t="b">
        <f t="shared" si="3"/>
        <v>0</v>
      </c>
      <c r="AB689" s="199" t="b">
        <f t="shared" si="4"/>
        <v>0</v>
      </c>
      <c r="AC689" s="200">
        <f t="shared" ref="AC689:AD689" si="988">1-I689</f>
        <v>0.33999999999999997</v>
      </c>
      <c r="AD689" s="200">
        <f t="shared" si="988"/>
        <v>1</v>
      </c>
      <c r="AE689" s="199">
        <f t="shared" si="6"/>
        <v>1</v>
      </c>
      <c r="AF689" s="201">
        <f t="shared" ref="AF689:AF708" si="989">MIN((H689),1)</f>
        <v>0</v>
      </c>
      <c r="AG689" s="201">
        <f t="shared" si="8"/>
        <v>1</v>
      </c>
      <c r="AH689" s="202">
        <f t="shared" ref="AH689:AH708" si="990">(MIN(H689,2)+G689-W689)*400</f>
        <v>0</v>
      </c>
      <c r="AI689" s="205"/>
      <c r="AJ689" s="173"/>
      <c r="AK689" s="173"/>
      <c r="AL689" s="173"/>
      <c r="AM689" s="173"/>
      <c r="AN689" s="173"/>
      <c r="AO689" s="173"/>
      <c r="AP689" s="173"/>
      <c r="AQ689" s="173"/>
      <c r="AR689" s="173"/>
      <c r="AS689" s="173"/>
      <c r="AT689" s="173"/>
      <c r="AU689" s="173"/>
      <c r="AV689" s="173"/>
    </row>
    <row r="690" spans="1:48" ht="14.25">
      <c r="A690" s="187"/>
      <c r="B690" s="564">
        <v>3</v>
      </c>
      <c r="C690" s="565" t="s">
        <v>1521</v>
      </c>
      <c r="D690" s="566" t="s">
        <v>70</v>
      </c>
      <c r="E690" s="566" t="s">
        <v>82</v>
      </c>
      <c r="F690" s="566" t="s">
        <v>115</v>
      </c>
      <c r="G690" s="567">
        <v>0</v>
      </c>
      <c r="H690" s="567">
        <v>0</v>
      </c>
      <c r="I690" s="568">
        <v>0.33</v>
      </c>
      <c r="J690" s="299"/>
      <c r="K690" s="569" t="s">
        <v>182</v>
      </c>
      <c r="L690" s="569"/>
      <c r="M690" s="569">
        <v>3</v>
      </c>
      <c r="N690" s="569">
        <v>4</v>
      </c>
      <c r="O690" s="570" t="s">
        <v>1522</v>
      </c>
      <c r="P690" s="571"/>
      <c r="Q690" s="566" t="s">
        <v>148</v>
      </c>
      <c r="R690" s="173"/>
      <c r="S690" s="195">
        <f>MATCH($D690,Reference!$J$5:$J$9,0)</f>
        <v>5</v>
      </c>
      <c r="T690" s="195">
        <f>MATCH($E690,Reference!$J$26:$J$32,0)</f>
        <v>7</v>
      </c>
      <c r="U690" s="195">
        <f>MATCH($F690,Reference!$J$45:$J$54,0)</f>
        <v>10</v>
      </c>
      <c r="V690" s="196">
        <f>MATCH($K690,Reference!$J$37:$J$39,0)</f>
        <v>3</v>
      </c>
      <c r="W690" s="197">
        <f t="shared" si="985"/>
        <v>0</v>
      </c>
      <c r="X690" s="197">
        <f t="shared" si="1"/>
        <v>0</v>
      </c>
      <c r="Y690" s="197">
        <f t="shared" si="986"/>
        <v>0</v>
      </c>
      <c r="Z690" s="197">
        <f t="shared" si="987"/>
        <v>1</v>
      </c>
      <c r="AA690" s="199" t="b">
        <f t="shared" si="3"/>
        <v>1</v>
      </c>
      <c r="AB690" s="199" t="b">
        <f t="shared" si="4"/>
        <v>0</v>
      </c>
      <c r="AC690" s="200">
        <f t="shared" ref="AC690:AD690" si="991">1-I690</f>
        <v>0.66999999999999993</v>
      </c>
      <c r="AD690" s="200">
        <f t="shared" si="991"/>
        <v>1</v>
      </c>
      <c r="AE690" s="199">
        <f t="shared" si="6"/>
        <v>0.66999999999999993</v>
      </c>
      <c r="AF690" s="201">
        <f t="shared" si="989"/>
        <v>0</v>
      </c>
      <c r="AG690" s="201">
        <f t="shared" si="8"/>
        <v>0</v>
      </c>
      <c r="AH690" s="202">
        <f t="shared" si="990"/>
        <v>0</v>
      </c>
      <c r="AI690" s="205"/>
      <c r="AJ690" s="173"/>
      <c r="AK690" s="173"/>
      <c r="AL690" s="173"/>
      <c r="AM690" s="173"/>
      <c r="AN690" s="173"/>
      <c r="AO690" s="173"/>
      <c r="AP690" s="173"/>
      <c r="AQ690" s="173"/>
      <c r="AR690" s="173"/>
      <c r="AS690" s="173"/>
      <c r="AT690" s="173"/>
      <c r="AU690" s="173"/>
      <c r="AV690" s="173"/>
    </row>
    <row r="691" spans="1:48" ht="14.25">
      <c r="A691" s="187"/>
      <c r="B691" s="564">
        <v>3</v>
      </c>
      <c r="C691" s="565" t="s">
        <v>1523</v>
      </c>
      <c r="D691" s="566" t="s">
        <v>70</v>
      </c>
      <c r="E691" s="566" t="s">
        <v>82</v>
      </c>
      <c r="F691" s="566" t="s">
        <v>115</v>
      </c>
      <c r="G691" s="567">
        <v>1</v>
      </c>
      <c r="H691" s="567">
        <v>0</v>
      </c>
      <c r="I691" s="568">
        <v>0.33</v>
      </c>
      <c r="J691" s="299"/>
      <c r="K691" s="569" t="s">
        <v>182</v>
      </c>
      <c r="L691" s="569"/>
      <c r="M691" s="569">
        <v>3</v>
      </c>
      <c r="N691" s="569">
        <v>4</v>
      </c>
      <c r="O691" s="570" t="s">
        <v>1524</v>
      </c>
      <c r="P691" s="571"/>
      <c r="Q691" s="566" t="s">
        <v>148</v>
      </c>
      <c r="R691" s="173"/>
      <c r="S691" s="195">
        <f>MATCH($D691,Reference!$J$5:$J$9,0)</f>
        <v>5</v>
      </c>
      <c r="T691" s="195">
        <f>MATCH($E691,Reference!$J$26:$J$32,0)</f>
        <v>7</v>
      </c>
      <c r="U691" s="195">
        <f>MATCH($F691,Reference!$J$45:$J$54,0)</f>
        <v>10</v>
      </c>
      <c r="V691" s="196">
        <f>MATCH($K691,Reference!$J$37:$J$39,0)</f>
        <v>3</v>
      </c>
      <c r="W691" s="197">
        <f t="shared" si="985"/>
        <v>1</v>
      </c>
      <c r="X691" s="197">
        <f t="shared" si="1"/>
        <v>1</v>
      </c>
      <c r="Y691" s="197">
        <f t="shared" si="986"/>
        <v>0</v>
      </c>
      <c r="Z691" s="197">
        <f t="shared" si="987"/>
        <v>2</v>
      </c>
      <c r="AA691" s="199" t="b">
        <f t="shared" si="3"/>
        <v>0</v>
      </c>
      <c r="AB691" s="199" t="b">
        <f t="shared" si="4"/>
        <v>0</v>
      </c>
      <c r="AC691" s="200">
        <f t="shared" ref="AC691:AD691" si="992">1-I691</f>
        <v>0.66999999999999993</v>
      </c>
      <c r="AD691" s="200">
        <f t="shared" si="992"/>
        <v>1</v>
      </c>
      <c r="AE691" s="199">
        <f t="shared" si="6"/>
        <v>1</v>
      </c>
      <c r="AF691" s="201">
        <f t="shared" si="989"/>
        <v>0</v>
      </c>
      <c r="AG691" s="201">
        <f t="shared" si="8"/>
        <v>1</v>
      </c>
      <c r="AH691" s="202">
        <f t="shared" si="990"/>
        <v>0</v>
      </c>
      <c r="AI691" s="205"/>
      <c r="AJ691" s="173"/>
      <c r="AK691" s="173"/>
      <c r="AL691" s="173"/>
      <c r="AM691" s="173"/>
      <c r="AN691" s="173"/>
      <c r="AO691" s="173"/>
      <c r="AP691" s="173"/>
      <c r="AQ691" s="173"/>
      <c r="AR691" s="173"/>
      <c r="AS691" s="173"/>
      <c r="AT691" s="173"/>
      <c r="AU691" s="173"/>
      <c r="AV691" s="173"/>
    </row>
    <row r="692" spans="1:48" ht="14.25">
      <c r="A692" s="240"/>
      <c r="B692" s="564">
        <v>4</v>
      </c>
      <c r="C692" s="565" t="s">
        <v>1525</v>
      </c>
      <c r="D692" s="566" t="s">
        <v>70</v>
      </c>
      <c r="E692" s="566" t="s">
        <v>82</v>
      </c>
      <c r="F692" s="566" t="s">
        <v>115</v>
      </c>
      <c r="G692" s="567">
        <v>1</v>
      </c>
      <c r="H692" s="567">
        <v>0</v>
      </c>
      <c r="I692" s="568">
        <v>1</v>
      </c>
      <c r="J692" s="299"/>
      <c r="K692" s="569" t="s">
        <v>182</v>
      </c>
      <c r="L692" s="569"/>
      <c r="M692" s="569">
        <v>4</v>
      </c>
      <c r="N692" s="569">
        <v>4</v>
      </c>
      <c r="O692" s="570" t="s">
        <v>1526</v>
      </c>
      <c r="P692" s="572" t="s">
        <v>184</v>
      </c>
      <c r="Q692" s="566" t="s">
        <v>148</v>
      </c>
      <c r="R692" s="173"/>
      <c r="S692" s="195">
        <f>MATCH($D692,Reference!$J$5:$J$9,0)</f>
        <v>5</v>
      </c>
      <c r="T692" s="195">
        <f>MATCH($E692,Reference!$J$26:$J$32,0)</f>
        <v>7</v>
      </c>
      <c r="U692" s="195">
        <f>MATCH($F692,Reference!$J$45:$J$54,0)</f>
        <v>10</v>
      </c>
      <c r="V692" s="196">
        <f>MATCH($K692,Reference!$J$37:$J$39,0)</f>
        <v>3</v>
      </c>
      <c r="W692" s="197">
        <f t="shared" si="985"/>
        <v>1</v>
      </c>
      <c r="X692" s="197">
        <f t="shared" si="1"/>
        <v>1</v>
      </c>
      <c r="Y692" s="197">
        <f t="shared" si="986"/>
        <v>0</v>
      </c>
      <c r="Z692" s="197">
        <f t="shared" si="987"/>
        <v>2</v>
      </c>
      <c r="AA692" s="199" t="b">
        <f t="shared" si="3"/>
        <v>0</v>
      </c>
      <c r="AB692" s="199" t="b">
        <f t="shared" si="4"/>
        <v>0</v>
      </c>
      <c r="AC692" s="200">
        <f t="shared" ref="AC692:AD692" si="993">1-I692</f>
        <v>0</v>
      </c>
      <c r="AD692" s="200">
        <f t="shared" si="993"/>
        <v>1</v>
      </c>
      <c r="AE692" s="199">
        <f t="shared" si="6"/>
        <v>1</v>
      </c>
      <c r="AF692" s="201">
        <f t="shared" si="989"/>
        <v>0</v>
      </c>
      <c r="AG692" s="201">
        <f t="shared" si="8"/>
        <v>1</v>
      </c>
      <c r="AH692" s="202">
        <f t="shared" si="990"/>
        <v>0</v>
      </c>
      <c r="AI692" s="205"/>
      <c r="AJ692" s="173"/>
      <c r="AK692" s="173"/>
      <c r="AL692" s="173"/>
      <c r="AM692" s="173"/>
      <c r="AN692" s="173"/>
      <c r="AO692" s="173"/>
      <c r="AP692" s="173"/>
      <c r="AQ692" s="173"/>
      <c r="AR692" s="173"/>
      <c r="AS692" s="173"/>
      <c r="AT692" s="173"/>
      <c r="AU692" s="173"/>
      <c r="AV692" s="173"/>
    </row>
    <row r="693" spans="1:48" ht="14.25">
      <c r="A693" s="187"/>
      <c r="B693" s="564">
        <v>5</v>
      </c>
      <c r="C693" s="565" t="s">
        <v>1527</v>
      </c>
      <c r="D693" s="566" t="s">
        <v>70</v>
      </c>
      <c r="E693" s="566" t="s">
        <v>82</v>
      </c>
      <c r="F693" s="566" t="s">
        <v>115</v>
      </c>
      <c r="G693" s="567">
        <v>0</v>
      </c>
      <c r="H693" s="567">
        <v>0</v>
      </c>
      <c r="I693" s="568">
        <v>0.66</v>
      </c>
      <c r="J693" s="299"/>
      <c r="K693" s="566" t="s">
        <v>182</v>
      </c>
      <c r="L693" s="569"/>
      <c r="M693" s="569">
        <v>4</v>
      </c>
      <c r="N693" s="573">
        <v>5</v>
      </c>
      <c r="O693" s="570" t="s">
        <v>1528</v>
      </c>
      <c r="P693" s="572" t="s">
        <v>1374</v>
      </c>
      <c r="Q693" s="566" t="s">
        <v>148</v>
      </c>
      <c r="R693" s="173"/>
      <c r="S693" s="195">
        <f>MATCH($D693,Reference!$J$5:$J$9,0)</f>
        <v>5</v>
      </c>
      <c r="T693" s="195">
        <f>MATCH($E693,Reference!$J$26:$J$32,0)</f>
        <v>7</v>
      </c>
      <c r="U693" s="195">
        <f>MATCH($F693,Reference!$J$45:$J$54,0)</f>
        <v>10</v>
      </c>
      <c r="V693" s="196">
        <f>MATCH($K693,Reference!$J$37:$J$39,0)</f>
        <v>3</v>
      </c>
      <c r="W693" s="197">
        <f t="shared" si="985"/>
        <v>0</v>
      </c>
      <c r="X693" s="197">
        <f t="shared" si="1"/>
        <v>0</v>
      </c>
      <c r="Y693" s="197">
        <f t="shared" si="986"/>
        <v>0</v>
      </c>
      <c r="Z693" s="197">
        <f t="shared" si="987"/>
        <v>1</v>
      </c>
      <c r="AA693" s="199" t="b">
        <f t="shared" si="3"/>
        <v>1</v>
      </c>
      <c r="AB693" s="199" t="b">
        <f t="shared" si="4"/>
        <v>0</v>
      </c>
      <c r="AC693" s="200">
        <f t="shared" ref="AC693:AD693" si="994">1-I693</f>
        <v>0.33999999999999997</v>
      </c>
      <c r="AD693" s="200">
        <f t="shared" si="994"/>
        <v>1</v>
      </c>
      <c r="AE693" s="199">
        <f t="shared" si="6"/>
        <v>0.33999999999999997</v>
      </c>
      <c r="AF693" s="201">
        <f t="shared" si="989"/>
        <v>0</v>
      </c>
      <c r="AG693" s="201">
        <f t="shared" si="8"/>
        <v>0</v>
      </c>
      <c r="AH693" s="202">
        <f t="shared" si="990"/>
        <v>0</v>
      </c>
      <c r="AI693" s="205"/>
      <c r="AJ693" s="173"/>
      <c r="AK693" s="173"/>
      <c r="AL693" s="173"/>
      <c r="AM693" s="173"/>
      <c r="AN693" s="173"/>
      <c r="AO693" s="173"/>
      <c r="AP693" s="173"/>
      <c r="AQ693" s="173"/>
      <c r="AR693" s="173"/>
      <c r="AS693" s="173"/>
      <c r="AT693" s="173"/>
      <c r="AU693" s="173"/>
      <c r="AV693" s="173"/>
    </row>
    <row r="694" spans="1:48" ht="14.25">
      <c r="A694" s="187"/>
      <c r="B694" s="564">
        <v>6</v>
      </c>
      <c r="C694" s="565" t="s">
        <v>1529</v>
      </c>
      <c r="D694" s="566" t="s">
        <v>70</v>
      </c>
      <c r="E694" s="566" t="s">
        <v>82</v>
      </c>
      <c r="F694" s="566" t="s">
        <v>115</v>
      </c>
      <c r="G694" s="567">
        <v>0</v>
      </c>
      <c r="H694" s="567">
        <v>0</v>
      </c>
      <c r="I694" s="568">
        <v>0</v>
      </c>
      <c r="J694" s="299"/>
      <c r="K694" s="569" t="s">
        <v>182</v>
      </c>
      <c r="L694" s="569"/>
      <c r="M694" s="569">
        <v>3</v>
      </c>
      <c r="N694" s="569">
        <v>9</v>
      </c>
      <c r="O694" s="570" t="s">
        <v>1530</v>
      </c>
      <c r="P694" s="572" t="s">
        <v>193</v>
      </c>
      <c r="Q694" s="566" t="s">
        <v>148</v>
      </c>
      <c r="R694" s="173"/>
      <c r="S694" s="195">
        <f>MATCH($D694,Reference!$J$5:$J$9,0)</f>
        <v>5</v>
      </c>
      <c r="T694" s="195">
        <f>MATCH($E694,Reference!$J$26:$J$32,0)</f>
        <v>7</v>
      </c>
      <c r="U694" s="195">
        <f>MATCH($F694,Reference!$J$45:$J$54,0)</f>
        <v>10</v>
      </c>
      <c r="V694" s="196">
        <f>MATCH($K694,Reference!$J$37:$J$39,0)</f>
        <v>3</v>
      </c>
      <c r="W694" s="197">
        <f t="shared" si="985"/>
        <v>0</v>
      </c>
      <c r="X694" s="197">
        <f t="shared" si="1"/>
        <v>0</v>
      </c>
      <c r="Y694" s="197">
        <f t="shared" si="986"/>
        <v>0</v>
      </c>
      <c r="Z694" s="197">
        <f t="shared" si="987"/>
        <v>1</v>
      </c>
      <c r="AA694" s="199" t="b">
        <f t="shared" si="3"/>
        <v>1</v>
      </c>
      <c r="AB694" s="199" t="b">
        <f t="shared" si="4"/>
        <v>0</v>
      </c>
      <c r="AC694" s="200">
        <f t="shared" ref="AC694:AD694" si="995">1-I694</f>
        <v>1</v>
      </c>
      <c r="AD694" s="200">
        <f t="shared" si="995"/>
        <v>1</v>
      </c>
      <c r="AE694" s="199">
        <f t="shared" si="6"/>
        <v>1</v>
      </c>
      <c r="AF694" s="201">
        <f t="shared" si="989"/>
        <v>0</v>
      </c>
      <c r="AG694" s="201">
        <f t="shared" si="8"/>
        <v>0</v>
      </c>
      <c r="AH694" s="202">
        <f t="shared" si="990"/>
        <v>0</v>
      </c>
      <c r="AI694" s="205"/>
      <c r="AJ694" s="173"/>
      <c r="AK694" s="173"/>
      <c r="AL694" s="173"/>
      <c r="AM694" s="173"/>
      <c r="AN694" s="173"/>
      <c r="AO694" s="173"/>
      <c r="AP694" s="173"/>
      <c r="AQ694" s="173"/>
      <c r="AR694" s="173"/>
      <c r="AS694" s="173"/>
      <c r="AT694" s="173"/>
      <c r="AU694" s="173"/>
      <c r="AV694" s="173"/>
    </row>
    <row r="695" spans="1:48" ht="14.25">
      <c r="A695" s="240"/>
      <c r="B695" s="564">
        <v>6</v>
      </c>
      <c r="C695" s="565" t="s">
        <v>1531</v>
      </c>
      <c r="D695" s="566" t="s">
        <v>70</v>
      </c>
      <c r="E695" s="566" t="s">
        <v>82</v>
      </c>
      <c r="F695" s="566" t="s">
        <v>115</v>
      </c>
      <c r="G695" s="567">
        <v>1</v>
      </c>
      <c r="H695" s="567">
        <v>0</v>
      </c>
      <c r="I695" s="568">
        <v>1</v>
      </c>
      <c r="J695" s="299"/>
      <c r="K695" s="569" t="s">
        <v>182</v>
      </c>
      <c r="L695" s="569"/>
      <c r="M695" s="569">
        <v>6</v>
      </c>
      <c r="N695" s="569">
        <v>3</v>
      </c>
      <c r="O695" s="570" t="s">
        <v>1532</v>
      </c>
      <c r="P695" s="572" t="s">
        <v>184</v>
      </c>
      <c r="Q695" s="566" t="s">
        <v>148</v>
      </c>
      <c r="R695" s="173"/>
      <c r="S695" s="195">
        <f>MATCH($D695,Reference!$J$5:$J$9,0)</f>
        <v>5</v>
      </c>
      <c r="T695" s="195">
        <f>MATCH($E695,Reference!$J$26:$J$32,0)</f>
        <v>7</v>
      </c>
      <c r="U695" s="195">
        <f>MATCH($F695,Reference!$J$45:$J$54,0)</f>
        <v>10</v>
      </c>
      <c r="V695" s="196">
        <f>MATCH($K695,Reference!$J$37:$J$39,0)</f>
        <v>3</v>
      </c>
      <c r="W695" s="197">
        <f t="shared" si="985"/>
        <v>1</v>
      </c>
      <c r="X695" s="197">
        <f t="shared" si="1"/>
        <v>1</v>
      </c>
      <c r="Y695" s="197">
        <f t="shared" si="986"/>
        <v>0</v>
      </c>
      <c r="Z695" s="197">
        <f t="shared" si="987"/>
        <v>2</v>
      </c>
      <c r="AA695" s="199" t="b">
        <f t="shared" si="3"/>
        <v>0</v>
      </c>
      <c r="AB695" s="199" t="b">
        <f t="shared" si="4"/>
        <v>0</v>
      </c>
      <c r="AC695" s="200">
        <f t="shared" ref="AC695:AD695" si="996">1-I695</f>
        <v>0</v>
      </c>
      <c r="AD695" s="200">
        <f t="shared" si="996"/>
        <v>1</v>
      </c>
      <c r="AE695" s="199">
        <f t="shared" si="6"/>
        <v>1</v>
      </c>
      <c r="AF695" s="201">
        <f t="shared" si="989"/>
        <v>0</v>
      </c>
      <c r="AG695" s="201">
        <f t="shared" si="8"/>
        <v>1</v>
      </c>
      <c r="AH695" s="202">
        <f t="shared" si="990"/>
        <v>0</v>
      </c>
      <c r="AI695" s="205"/>
      <c r="AJ695" s="173"/>
      <c r="AK695" s="173"/>
      <c r="AL695" s="173"/>
      <c r="AM695" s="173"/>
      <c r="AN695" s="173"/>
      <c r="AO695" s="173"/>
      <c r="AP695" s="173"/>
      <c r="AQ695" s="173"/>
      <c r="AR695" s="173"/>
      <c r="AS695" s="173"/>
      <c r="AT695" s="173"/>
      <c r="AU695" s="173"/>
      <c r="AV695" s="173"/>
    </row>
    <row r="696" spans="1:48" ht="14.25">
      <c r="A696" s="187"/>
      <c r="B696" s="564">
        <v>6</v>
      </c>
      <c r="C696" s="565" t="s">
        <v>1533</v>
      </c>
      <c r="D696" s="566" t="s">
        <v>70</v>
      </c>
      <c r="E696" s="566" t="s">
        <v>82</v>
      </c>
      <c r="F696" s="566" t="s">
        <v>21</v>
      </c>
      <c r="G696" s="567">
        <v>0</v>
      </c>
      <c r="H696" s="567">
        <v>0</v>
      </c>
      <c r="I696" s="568">
        <v>0.33</v>
      </c>
      <c r="J696" s="299"/>
      <c r="K696" s="569" t="s">
        <v>182</v>
      </c>
      <c r="L696" s="569"/>
      <c r="M696" s="569">
        <v>4</v>
      </c>
      <c r="N696" s="569">
        <v>4</v>
      </c>
      <c r="O696" s="570" t="s">
        <v>1534</v>
      </c>
      <c r="P696" s="572" t="s">
        <v>184</v>
      </c>
      <c r="Q696" s="566" t="s">
        <v>148</v>
      </c>
      <c r="R696" s="173"/>
      <c r="S696" s="195">
        <f>MATCH($D696,Reference!$J$5:$J$9,0)</f>
        <v>5</v>
      </c>
      <c r="T696" s="195">
        <f>MATCH($E696,Reference!$J$26:$J$32,0)</f>
        <v>7</v>
      </c>
      <c r="U696" s="195">
        <f>MATCH($F696,Reference!$J$45:$J$54,0)</f>
        <v>7</v>
      </c>
      <c r="V696" s="196">
        <f>MATCH($K696,Reference!$J$37:$J$39,0)</f>
        <v>3</v>
      </c>
      <c r="W696" s="197">
        <f t="shared" si="985"/>
        <v>0</v>
      </c>
      <c r="X696" s="197">
        <f t="shared" si="1"/>
        <v>0</v>
      </c>
      <c r="Y696" s="197">
        <f t="shared" si="986"/>
        <v>0</v>
      </c>
      <c r="Z696" s="197">
        <f t="shared" si="987"/>
        <v>1</v>
      </c>
      <c r="AA696" s="199" t="b">
        <f t="shared" si="3"/>
        <v>1</v>
      </c>
      <c r="AB696" s="199" t="b">
        <f t="shared" si="4"/>
        <v>0</v>
      </c>
      <c r="AC696" s="200">
        <f t="shared" ref="AC696:AD696" si="997">1-I696</f>
        <v>0.66999999999999993</v>
      </c>
      <c r="AD696" s="200">
        <f t="shared" si="997"/>
        <v>1</v>
      </c>
      <c r="AE696" s="199">
        <f t="shared" si="6"/>
        <v>0.66999999999999993</v>
      </c>
      <c r="AF696" s="201">
        <f t="shared" si="989"/>
        <v>0</v>
      </c>
      <c r="AG696" s="201">
        <f t="shared" si="8"/>
        <v>0</v>
      </c>
      <c r="AH696" s="202">
        <f t="shared" si="990"/>
        <v>0</v>
      </c>
      <c r="AI696" s="205"/>
      <c r="AJ696" s="173"/>
      <c r="AK696" s="173"/>
      <c r="AL696" s="173"/>
      <c r="AM696" s="173"/>
      <c r="AN696" s="173"/>
      <c r="AO696" s="173"/>
      <c r="AP696" s="173"/>
      <c r="AQ696" s="173"/>
      <c r="AR696" s="173"/>
      <c r="AS696" s="173"/>
      <c r="AT696" s="173"/>
      <c r="AU696" s="173"/>
      <c r="AV696" s="173"/>
    </row>
    <row r="697" spans="1:48" ht="14.25">
      <c r="A697" s="240"/>
      <c r="B697" s="564">
        <v>6</v>
      </c>
      <c r="C697" s="570" t="s">
        <v>1535</v>
      </c>
      <c r="D697" s="566" t="s">
        <v>70</v>
      </c>
      <c r="E697" s="566" t="s">
        <v>82</v>
      </c>
      <c r="F697" s="566" t="s">
        <v>115</v>
      </c>
      <c r="G697" s="567">
        <v>0</v>
      </c>
      <c r="H697" s="567">
        <v>0</v>
      </c>
      <c r="I697" s="568">
        <v>0</v>
      </c>
      <c r="J697" s="299"/>
      <c r="K697" s="569" t="s">
        <v>182</v>
      </c>
      <c r="L697" s="569"/>
      <c r="M697" s="569">
        <v>7</v>
      </c>
      <c r="N697" s="569">
        <v>4</v>
      </c>
      <c r="O697" s="570" t="s">
        <v>1536</v>
      </c>
      <c r="P697" s="572" t="s">
        <v>454</v>
      </c>
      <c r="Q697" s="566" t="s">
        <v>148</v>
      </c>
      <c r="R697" s="173"/>
      <c r="S697" s="195">
        <f>MATCH($D697,Reference!$J$5:$J$9,0)</f>
        <v>5</v>
      </c>
      <c r="T697" s="195">
        <f>MATCH($E697,Reference!$J$26:$J$32,0)</f>
        <v>7</v>
      </c>
      <c r="U697" s="195">
        <f>MATCH($F697,Reference!$J$45:$J$54,0)</f>
        <v>10</v>
      </c>
      <c r="V697" s="196">
        <f>MATCH($K697,Reference!$J$37:$J$39,0)</f>
        <v>3</v>
      </c>
      <c r="W697" s="197">
        <f t="shared" si="985"/>
        <v>0</v>
      </c>
      <c r="X697" s="197">
        <f t="shared" si="1"/>
        <v>0</v>
      </c>
      <c r="Y697" s="197">
        <f t="shared" si="986"/>
        <v>0</v>
      </c>
      <c r="Z697" s="197">
        <f t="shared" si="987"/>
        <v>1</v>
      </c>
      <c r="AA697" s="199" t="b">
        <f t="shared" si="3"/>
        <v>1</v>
      </c>
      <c r="AB697" s="199" t="b">
        <f t="shared" si="4"/>
        <v>0</v>
      </c>
      <c r="AC697" s="200">
        <f t="shared" ref="AC697:AD697" si="998">1-I697</f>
        <v>1</v>
      </c>
      <c r="AD697" s="200">
        <f t="shared" si="998"/>
        <v>1</v>
      </c>
      <c r="AE697" s="199">
        <f t="shared" si="6"/>
        <v>1</v>
      </c>
      <c r="AF697" s="201">
        <f t="shared" si="989"/>
        <v>0</v>
      </c>
      <c r="AG697" s="201">
        <f t="shared" si="8"/>
        <v>0</v>
      </c>
      <c r="AH697" s="202">
        <f t="shared" si="990"/>
        <v>0</v>
      </c>
      <c r="AI697" s="205"/>
      <c r="AJ697" s="173"/>
      <c r="AK697" s="173"/>
      <c r="AL697" s="173"/>
      <c r="AM697" s="173"/>
      <c r="AN697" s="173"/>
      <c r="AO697" s="173"/>
      <c r="AP697" s="173"/>
      <c r="AQ697" s="173"/>
      <c r="AR697" s="173"/>
      <c r="AS697" s="173"/>
      <c r="AT697" s="173"/>
      <c r="AU697" s="173"/>
      <c r="AV697" s="173"/>
    </row>
    <row r="698" spans="1:48" ht="14.25">
      <c r="A698" s="213"/>
      <c r="B698" s="564">
        <v>6</v>
      </c>
      <c r="C698" s="570" t="s">
        <v>1537</v>
      </c>
      <c r="D698" s="566" t="s">
        <v>70</v>
      </c>
      <c r="E698" s="566" t="s">
        <v>82</v>
      </c>
      <c r="F698" s="566" t="s">
        <v>25</v>
      </c>
      <c r="G698" s="567">
        <v>0</v>
      </c>
      <c r="H698" s="567">
        <v>0</v>
      </c>
      <c r="I698" s="568">
        <v>0</v>
      </c>
      <c r="J698" s="299"/>
      <c r="K698" s="569" t="s">
        <v>182</v>
      </c>
      <c r="L698" s="569"/>
      <c r="M698" s="569">
        <v>4</v>
      </c>
      <c r="N698" s="569">
        <v>4</v>
      </c>
      <c r="O698" s="570" t="s">
        <v>1538</v>
      </c>
      <c r="P698" s="571"/>
      <c r="Q698" s="566" t="s">
        <v>148</v>
      </c>
      <c r="R698" s="173"/>
      <c r="S698" s="195">
        <f>MATCH($D698,Reference!$J$5:$J$9,0)</f>
        <v>5</v>
      </c>
      <c r="T698" s="195">
        <f>MATCH($E698,Reference!$J$26:$J$32,0)</f>
        <v>7</v>
      </c>
      <c r="U698" s="195">
        <f>MATCH($F698,Reference!$J$45:$J$54,0)</f>
        <v>8</v>
      </c>
      <c r="V698" s="196">
        <f>MATCH($K698,Reference!$J$37:$J$39,0)</f>
        <v>3</v>
      </c>
      <c r="W698" s="197">
        <f t="shared" si="985"/>
        <v>0</v>
      </c>
      <c r="X698" s="197">
        <f t="shared" si="1"/>
        <v>0</v>
      </c>
      <c r="Y698" s="197">
        <f t="shared" si="986"/>
        <v>0</v>
      </c>
      <c r="Z698" s="197">
        <f t="shared" si="987"/>
        <v>1</v>
      </c>
      <c r="AA698" s="199" t="b">
        <f t="shared" si="3"/>
        <v>1</v>
      </c>
      <c r="AB698" s="199" t="b">
        <f t="shared" si="4"/>
        <v>0</v>
      </c>
      <c r="AC698" s="200">
        <f t="shared" ref="AC698:AD698" si="999">1-I698</f>
        <v>1</v>
      </c>
      <c r="AD698" s="200">
        <f t="shared" si="999"/>
        <v>1</v>
      </c>
      <c r="AE698" s="199">
        <f t="shared" si="6"/>
        <v>1</v>
      </c>
      <c r="AF698" s="201">
        <f t="shared" si="989"/>
        <v>0</v>
      </c>
      <c r="AG698" s="201">
        <f t="shared" si="8"/>
        <v>0</v>
      </c>
      <c r="AH698" s="202">
        <f t="shared" si="990"/>
        <v>0</v>
      </c>
      <c r="AI698" s="205"/>
      <c r="AJ698" s="173"/>
      <c r="AK698" s="173"/>
      <c r="AL698" s="173"/>
      <c r="AM698" s="173"/>
      <c r="AN698" s="173"/>
      <c r="AO698" s="173"/>
      <c r="AP698" s="173"/>
      <c r="AQ698" s="173"/>
      <c r="AR698" s="173"/>
      <c r="AS698" s="173"/>
      <c r="AT698" s="173"/>
      <c r="AU698" s="173"/>
      <c r="AV698" s="173"/>
    </row>
    <row r="699" spans="1:48" ht="14.25">
      <c r="A699" s="206"/>
      <c r="B699" s="564">
        <v>7</v>
      </c>
      <c r="C699" s="565" t="s">
        <v>1539</v>
      </c>
      <c r="D699" s="566" t="s">
        <v>70</v>
      </c>
      <c r="E699" s="566" t="s">
        <v>82</v>
      </c>
      <c r="F699" s="566" t="s">
        <v>11</v>
      </c>
      <c r="G699" s="567">
        <v>0</v>
      </c>
      <c r="H699" s="567">
        <v>0</v>
      </c>
      <c r="I699" s="568">
        <v>0.66</v>
      </c>
      <c r="J699" s="299"/>
      <c r="K699" s="569" t="s">
        <v>182</v>
      </c>
      <c r="L699" s="569" t="s">
        <v>230</v>
      </c>
      <c r="M699" s="569">
        <v>4</v>
      </c>
      <c r="N699" s="569">
        <v>2</v>
      </c>
      <c r="O699" s="570" t="s">
        <v>1540</v>
      </c>
      <c r="P699" s="571"/>
      <c r="Q699" s="566" t="s">
        <v>148</v>
      </c>
      <c r="R699" s="173"/>
      <c r="S699" s="195">
        <f>MATCH($D699,Reference!$J$5:$J$9,0)</f>
        <v>5</v>
      </c>
      <c r="T699" s="195">
        <f>MATCH($E699,Reference!$J$26:$J$32,0)</f>
        <v>7</v>
      </c>
      <c r="U699" s="195">
        <f>MATCH($F699,Reference!$J$45:$J$54,0)</f>
        <v>2</v>
      </c>
      <c r="V699" s="196">
        <f>MATCH($K699,Reference!$J$37:$J$39,0)</f>
        <v>3</v>
      </c>
      <c r="W699" s="197">
        <f t="shared" si="985"/>
        <v>0</v>
      </c>
      <c r="X699" s="197">
        <f t="shared" si="1"/>
        <v>0</v>
      </c>
      <c r="Y699" s="197">
        <f t="shared" si="986"/>
        <v>0</v>
      </c>
      <c r="Z699" s="197">
        <f t="shared" si="987"/>
        <v>1</v>
      </c>
      <c r="AA699" s="199" t="b">
        <f t="shared" si="3"/>
        <v>1</v>
      </c>
      <c r="AB699" s="199" t="b">
        <f t="shared" si="4"/>
        <v>0</v>
      </c>
      <c r="AC699" s="200">
        <f t="shared" ref="AC699:AD699" si="1000">1-I699</f>
        <v>0.33999999999999997</v>
      </c>
      <c r="AD699" s="200">
        <f t="shared" si="1000"/>
        <v>1</v>
      </c>
      <c r="AE699" s="199">
        <f t="shared" si="6"/>
        <v>0.33999999999999997</v>
      </c>
      <c r="AF699" s="201">
        <f t="shared" si="989"/>
        <v>0</v>
      </c>
      <c r="AG699" s="201">
        <f t="shared" si="8"/>
        <v>0</v>
      </c>
      <c r="AH699" s="202">
        <f t="shared" si="990"/>
        <v>0</v>
      </c>
      <c r="AI699" s="205"/>
      <c r="AJ699" s="173"/>
      <c r="AK699" s="173"/>
      <c r="AL699" s="173"/>
      <c r="AM699" s="173"/>
      <c r="AN699" s="173"/>
      <c r="AO699" s="173"/>
      <c r="AP699" s="173"/>
      <c r="AQ699" s="173"/>
      <c r="AR699" s="173"/>
      <c r="AS699" s="173"/>
      <c r="AT699" s="173"/>
      <c r="AU699" s="173"/>
      <c r="AV699" s="173"/>
    </row>
    <row r="700" spans="1:48" ht="14.25">
      <c r="A700" s="574"/>
      <c r="B700" s="564">
        <v>7</v>
      </c>
      <c r="C700" s="565" t="s">
        <v>1541</v>
      </c>
      <c r="D700" s="566" t="s">
        <v>70</v>
      </c>
      <c r="E700" s="566" t="s">
        <v>82</v>
      </c>
      <c r="F700" s="566" t="s">
        <v>115</v>
      </c>
      <c r="G700" s="567">
        <v>1</v>
      </c>
      <c r="H700" s="567">
        <v>0</v>
      </c>
      <c r="I700" s="568">
        <v>0.66</v>
      </c>
      <c r="J700" s="299"/>
      <c r="K700" s="569" t="s">
        <v>182</v>
      </c>
      <c r="L700" s="569" t="s">
        <v>415</v>
      </c>
      <c r="M700" s="569">
        <v>6</v>
      </c>
      <c r="N700" s="569">
        <v>6</v>
      </c>
      <c r="O700" s="570" t="s">
        <v>1542</v>
      </c>
      <c r="P700" s="575" t="s">
        <v>945</v>
      </c>
      <c r="Q700" s="566" t="s">
        <v>148</v>
      </c>
      <c r="R700" s="173"/>
      <c r="S700" s="195">
        <f>MATCH($D700,Reference!$J$5:$J$9,0)</f>
        <v>5</v>
      </c>
      <c r="T700" s="195">
        <f>MATCH($E700,Reference!$J$26:$J$32,0)</f>
        <v>7</v>
      </c>
      <c r="U700" s="195">
        <f>MATCH($F700,Reference!$J$45:$J$54,0)</f>
        <v>10</v>
      </c>
      <c r="V700" s="196">
        <f>MATCH($K700,Reference!$J$37:$J$39,0)</f>
        <v>3</v>
      </c>
      <c r="W700" s="197">
        <f t="shared" si="985"/>
        <v>1</v>
      </c>
      <c r="X700" s="197">
        <f t="shared" si="1"/>
        <v>1</v>
      </c>
      <c r="Y700" s="197">
        <f t="shared" si="986"/>
        <v>0</v>
      </c>
      <c r="Z700" s="197">
        <f t="shared" si="987"/>
        <v>2</v>
      </c>
      <c r="AA700" s="199" t="b">
        <f t="shared" si="3"/>
        <v>0</v>
      </c>
      <c r="AB700" s="199" t="b">
        <f t="shared" si="4"/>
        <v>0</v>
      </c>
      <c r="AC700" s="200">
        <f t="shared" ref="AC700:AD700" si="1001">1-I700</f>
        <v>0.33999999999999997</v>
      </c>
      <c r="AD700" s="200">
        <f t="shared" si="1001"/>
        <v>1</v>
      </c>
      <c r="AE700" s="199">
        <f t="shared" si="6"/>
        <v>1</v>
      </c>
      <c r="AF700" s="201">
        <f t="shared" si="989"/>
        <v>0</v>
      </c>
      <c r="AG700" s="201">
        <f t="shared" si="8"/>
        <v>1</v>
      </c>
      <c r="AH700" s="202">
        <f t="shared" si="990"/>
        <v>0</v>
      </c>
      <c r="AI700" s="205"/>
      <c r="AJ700" s="173"/>
      <c r="AK700" s="173"/>
      <c r="AL700" s="173"/>
      <c r="AM700" s="173"/>
      <c r="AN700" s="173"/>
      <c r="AO700" s="173"/>
      <c r="AP700" s="173"/>
      <c r="AQ700" s="173"/>
      <c r="AR700" s="173"/>
      <c r="AS700" s="173"/>
      <c r="AT700" s="173"/>
      <c r="AU700" s="173"/>
      <c r="AV700" s="173"/>
    </row>
    <row r="701" spans="1:48" ht="14.25">
      <c r="A701" s="574"/>
      <c r="B701" s="564">
        <v>7</v>
      </c>
      <c r="C701" s="565" t="s">
        <v>1543</v>
      </c>
      <c r="D701" s="566" t="s">
        <v>70</v>
      </c>
      <c r="E701" s="566" t="s">
        <v>82</v>
      </c>
      <c r="F701" s="566" t="s">
        <v>18</v>
      </c>
      <c r="G701" s="567">
        <v>1</v>
      </c>
      <c r="H701" s="567">
        <v>0</v>
      </c>
      <c r="I701" s="568">
        <v>1</v>
      </c>
      <c r="J701" s="299"/>
      <c r="K701" s="569" t="s">
        <v>182</v>
      </c>
      <c r="L701" s="569"/>
      <c r="M701" s="569">
        <v>5</v>
      </c>
      <c r="N701" s="569">
        <v>4</v>
      </c>
      <c r="O701" s="570" t="s">
        <v>1544</v>
      </c>
      <c r="P701" s="572" t="s">
        <v>1374</v>
      </c>
      <c r="Q701" s="566" t="s">
        <v>148</v>
      </c>
      <c r="R701" s="173"/>
      <c r="S701" s="195">
        <f>MATCH($D701,Reference!$J$5:$J$9,0)</f>
        <v>5</v>
      </c>
      <c r="T701" s="195">
        <f>MATCH($E701,Reference!$J$26:$J$32,0)</f>
        <v>7</v>
      </c>
      <c r="U701" s="195">
        <f>MATCH($F701,Reference!$J$45:$J$54,0)</f>
        <v>5</v>
      </c>
      <c r="V701" s="196">
        <f>MATCH($K701,Reference!$J$37:$J$39,0)</f>
        <v>3</v>
      </c>
      <c r="W701" s="197">
        <f t="shared" si="985"/>
        <v>1</v>
      </c>
      <c r="X701" s="197">
        <f t="shared" si="1"/>
        <v>1</v>
      </c>
      <c r="Y701" s="197">
        <f t="shared" si="986"/>
        <v>0</v>
      </c>
      <c r="Z701" s="197">
        <f t="shared" si="987"/>
        <v>2</v>
      </c>
      <c r="AA701" s="199" t="b">
        <f t="shared" si="3"/>
        <v>0</v>
      </c>
      <c r="AB701" s="199" t="b">
        <f t="shared" si="4"/>
        <v>0</v>
      </c>
      <c r="AC701" s="200">
        <f t="shared" ref="AC701:AD701" si="1002">1-I701</f>
        <v>0</v>
      </c>
      <c r="AD701" s="200">
        <f t="shared" si="1002"/>
        <v>1</v>
      </c>
      <c r="AE701" s="199">
        <f t="shared" si="6"/>
        <v>1</v>
      </c>
      <c r="AF701" s="201">
        <f t="shared" si="989"/>
        <v>0</v>
      </c>
      <c r="AG701" s="201">
        <f t="shared" si="8"/>
        <v>1</v>
      </c>
      <c r="AH701" s="202">
        <f t="shared" si="990"/>
        <v>0</v>
      </c>
      <c r="AI701" s="205"/>
      <c r="AJ701" s="173"/>
      <c r="AK701" s="173"/>
      <c r="AL701" s="173"/>
      <c r="AM701" s="173"/>
      <c r="AN701" s="173"/>
      <c r="AO701" s="173"/>
      <c r="AP701" s="173"/>
      <c r="AQ701" s="173"/>
      <c r="AR701" s="173"/>
      <c r="AS701" s="173"/>
      <c r="AT701" s="173"/>
      <c r="AU701" s="173"/>
      <c r="AV701" s="173"/>
    </row>
    <row r="702" spans="1:48" ht="14.25">
      <c r="A702" s="574"/>
      <c r="B702" s="564">
        <v>7</v>
      </c>
      <c r="C702" s="565" t="s">
        <v>1545</v>
      </c>
      <c r="D702" s="566" t="s">
        <v>70</v>
      </c>
      <c r="E702" s="566" t="s">
        <v>82</v>
      </c>
      <c r="F702" s="566" t="s">
        <v>16</v>
      </c>
      <c r="G702" s="567">
        <v>1</v>
      </c>
      <c r="H702" s="567">
        <v>0</v>
      </c>
      <c r="I702" s="568">
        <v>0.66</v>
      </c>
      <c r="J702" s="299"/>
      <c r="K702" s="569" t="s">
        <v>182</v>
      </c>
      <c r="L702" s="569"/>
      <c r="M702" s="569">
        <v>3</v>
      </c>
      <c r="N702" s="569">
        <v>7</v>
      </c>
      <c r="O702" s="570" t="s">
        <v>1546</v>
      </c>
      <c r="P702" s="572" t="s">
        <v>184</v>
      </c>
      <c r="Q702" s="566" t="s">
        <v>148</v>
      </c>
      <c r="R702" s="173"/>
      <c r="S702" s="195">
        <f>MATCH($D702,Reference!$J$5:$J$9,0)</f>
        <v>5</v>
      </c>
      <c r="T702" s="195">
        <f>MATCH($E702,Reference!$J$26:$J$32,0)</f>
        <v>7</v>
      </c>
      <c r="U702" s="195">
        <f>MATCH($F702,Reference!$J$45:$J$54,0)</f>
        <v>4</v>
      </c>
      <c r="V702" s="196">
        <f>MATCH($K702,Reference!$J$37:$J$39,0)</f>
        <v>3</v>
      </c>
      <c r="W702" s="197">
        <f t="shared" si="985"/>
        <v>1</v>
      </c>
      <c r="X702" s="197">
        <f t="shared" si="1"/>
        <v>1</v>
      </c>
      <c r="Y702" s="197">
        <f t="shared" si="986"/>
        <v>0</v>
      </c>
      <c r="Z702" s="197">
        <f t="shared" si="987"/>
        <v>2</v>
      </c>
      <c r="AA702" s="199" t="b">
        <f t="shared" si="3"/>
        <v>0</v>
      </c>
      <c r="AB702" s="199" t="b">
        <f t="shared" si="4"/>
        <v>0</v>
      </c>
      <c r="AC702" s="200">
        <f t="shared" ref="AC702:AD702" si="1003">1-I702</f>
        <v>0.33999999999999997</v>
      </c>
      <c r="AD702" s="200">
        <f t="shared" si="1003"/>
        <v>1</v>
      </c>
      <c r="AE702" s="199">
        <f t="shared" si="6"/>
        <v>1</v>
      </c>
      <c r="AF702" s="201">
        <f t="shared" si="989"/>
        <v>0</v>
      </c>
      <c r="AG702" s="201">
        <f t="shared" si="8"/>
        <v>1</v>
      </c>
      <c r="AH702" s="202">
        <f t="shared" si="990"/>
        <v>0</v>
      </c>
      <c r="AI702" s="205"/>
      <c r="AJ702" s="173"/>
      <c r="AK702" s="173"/>
      <c r="AL702" s="173"/>
      <c r="AM702" s="173"/>
      <c r="AN702" s="173"/>
      <c r="AO702" s="173"/>
      <c r="AP702" s="173"/>
      <c r="AQ702" s="173"/>
      <c r="AR702" s="173"/>
      <c r="AS702" s="173"/>
      <c r="AT702" s="173"/>
      <c r="AU702" s="173"/>
      <c r="AV702" s="173"/>
    </row>
    <row r="703" spans="1:48" ht="14.25">
      <c r="A703" s="574"/>
      <c r="B703" s="564">
        <v>7</v>
      </c>
      <c r="C703" s="565" t="s">
        <v>1547</v>
      </c>
      <c r="D703" s="566" t="s">
        <v>70</v>
      </c>
      <c r="E703" s="566" t="s">
        <v>82</v>
      </c>
      <c r="F703" s="566" t="s">
        <v>115</v>
      </c>
      <c r="G703" s="567">
        <v>0</v>
      </c>
      <c r="H703" s="567">
        <v>0</v>
      </c>
      <c r="I703" s="568">
        <v>0.33</v>
      </c>
      <c r="J703" s="299"/>
      <c r="K703" s="569" t="s">
        <v>182</v>
      </c>
      <c r="L703" s="569" t="s">
        <v>536</v>
      </c>
      <c r="M703" s="569">
        <v>4</v>
      </c>
      <c r="N703" s="569">
        <v>6</v>
      </c>
      <c r="O703" s="570" t="s">
        <v>1548</v>
      </c>
      <c r="P703" s="572" t="s">
        <v>396</v>
      </c>
      <c r="Q703" s="566" t="s">
        <v>148</v>
      </c>
      <c r="R703" s="173"/>
      <c r="S703" s="195">
        <f>MATCH($D703,Reference!$J$5:$J$9,0)</f>
        <v>5</v>
      </c>
      <c r="T703" s="195">
        <f>MATCH($E703,Reference!$J$26:$J$32,0)</f>
        <v>7</v>
      </c>
      <c r="U703" s="195">
        <f>MATCH($F703,Reference!$J$45:$J$54,0)</f>
        <v>10</v>
      </c>
      <c r="V703" s="196">
        <f>MATCH($K703,Reference!$J$37:$J$39,0)</f>
        <v>3</v>
      </c>
      <c r="W703" s="197">
        <f t="shared" si="985"/>
        <v>0</v>
      </c>
      <c r="X703" s="197">
        <f t="shared" si="1"/>
        <v>0</v>
      </c>
      <c r="Y703" s="197">
        <f t="shared" si="986"/>
        <v>0</v>
      </c>
      <c r="Z703" s="197">
        <f t="shared" si="987"/>
        <v>1</v>
      </c>
      <c r="AA703" s="199" t="b">
        <f t="shared" si="3"/>
        <v>1</v>
      </c>
      <c r="AB703" s="199" t="b">
        <f t="shared" si="4"/>
        <v>0</v>
      </c>
      <c r="AC703" s="200">
        <f t="shared" ref="AC703:AD703" si="1004">1-I703</f>
        <v>0.66999999999999993</v>
      </c>
      <c r="AD703" s="200">
        <f t="shared" si="1004"/>
        <v>1</v>
      </c>
      <c r="AE703" s="199">
        <f t="shared" si="6"/>
        <v>0.66999999999999993</v>
      </c>
      <c r="AF703" s="201">
        <f t="shared" si="989"/>
        <v>0</v>
      </c>
      <c r="AG703" s="201">
        <f t="shared" si="8"/>
        <v>0</v>
      </c>
      <c r="AH703" s="202">
        <f t="shared" si="990"/>
        <v>0</v>
      </c>
      <c r="AI703" s="205"/>
      <c r="AJ703" s="173"/>
      <c r="AK703" s="173"/>
      <c r="AL703" s="173"/>
      <c r="AM703" s="173"/>
      <c r="AN703" s="173"/>
      <c r="AO703" s="173"/>
      <c r="AP703" s="173"/>
      <c r="AQ703" s="173"/>
      <c r="AR703" s="173"/>
      <c r="AS703" s="173"/>
      <c r="AT703" s="173"/>
      <c r="AU703" s="173"/>
      <c r="AV703" s="173"/>
    </row>
    <row r="704" spans="1:48" ht="14.25">
      <c r="A704" s="574"/>
      <c r="B704" s="564">
        <v>8</v>
      </c>
      <c r="C704" s="565" t="s">
        <v>1549</v>
      </c>
      <c r="D704" s="566" t="s">
        <v>70</v>
      </c>
      <c r="E704" s="566" t="s">
        <v>82</v>
      </c>
      <c r="F704" s="566" t="s">
        <v>13</v>
      </c>
      <c r="G704" s="567">
        <v>1</v>
      </c>
      <c r="H704" s="567">
        <v>0</v>
      </c>
      <c r="I704" s="568">
        <v>0.66</v>
      </c>
      <c r="J704" s="299"/>
      <c r="K704" s="569" t="s">
        <v>182</v>
      </c>
      <c r="L704" s="569"/>
      <c r="M704" s="569">
        <v>7</v>
      </c>
      <c r="N704" s="569">
        <v>7</v>
      </c>
      <c r="O704" s="570" t="s">
        <v>1550</v>
      </c>
      <c r="P704" s="572" t="s">
        <v>454</v>
      </c>
      <c r="Q704" s="566" t="s">
        <v>148</v>
      </c>
      <c r="R704" s="173"/>
      <c r="S704" s="195">
        <f>MATCH($D704,Reference!$J$5:$J$9,0)</f>
        <v>5</v>
      </c>
      <c r="T704" s="195">
        <f>MATCH($E704,Reference!$J$26:$J$32,0)</f>
        <v>7</v>
      </c>
      <c r="U704" s="195">
        <f>MATCH($F704,Reference!$J$45:$J$54,0)</f>
        <v>3</v>
      </c>
      <c r="V704" s="196">
        <f>MATCH($K704,Reference!$J$37:$J$39,0)</f>
        <v>3</v>
      </c>
      <c r="W704" s="197">
        <f t="shared" si="985"/>
        <v>1</v>
      </c>
      <c r="X704" s="197">
        <f t="shared" si="1"/>
        <v>1</v>
      </c>
      <c r="Y704" s="197">
        <f t="shared" si="986"/>
        <v>0</v>
      </c>
      <c r="Z704" s="197">
        <f t="shared" si="987"/>
        <v>2</v>
      </c>
      <c r="AA704" s="199" t="b">
        <f t="shared" si="3"/>
        <v>0</v>
      </c>
      <c r="AB704" s="199" t="b">
        <f t="shared" si="4"/>
        <v>0</v>
      </c>
      <c r="AC704" s="200">
        <f t="shared" ref="AC704:AD704" si="1005">1-I704</f>
        <v>0.33999999999999997</v>
      </c>
      <c r="AD704" s="200">
        <f t="shared" si="1005"/>
        <v>1</v>
      </c>
      <c r="AE704" s="199">
        <f t="shared" si="6"/>
        <v>1</v>
      </c>
      <c r="AF704" s="201">
        <f t="shared" si="989"/>
        <v>0</v>
      </c>
      <c r="AG704" s="201">
        <f t="shared" si="8"/>
        <v>1</v>
      </c>
      <c r="AH704" s="202">
        <f t="shared" si="990"/>
        <v>0</v>
      </c>
      <c r="AI704" s="205"/>
      <c r="AJ704" s="173"/>
      <c r="AK704" s="173"/>
      <c r="AL704" s="173"/>
      <c r="AM704" s="173"/>
      <c r="AN704" s="173"/>
      <c r="AO704" s="173"/>
      <c r="AP704" s="173"/>
      <c r="AQ704" s="173"/>
      <c r="AR704" s="173"/>
      <c r="AS704" s="173"/>
      <c r="AT704" s="173"/>
      <c r="AU704" s="173"/>
      <c r="AV704" s="173"/>
    </row>
    <row r="705" spans="1:48" ht="14.25">
      <c r="A705" s="574"/>
      <c r="B705" s="564">
        <v>9</v>
      </c>
      <c r="C705" s="565" t="s">
        <v>1551</v>
      </c>
      <c r="D705" s="566" t="s">
        <v>70</v>
      </c>
      <c r="E705" s="566" t="s">
        <v>82</v>
      </c>
      <c r="F705" s="566" t="s">
        <v>20</v>
      </c>
      <c r="G705" s="567">
        <v>0</v>
      </c>
      <c r="H705" s="567">
        <v>0</v>
      </c>
      <c r="I705" s="568">
        <v>0.33</v>
      </c>
      <c r="J705" s="299"/>
      <c r="K705" s="569" t="s">
        <v>182</v>
      </c>
      <c r="L705" s="569"/>
      <c r="M705" s="569">
        <v>8</v>
      </c>
      <c r="N705" s="569">
        <v>4</v>
      </c>
      <c r="O705" s="570" t="s">
        <v>1552</v>
      </c>
      <c r="P705" s="572" t="s">
        <v>454</v>
      </c>
      <c r="Q705" s="566" t="s">
        <v>148</v>
      </c>
      <c r="R705" s="173"/>
      <c r="S705" s="195">
        <f>MATCH($D705,Reference!$J$5:$J$9,0)</f>
        <v>5</v>
      </c>
      <c r="T705" s="195">
        <f>MATCH($E705,Reference!$J$26:$J$32,0)</f>
        <v>7</v>
      </c>
      <c r="U705" s="195">
        <f>MATCH($F705,Reference!$J$45:$J$54,0)</f>
        <v>6</v>
      </c>
      <c r="V705" s="196">
        <f>MATCH($K705,Reference!$J$37:$J$39,0)</f>
        <v>3</v>
      </c>
      <c r="W705" s="197">
        <f t="shared" si="985"/>
        <v>0</v>
      </c>
      <c r="X705" s="197">
        <f t="shared" si="1"/>
        <v>0</v>
      </c>
      <c r="Y705" s="197">
        <f t="shared" si="986"/>
        <v>0</v>
      </c>
      <c r="Z705" s="197">
        <f t="shared" si="987"/>
        <v>1</v>
      </c>
      <c r="AA705" s="199" t="b">
        <f t="shared" si="3"/>
        <v>1</v>
      </c>
      <c r="AB705" s="199" t="b">
        <f t="shared" si="4"/>
        <v>0</v>
      </c>
      <c r="AC705" s="200">
        <f t="shared" ref="AC705:AD705" si="1006">1-I705</f>
        <v>0.66999999999999993</v>
      </c>
      <c r="AD705" s="200">
        <f t="shared" si="1006"/>
        <v>1</v>
      </c>
      <c r="AE705" s="199">
        <f t="shared" si="6"/>
        <v>0.66999999999999993</v>
      </c>
      <c r="AF705" s="201">
        <f t="shared" si="989"/>
        <v>0</v>
      </c>
      <c r="AG705" s="201">
        <f t="shared" si="8"/>
        <v>0</v>
      </c>
      <c r="AH705" s="202">
        <f t="shared" si="990"/>
        <v>0</v>
      </c>
      <c r="AI705" s="205"/>
      <c r="AJ705" s="173"/>
      <c r="AK705" s="173"/>
      <c r="AL705" s="173"/>
      <c r="AM705" s="173"/>
      <c r="AN705" s="173"/>
      <c r="AO705" s="173"/>
      <c r="AP705" s="173"/>
      <c r="AQ705" s="173"/>
      <c r="AR705" s="173"/>
      <c r="AS705" s="173"/>
      <c r="AT705" s="173"/>
      <c r="AU705" s="173"/>
      <c r="AV705" s="173"/>
    </row>
    <row r="706" spans="1:48" ht="14.25">
      <c r="A706" s="574"/>
      <c r="B706" s="564">
        <v>9</v>
      </c>
      <c r="C706" s="565" t="s">
        <v>1553</v>
      </c>
      <c r="D706" s="566" t="s">
        <v>70</v>
      </c>
      <c r="E706" s="566" t="s">
        <v>82</v>
      </c>
      <c r="F706" s="566" t="s">
        <v>8</v>
      </c>
      <c r="G706" s="567">
        <v>0</v>
      </c>
      <c r="H706" s="567">
        <v>0</v>
      </c>
      <c r="I706" s="568">
        <v>0.33</v>
      </c>
      <c r="J706" s="299"/>
      <c r="K706" s="569" t="s">
        <v>182</v>
      </c>
      <c r="L706" s="569"/>
      <c r="M706" s="569">
        <v>5</v>
      </c>
      <c r="N706" s="569">
        <v>5</v>
      </c>
      <c r="O706" s="570" t="s">
        <v>1554</v>
      </c>
      <c r="P706" s="571"/>
      <c r="Q706" s="566" t="s">
        <v>148</v>
      </c>
      <c r="R706" s="173"/>
      <c r="S706" s="195">
        <f>MATCH($D706,Reference!$J$5:$J$9,0)</f>
        <v>5</v>
      </c>
      <c r="T706" s="195">
        <f>MATCH($E706,Reference!$J$26:$J$32,0)</f>
        <v>7</v>
      </c>
      <c r="U706" s="195">
        <f>MATCH($F706,Reference!$J$45:$J$54,0)</f>
        <v>1</v>
      </c>
      <c r="V706" s="196">
        <f>MATCH($K706,Reference!$J$37:$J$39,0)</f>
        <v>3</v>
      </c>
      <c r="W706" s="197">
        <f t="shared" si="985"/>
        <v>0</v>
      </c>
      <c r="X706" s="197">
        <f t="shared" si="1"/>
        <v>0</v>
      </c>
      <c r="Y706" s="197">
        <f t="shared" si="986"/>
        <v>0</v>
      </c>
      <c r="Z706" s="197">
        <f t="shared" si="987"/>
        <v>1</v>
      </c>
      <c r="AA706" s="199" t="b">
        <f t="shared" si="3"/>
        <v>1</v>
      </c>
      <c r="AB706" s="199" t="b">
        <f t="shared" si="4"/>
        <v>0</v>
      </c>
      <c r="AC706" s="200">
        <f t="shared" ref="AC706:AD706" si="1007">1-I706</f>
        <v>0.66999999999999993</v>
      </c>
      <c r="AD706" s="200">
        <f t="shared" si="1007"/>
        <v>1</v>
      </c>
      <c r="AE706" s="199">
        <f t="shared" si="6"/>
        <v>0.66999999999999993</v>
      </c>
      <c r="AF706" s="201">
        <f t="shared" si="989"/>
        <v>0</v>
      </c>
      <c r="AG706" s="201">
        <f t="shared" si="8"/>
        <v>0</v>
      </c>
      <c r="AH706" s="202">
        <f t="shared" si="990"/>
        <v>0</v>
      </c>
      <c r="AI706" s="205"/>
      <c r="AJ706" s="173"/>
      <c r="AK706" s="173"/>
      <c r="AL706" s="173"/>
      <c r="AM706" s="173"/>
      <c r="AN706" s="173"/>
      <c r="AO706" s="173"/>
      <c r="AP706" s="173"/>
      <c r="AQ706" s="173"/>
      <c r="AR706" s="173"/>
      <c r="AS706" s="173"/>
      <c r="AT706" s="173"/>
      <c r="AU706" s="173"/>
      <c r="AV706" s="173"/>
    </row>
    <row r="707" spans="1:48" ht="14.25">
      <c r="A707" s="576"/>
      <c r="B707" s="564">
        <v>9</v>
      </c>
      <c r="C707" s="565" t="s">
        <v>1555</v>
      </c>
      <c r="D707" s="566" t="s">
        <v>70</v>
      </c>
      <c r="E707" s="566" t="s">
        <v>82</v>
      </c>
      <c r="F707" s="566" t="s">
        <v>115</v>
      </c>
      <c r="G707" s="567">
        <v>1</v>
      </c>
      <c r="H707" s="567">
        <v>0</v>
      </c>
      <c r="I707" s="568">
        <v>0.66</v>
      </c>
      <c r="J707" s="299"/>
      <c r="K707" s="569" t="s">
        <v>182</v>
      </c>
      <c r="L707" s="569"/>
      <c r="M707" s="569">
        <v>10</v>
      </c>
      <c r="N707" s="569">
        <v>10</v>
      </c>
      <c r="O707" s="570" t="s">
        <v>1556</v>
      </c>
      <c r="P707" s="572" t="s">
        <v>396</v>
      </c>
      <c r="Q707" s="566" t="s">
        <v>148</v>
      </c>
      <c r="R707" s="173"/>
      <c r="S707" s="195">
        <f>MATCH($D707,Reference!$J$5:$J$9,0)</f>
        <v>5</v>
      </c>
      <c r="T707" s="195">
        <f>MATCH($E707,Reference!$J$26:$J$32,0)</f>
        <v>7</v>
      </c>
      <c r="U707" s="195">
        <f>MATCH($F707,Reference!$J$45:$J$54,0)</f>
        <v>10</v>
      </c>
      <c r="V707" s="196">
        <f>MATCH($K707,Reference!$J$37:$J$39,0)</f>
        <v>3</v>
      </c>
      <c r="W707" s="197">
        <f t="shared" si="985"/>
        <v>1</v>
      </c>
      <c r="X707" s="197">
        <f t="shared" si="1"/>
        <v>1</v>
      </c>
      <c r="Y707" s="197">
        <f t="shared" si="986"/>
        <v>0</v>
      </c>
      <c r="Z707" s="197">
        <f t="shared" si="987"/>
        <v>2</v>
      </c>
      <c r="AA707" s="199" t="b">
        <f t="shared" si="3"/>
        <v>0</v>
      </c>
      <c r="AB707" s="199" t="b">
        <f t="shared" si="4"/>
        <v>0</v>
      </c>
      <c r="AC707" s="200">
        <f t="shared" ref="AC707:AD707" si="1008">1-I707</f>
        <v>0.33999999999999997</v>
      </c>
      <c r="AD707" s="200">
        <f t="shared" si="1008"/>
        <v>1</v>
      </c>
      <c r="AE707" s="199">
        <f t="shared" si="6"/>
        <v>1</v>
      </c>
      <c r="AF707" s="201">
        <f t="shared" si="989"/>
        <v>0</v>
      </c>
      <c r="AG707" s="201">
        <f t="shared" si="8"/>
        <v>1</v>
      </c>
      <c r="AH707" s="202">
        <f t="shared" si="990"/>
        <v>0</v>
      </c>
      <c r="AI707" s="205"/>
      <c r="AJ707" s="173"/>
      <c r="AK707" s="173"/>
      <c r="AL707" s="173"/>
      <c r="AM707" s="173"/>
      <c r="AN707" s="173"/>
      <c r="AO707" s="173"/>
      <c r="AP707" s="173"/>
      <c r="AQ707" s="173"/>
      <c r="AR707" s="173"/>
      <c r="AS707" s="173"/>
      <c r="AT707" s="173"/>
      <c r="AU707" s="173"/>
      <c r="AV707" s="173"/>
    </row>
    <row r="708" spans="1:48" ht="14.25">
      <c r="A708" s="576"/>
      <c r="B708" s="564">
        <v>10</v>
      </c>
      <c r="C708" s="565" t="s">
        <v>1557</v>
      </c>
      <c r="D708" s="566" t="s">
        <v>70</v>
      </c>
      <c r="E708" s="566" t="s">
        <v>82</v>
      </c>
      <c r="F708" s="566" t="s">
        <v>26</v>
      </c>
      <c r="G708" s="567">
        <v>1</v>
      </c>
      <c r="H708" s="567">
        <v>0</v>
      </c>
      <c r="I708" s="568">
        <v>0.66</v>
      </c>
      <c r="J708" s="299"/>
      <c r="K708" s="569" t="s">
        <v>182</v>
      </c>
      <c r="L708" s="569"/>
      <c r="M708" s="569">
        <v>7</v>
      </c>
      <c r="N708" s="569">
        <v>7</v>
      </c>
      <c r="O708" s="570" t="s">
        <v>1558</v>
      </c>
      <c r="P708" s="572" t="s">
        <v>275</v>
      </c>
      <c r="Q708" s="566" t="s">
        <v>148</v>
      </c>
      <c r="R708" s="173"/>
      <c r="S708" s="195">
        <f>MATCH($D708,Reference!$J$5:$J$9,0)</f>
        <v>5</v>
      </c>
      <c r="T708" s="195">
        <f>MATCH($E708,Reference!$J$26:$J$32,0)</f>
        <v>7</v>
      </c>
      <c r="U708" s="195">
        <f>MATCH($F708,Reference!$J$45:$J$54,0)</f>
        <v>9</v>
      </c>
      <c r="V708" s="196">
        <f>MATCH($K708,Reference!$J$37:$J$39,0)</f>
        <v>3</v>
      </c>
      <c r="W708" s="197">
        <f t="shared" si="985"/>
        <v>1</v>
      </c>
      <c r="X708" s="197">
        <f t="shared" si="1"/>
        <v>1</v>
      </c>
      <c r="Y708" s="197">
        <f t="shared" si="986"/>
        <v>0</v>
      </c>
      <c r="Z708" s="197">
        <f t="shared" si="987"/>
        <v>2</v>
      </c>
      <c r="AA708" s="199" t="b">
        <f t="shared" si="3"/>
        <v>0</v>
      </c>
      <c r="AB708" s="199" t="b">
        <f t="shared" si="4"/>
        <v>0</v>
      </c>
      <c r="AC708" s="200">
        <f t="shared" ref="AC708:AD708" si="1009">1-I708</f>
        <v>0.33999999999999997</v>
      </c>
      <c r="AD708" s="200">
        <f t="shared" si="1009"/>
        <v>1</v>
      </c>
      <c r="AE708" s="199">
        <f t="shared" si="6"/>
        <v>1</v>
      </c>
      <c r="AF708" s="201">
        <f t="shared" si="989"/>
        <v>0</v>
      </c>
      <c r="AG708" s="201">
        <f t="shared" si="8"/>
        <v>1</v>
      </c>
      <c r="AH708" s="202">
        <f t="shared" si="990"/>
        <v>0</v>
      </c>
      <c r="AI708" s="205"/>
      <c r="AJ708" s="173"/>
      <c r="AK708" s="173"/>
      <c r="AL708" s="173"/>
      <c r="AM708" s="173"/>
      <c r="AN708" s="173"/>
      <c r="AO708" s="173"/>
      <c r="AP708" s="173"/>
      <c r="AQ708" s="173"/>
      <c r="AR708" s="173"/>
      <c r="AS708" s="173"/>
      <c r="AT708" s="173"/>
      <c r="AU708" s="173"/>
      <c r="AV708" s="173"/>
    </row>
    <row r="709" spans="1:48" ht="14.25">
      <c r="A709" s="576"/>
      <c r="B709" s="577">
        <v>1</v>
      </c>
      <c r="C709" s="578" t="s">
        <v>1559</v>
      </c>
      <c r="D709" s="579" t="s">
        <v>68</v>
      </c>
      <c r="E709" s="579" t="s">
        <v>82</v>
      </c>
      <c r="F709" s="579" t="s">
        <v>16</v>
      </c>
      <c r="G709" s="580">
        <v>2</v>
      </c>
      <c r="H709" s="580">
        <v>0</v>
      </c>
      <c r="I709" s="581">
        <v>1</v>
      </c>
      <c r="J709" s="581">
        <v>1</v>
      </c>
      <c r="K709" s="582" t="s">
        <v>146</v>
      </c>
      <c r="L709" s="582"/>
      <c r="M709" s="582"/>
      <c r="N709" s="582"/>
      <c r="O709" s="583" t="s">
        <v>1560</v>
      </c>
      <c r="P709" s="318"/>
      <c r="Q709" s="579" t="s">
        <v>148</v>
      </c>
      <c r="R709" s="173"/>
      <c r="S709" s="195">
        <f>MATCH($D709,Reference!$J$5:$J$9,0)</f>
        <v>3</v>
      </c>
      <c r="T709" s="195">
        <f>MATCH($E709,Reference!$J$26:$J$32,0)</f>
        <v>7</v>
      </c>
      <c r="U709" s="195">
        <f>MATCH($F709,Reference!$J$45:$J$54,0)</f>
        <v>4</v>
      </c>
      <c r="V709" s="196">
        <f>MATCH($K709,Reference!$J$37:$J$39,0)</f>
        <v>2</v>
      </c>
      <c r="W709" s="197">
        <f t="shared" ref="W709:W878" si="1010">MIN((G709+H709),2)</f>
        <v>2</v>
      </c>
      <c r="X709" s="197">
        <f t="shared" si="1"/>
        <v>1</v>
      </c>
      <c r="Y709" s="197">
        <f t="shared" ref="Y709:Y744" si="1011">(MIN(G709,2)+H709-W709)*100</f>
        <v>0</v>
      </c>
      <c r="Z709" s="197">
        <f t="shared" ref="Z709:Z878" si="1012">MIN((G709+H709),2)</f>
        <v>2</v>
      </c>
      <c r="AA709" s="199" t="b">
        <f t="shared" si="3"/>
        <v>0</v>
      </c>
      <c r="AB709" s="199" t="b">
        <f t="shared" si="4"/>
        <v>0</v>
      </c>
      <c r="AC709" s="200">
        <f t="shared" ref="AC709:AD709" si="1013">1-I709</f>
        <v>0</v>
      </c>
      <c r="AD709" s="200">
        <f t="shared" si="1013"/>
        <v>0</v>
      </c>
      <c r="AE709" s="199">
        <f t="shared" si="6"/>
        <v>2</v>
      </c>
      <c r="AF709" s="201">
        <f t="shared" ref="AF709:AF821" si="1014">MIN((H709),2)</f>
        <v>0</v>
      </c>
      <c r="AG709" s="201">
        <f t="shared" si="8"/>
        <v>1</v>
      </c>
      <c r="AH709" s="202">
        <f t="shared" ref="AH709:AH718" si="1015">(MIN(H709,2)+G709-W709)*20</f>
        <v>0</v>
      </c>
      <c r="AI709" s="205"/>
      <c r="AJ709" s="173"/>
      <c r="AK709" s="173"/>
      <c r="AL709" s="173"/>
      <c r="AM709" s="173"/>
      <c r="AN709" s="173"/>
      <c r="AO709" s="173"/>
      <c r="AP709" s="173"/>
      <c r="AQ709" s="173"/>
      <c r="AR709" s="173"/>
      <c r="AS709" s="173"/>
      <c r="AT709" s="173"/>
      <c r="AU709" s="173"/>
      <c r="AV709" s="173"/>
    </row>
    <row r="710" spans="1:48" ht="14.25">
      <c r="A710" s="576"/>
      <c r="B710" s="577">
        <v>1</v>
      </c>
      <c r="C710" s="578" t="s">
        <v>1561</v>
      </c>
      <c r="D710" s="579" t="s">
        <v>68</v>
      </c>
      <c r="E710" s="579" t="s">
        <v>82</v>
      </c>
      <c r="F710" s="579" t="s">
        <v>115</v>
      </c>
      <c r="G710" s="580">
        <v>2</v>
      </c>
      <c r="H710" s="580">
        <v>0</v>
      </c>
      <c r="I710" s="581">
        <v>0.33</v>
      </c>
      <c r="J710" s="581">
        <v>0.33</v>
      </c>
      <c r="K710" s="582" t="s">
        <v>182</v>
      </c>
      <c r="L710" s="582"/>
      <c r="M710" s="582">
        <v>2</v>
      </c>
      <c r="N710" s="582">
        <v>4</v>
      </c>
      <c r="O710" s="583" t="s">
        <v>1562</v>
      </c>
      <c r="P710" s="584" t="s">
        <v>184</v>
      </c>
      <c r="Q710" s="579" t="s">
        <v>148</v>
      </c>
      <c r="R710" s="173"/>
      <c r="S710" s="195">
        <f>MATCH($D710,Reference!$J$5:$J$9,0)</f>
        <v>3</v>
      </c>
      <c r="T710" s="195">
        <f>MATCH($E710,Reference!$J$26:$J$32,0)</f>
        <v>7</v>
      </c>
      <c r="U710" s="195">
        <f>MATCH($F710,Reference!$J$45:$J$54,0)</f>
        <v>10</v>
      </c>
      <c r="V710" s="196">
        <f>MATCH($K710,Reference!$J$37:$J$39,0)</f>
        <v>3</v>
      </c>
      <c r="W710" s="197">
        <f t="shared" si="1010"/>
        <v>2</v>
      </c>
      <c r="X710" s="197">
        <f t="shared" si="1"/>
        <v>1</v>
      </c>
      <c r="Y710" s="197">
        <f t="shared" si="1011"/>
        <v>0</v>
      </c>
      <c r="Z710" s="197">
        <f t="shared" si="1012"/>
        <v>2</v>
      </c>
      <c r="AA710" s="199" t="b">
        <f t="shared" si="3"/>
        <v>0</v>
      </c>
      <c r="AB710" s="199" t="b">
        <f t="shared" si="4"/>
        <v>0</v>
      </c>
      <c r="AC710" s="200">
        <f t="shared" ref="AC710:AD710" si="1016">1-I710</f>
        <v>0.66999999999999993</v>
      </c>
      <c r="AD710" s="200">
        <f t="shared" si="1016"/>
        <v>0.66999999999999993</v>
      </c>
      <c r="AE710" s="199">
        <f t="shared" si="6"/>
        <v>2</v>
      </c>
      <c r="AF710" s="201">
        <f t="shared" si="1014"/>
        <v>0</v>
      </c>
      <c r="AG710" s="201">
        <f t="shared" si="8"/>
        <v>1</v>
      </c>
      <c r="AH710" s="202">
        <f t="shared" si="1015"/>
        <v>0</v>
      </c>
      <c r="AI710" s="205"/>
      <c r="AJ710" s="173"/>
      <c r="AK710" s="173"/>
      <c r="AL710" s="173"/>
      <c r="AM710" s="173"/>
      <c r="AN710" s="173"/>
      <c r="AO710" s="173"/>
      <c r="AP710" s="173"/>
      <c r="AQ710" s="173"/>
      <c r="AR710" s="173"/>
      <c r="AS710" s="173"/>
      <c r="AT710" s="173"/>
      <c r="AU710" s="173"/>
      <c r="AV710" s="173"/>
    </row>
    <row r="711" spans="1:48" ht="14.25">
      <c r="A711" s="576"/>
      <c r="B711" s="577">
        <v>2</v>
      </c>
      <c r="C711" s="578" t="s">
        <v>1563</v>
      </c>
      <c r="D711" s="579" t="s">
        <v>68</v>
      </c>
      <c r="E711" s="579" t="s">
        <v>82</v>
      </c>
      <c r="F711" s="579" t="s">
        <v>26</v>
      </c>
      <c r="G711" s="580">
        <v>2</v>
      </c>
      <c r="H711" s="580">
        <v>0</v>
      </c>
      <c r="I711" s="581">
        <v>0.66</v>
      </c>
      <c r="J711" s="581">
        <v>0.66</v>
      </c>
      <c r="K711" s="582" t="s">
        <v>182</v>
      </c>
      <c r="L711" s="582"/>
      <c r="M711" s="582">
        <v>2</v>
      </c>
      <c r="N711" s="582">
        <v>3</v>
      </c>
      <c r="O711" s="583" t="s">
        <v>1564</v>
      </c>
      <c r="P711" s="584" t="s">
        <v>184</v>
      </c>
      <c r="Q711" s="579" t="s">
        <v>148</v>
      </c>
      <c r="R711" s="173"/>
      <c r="S711" s="195">
        <f>MATCH($D711,Reference!$J$5:$J$9,0)</f>
        <v>3</v>
      </c>
      <c r="T711" s="195">
        <f>MATCH($E711,Reference!$J$26:$J$32,0)</f>
        <v>7</v>
      </c>
      <c r="U711" s="195">
        <f>MATCH($F711,Reference!$J$45:$J$54,0)</f>
        <v>9</v>
      </c>
      <c r="V711" s="196">
        <f>MATCH($K711,Reference!$J$37:$J$39,0)</f>
        <v>3</v>
      </c>
      <c r="W711" s="197">
        <f t="shared" si="1010"/>
        <v>2</v>
      </c>
      <c r="X711" s="197">
        <f t="shared" si="1"/>
        <v>1</v>
      </c>
      <c r="Y711" s="197">
        <f t="shared" si="1011"/>
        <v>0</v>
      </c>
      <c r="Z711" s="197">
        <f t="shared" si="1012"/>
        <v>2</v>
      </c>
      <c r="AA711" s="199" t="b">
        <f t="shared" si="3"/>
        <v>0</v>
      </c>
      <c r="AB711" s="199" t="b">
        <f t="shared" si="4"/>
        <v>0</v>
      </c>
      <c r="AC711" s="200">
        <f t="shared" ref="AC711:AD711" si="1017">1-I711</f>
        <v>0.33999999999999997</v>
      </c>
      <c r="AD711" s="200">
        <f t="shared" si="1017"/>
        <v>0.33999999999999997</v>
      </c>
      <c r="AE711" s="199">
        <f t="shared" si="6"/>
        <v>2</v>
      </c>
      <c r="AF711" s="201">
        <f t="shared" si="1014"/>
        <v>0</v>
      </c>
      <c r="AG711" s="201">
        <f t="shared" si="8"/>
        <v>1</v>
      </c>
      <c r="AH711" s="202">
        <f t="shared" si="1015"/>
        <v>0</v>
      </c>
      <c r="AI711" s="205"/>
      <c r="AJ711" s="173"/>
      <c r="AK711" s="173"/>
      <c r="AL711" s="173"/>
      <c r="AM711" s="173"/>
      <c r="AN711" s="173"/>
      <c r="AO711" s="173"/>
      <c r="AP711" s="173"/>
      <c r="AQ711" s="173"/>
      <c r="AR711" s="173"/>
      <c r="AS711" s="173"/>
      <c r="AT711" s="173"/>
      <c r="AU711" s="173"/>
      <c r="AV711" s="173"/>
    </row>
    <row r="712" spans="1:48" ht="14.25">
      <c r="A712" s="576"/>
      <c r="B712" s="577">
        <v>2</v>
      </c>
      <c r="C712" s="578" t="s">
        <v>1565</v>
      </c>
      <c r="D712" s="579" t="s">
        <v>68</v>
      </c>
      <c r="E712" s="579" t="s">
        <v>82</v>
      </c>
      <c r="F712" s="579" t="s">
        <v>16</v>
      </c>
      <c r="G712" s="580">
        <v>2</v>
      </c>
      <c r="H712" s="580">
        <v>0</v>
      </c>
      <c r="I712" s="581">
        <v>0.33</v>
      </c>
      <c r="J712" s="581">
        <v>0.33</v>
      </c>
      <c r="K712" s="582" t="s">
        <v>207</v>
      </c>
      <c r="L712" s="582"/>
      <c r="M712" s="582">
        <v>2</v>
      </c>
      <c r="N712" s="582">
        <v>2</v>
      </c>
      <c r="O712" s="583" t="s">
        <v>1566</v>
      </c>
      <c r="P712" s="318"/>
      <c r="Q712" s="579" t="s">
        <v>148</v>
      </c>
      <c r="R712" s="173"/>
      <c r="S712" s="195">
        <f>MATCH($D712,Reference!$J$5:$J$9,0)</f>
        <v>3</v>
      </c>
      <c r="T712" s="195">
        <f>MATCH($E712,Reference!$J$26:$J$32,0)</f>
        <v>7</v>
      </c>
      <c r="U712" s="195">
        <f>MATCH($F712,Reference!$J$45:$J$54,0)</f>
        <v>4</v>
      </c>
      <c r="V712" s="196">
        <f>MATCH($K712,Reference!$J$37:$J$39,0)</f>
        <v>1</v>
      </c>
      <c r="W712" s="197">
        <f t="shared" si="1010"/>
        <v>2</v>
      </c>
      <c r="X712" s="197">
        <f t="shared" si="1"/>
        <v>1</v>
      </c>
      <c r="Y712" s="197">
        <f t="shared" si="1011"/>
        <v>0</v>
      </c>
      <c r="Z712" s="197">
        <f t="shared" si="1012"/>
        <v>2</v>
      </c>
      <c r="AA712" s="199" t="b">
        <f t="shared" si="3"/>
        <v>0</v>
      </c>
      <c r="AB712" s="199" t="b">
        <f t="shared" si="4"/>
        <v>0</v>
      </c>
      <c r="AC712" s="200">
        <f t="shared" ref="AC712:AD712" si="1018">1-I712</f>
        <v>0.66999999999999993</v>
      </c>
      <c r="AD712" s="200">
        <f t="shared" si="1018"/>
        <v>0.66999999999999993</v>
      </c>
      <c r="AE712" s="199">
        <f t="shared" si="6"/>
        <v>2</v>
      </c>
      <c r="AF712" s="201">
        <f t="shared" si="1014"/>
        <v>0</v>
      </c>
      <c r="AG712" s="201">
        <f t="shared" si="8"/>
        <v>1</v>
      </c>
      <c r="AH712" s="202">
        <f t="shared" si="1015"/>
        <v>0</v>
      </c>
      <c r="AI712" s="205"/>
      <c r="AJ712" s="173"/>
      <c r="AK712" s="173"/>
      <c r="AL712" s="173"/>
      <c r="AM712" s="173"/>
      <c r="AN712" s="173"/>
      <c r="AO712" s="173"/>
      <c r="AP712" s="173"/>
      <c r="AQ712" s="173"/>
      <c r="AR712" s="173"/>
      <c r="AS712" s="173"/>
      <c r="AT712" s="173"/>
      <c r="AU712" s="173"/>
      <c r="AV712" s="173"/>
    </row>
    <row r="713" spans="1:48" ht="14.25">
      <c r="A713" s="576"/>
      <c r="B713" s="577">
        <v>2</v>
      </c>
      <c r="C713" s="578" t="s">
        <v>1567</v>
      </c>
      <c r="D713" s="579" t="s">
        <v>68</v>
      </c>
      <c r="E713" s="579" t="s">
        <v>82</v>
      </c>
      <c r="F713" s="579" t="s">
        <v>115</v>
      </c>
      <c r="G713" s="580">
        <v>2</v>
      </c>
      <c r="H713" s="580">
        <v>0</v>
      </c>
      <c r="I713" s="581">
        <v>0</v>
      </c>
      <c r="J713" s="581">
        <v>0</v>
      </c>
      <c r="K713" s="582" t="s">
        <v>182</v>
      </c>
      <c r="L713" s="582"/>
      <c r="M713" s="582">
        <v>2</v>
      </c>
      <c r="N713" s="582">
        <v>4</v>
      </c>
      <c r="O713" s="583" t="s">
        <v>1568</v>
      </c>
      <c r="P713" s="584" t="s">
        <v>1569</v>
      </c>
      <c r="Q713" s="579" t="s">
        <v>148</v>
      </c>
      <c r="R713" s="173"/>
      <c r="S713" s="195">
        <f>MATCH($D713,Reference!$J$5:$J$9,0)</f>
        <v>3</v>
      </c>
      <c r="T713" s="195">
        <f>MATCH($E713,Reference!$J$26:$J$32,0)</f>
        <v>7</v>
      </c>
      <c r="U713" s="195">
        <f>MATCH($F713,Reference!$J$45:$J$54,0)</f>
        <v>10</v>
      </c>
      <c r="V713" s="196">
        <f>MATCH($K713,Reference!$J$37:$J$39,0)</f>
        <v>3</v>
      </c>
      <c r="W713" s="197">
        <f t="shared" si="1010"/>
        <v>2</v>
      </c>
      <c r="X713" s="197">
        <f t="shared" si="1"/>
        <v>1</v>
      </c>
      <c r="Y713" s="197">
        <f t="shared" si="1011"/>
        <v>0</v>
      </c>
      <c r="Z713" s="197">
        <f t="shared" si="1012"/>
        <v>2</v>
      </c>
      <c r="AA713" s="199" t="b">
        <f t="shared" si="3"/>
        <v>0</v>
      </c>
      <c r="AB713" s="199" t="b">
        <f t="shared" si="4"/>
        <v>0</v>
      </c>
      <c r="AC713" s="200">
        <f t="shared" ref="AC713:AD713" si="1019">1-I713</f>
        <v>1</v>
      </c>
      <c r="AD713" s="200">
        <f t="shared" si="1019"/>
        <v>1</v>
      </c>
      <c r="AE713" s="199">
        <f t="shared" si="6"/>
        <v>2</v>
      </c>
      <c r="AF713" s="201">
        <f t="shared" si="1014"/>
        <v>0</v>
      </c>
      <c r="AG713" s="201">
        <f t="shared" si="8"/>
        <v>1</v>
      </c>
      <c r="AH713" s="202">
        <f t="shared" si="1015"/>
        <v>0</v>
      </c>
      <c r="AI713" s="205"/>
      <c r="AJ713" s="173"/>
      <c r="AK713" s="173"/>
      <c r="AL713" s="173"/>
      <c r="AM713" s="173"/>
      <c r="AN713" s="173"/>
      <c r="AO713" s="173"/>
      <c r="AP713" s="173"/>
      <c r="AQ713" s="173"/>
      <c r="AR713" s="173"/>
      <c r="AS713" s="173"/>
      <c r="AT713" s="173"/>
      <c r="AU713" s="173"/>
      <c r="AV713" s="173"/>
    </row>
    <row r="714" spans="1:48" ht="14.25">
      <c r="A714" s="576"/>
      <c r="B714" s="577">
        <v>2</v>
      </c>
      <c r="C714" s="578" t="s">
        <v>1570</v>
      </c>
      <c r="D714" s="579" t="s">
        <v>68</v>
      </c>
      <c r="E714" s="579" t="s">
        <v>82</v>
      </c>
      <c r="F714" s="579" t="s">
        <v>18</v>
      </c>
      <c r="G714" s="580">
        <v>2</v>
      </c>
      <c r="H714" s="580">
        <v>0</v>
      </c>
      <c r="I714" s="581">
        <v>0</v>
      </c>
      <c r="J714" s="581">
        <v>0</v>
      </c>
      <c r="K714" s="582" t="s">
        <v>146</v>
      </c>
      <c r="L714" s="582"/>
      <c r="M714" s="582"/>
      <c r="N714" s="582"/>
      <c r="O714" s="583" t="s">
        <v>1571</v>
      </c>
      <c r="P714" s="318"/>
      <c r="Q714" s="579" t="s">
        <v>148</v>
      </c>
      <c r="R714" s="173"/>
      <c r="S714" s="195">
        <f>MATCH($D714,Reference!$J$5:$J$9,0)</f>
        <v>3</v>
      </c>
      <c r="T714" s="195">
        <f>MATCH($E714,Reference!$J$26:$J$32,0)</f>
        <v>7</v>
      </c>
      <c r="U714" s="195">
        <f>MATCH($F714,Reference!$J$45:$J$54,0)</f>
        <v>5</v>
      </c>
      <c r="V714" s="196">
        <f>MATCH($K714,Reference!$J$37:$J$39,0)</f>
        <v>2</v>
      </c>
      <c r="W714" s="197">
        <f t="shared" si="1010"/>
        <v>2</v>
      </c>
      <c r="X714" s="197">
        <f t="shared" si="1"/>
        <v>1</v>
      </c>
      <c r="Y714" s="197">
        <f t="shared" si="1011"/>
        <v>0</v>
      </c>
      <c r="Z714" s="197">
        <f t="shared" si="1012"/>
        <v>2</v>
      </c>
      <c r="AA714" s="199" t="b">
        <f t="shared" si="3"/>
        <v>0</v>
      </c>
      <c r="AB714" s="199" t="b">
        <f t="shared" si="4"/>
        <v>0</v>
      </c>
      <c r="AC714" s="200">
        <f t="shared" ref="AC714:AD714" si="1020">1-I714</f>
        <v>1</v>
      </c>
      <c r="AD714" s="200">
        <f t="shared" si="1020"/>
        <v>1</v>
      </c>
      <c r="AE714" s="199">
        <f t="shared" si="6"/>
        <v>2</v>
      </c>
      <c r="AF714" s="201">
        <f t="shared" si="1014"/>
        <v>0</v>
      </c>
      <c r="AG714" s="201">
        <f t="shared" si="8"/>
        <v>1</v>
      </c>
      <c r="AH714" s="202">
        <f t="shared" si="1015"/>
        <v>0</v>
      </c>
      <c r="AI714" s="205"/>
      <c r="AJ714" s="173"/>
      <c r="AK714" s="173"/>
      <c r="AL714" s="173"/>
      <c r="AM714" s="173"/>
      <c r="AN714" s="173"/>
      <c r="AO714" s="173"/>
      <c r="AP714" s="173"/>
      <c r="AQ714" s="173"/>
      <c r="AR714" s="173"/>
      <c r="AS714" s="173"/>
      <c r="AT714" s="173"/>
      <c r="AU714" s="173"/>
      <c r="AV714" s="173"/>
    </row>
    <row r="715" spans="1:48" ht="14.25">
      <c r="A715" s="576"/>
      <c r="B715" s="577">
        <v>2</v>
      </c>
      <c r="C715" s="578" t="s">
        <v>1572</v>
      </c>
      <c r="D715" s="579" t="s">
        <v>68</v>
      </c>
      <c r="E715" s="579" t="s">
        <v>82</v>
      </c>
      <c r="F715" s="579" t="s">
        <v>20</v>
      </c>
      <c r="G715" s="580">
        <v>2</v>
      </c>
      <c r="H715" s="580">
        <v>0</v>
      </c>
      <c r="I715" s="581">
        <v>0.33</v>
      </c>
      <c r="J715" s="581">
        <v>0.33</v>
      </c>
      <c r="K715" s="582" t="s">
        <v>182</v>
      </c>
      <c r="L715" s="582"/>
      <c r="M715" s="582">
        <v>2</v>
      </c>
      <c r="N715" s="582">
        <v>2</v>
      </c>
      <c r="O715" s="583" t="s">
        <v>1573</v>
      </c>
      <c r="P715" s="318"/>
      <c r="Q715" s="579" t="s">
        <v>148</v>
      </c>
      <c r="R715" s="173"/>
      <c r="S715" s="195">
        <f>MATCH($D715,Reference!$J$5:$J$9,0)</f>
        <v>3</v>
      </c>
      <c r="T715" s="195">
        <f>MATCH($E715,Reference!$J$26:$J$32,0)</f>
        <v>7</v>
      </c>
      <c r="U715" s="195">
        <f>MATCH($F715,Reference!$J$45:$J$54,0)</f>
        <v>6</v>
      </c>
      <c r="V715" s="196">
        <f>MATCH($K715,Reference!$J$37:$J$39,0)</f>
        <v>3</v>
      </c>
      <c r="W715" s="197">
        <f t="shared" si="1010"/>
        <v>2</v>
      </c>
      <c r="X715" s="197">
        <f t="shared" si="1"/>
        <v>1</v>
      </c>
      <c r="Y715" s="197">
        <f t="shared" si="1011"/>
        <v>0</v>
      </c>
      <c r="Z715" s="197">
        <f t="shared" si="1012"/>
        <v>2</v>
      </c>
      <c r="AA715" s="199" t="b">
        <f t="shared" si="3"/>
        <v>0</v>
      </c>
      <c r="AB715" s="199" t="b">
        <f t="shared" si="4"/>
        <v>0</v>
      </c>
      <c r="AC715" s="200">
        <f t="shared" ref="AC715:AD715" si="1021">1-I715</f>
        <v>0.66999999999999993</v>
      </c>
      <c r="AD715" s="200">
        <f t="shared" si="1021"/>
        <v>0.66999999999999993</v>
      </c>
      <c r="AE715" s="199">
        <f t="shared" si="6"/>
        <v>2</v>
      </c>
      <c r="AF715" s="201">
        <f t="shared" si="1014"/>
        <v>0</v>
      </c>
      <c r="AG715" s="201">
        <f t="shared" si="8"/>
        <v>1</v>
      </c>
      <c r="AH715" s="202">
        <f t="shared" si="1015"/>
        <v>0</v>
      </c>
      <c r="AI715" s="205"/>
      <c r="AJ715" s="173"/>
      <c r="AK715" s="173"/>
      <c r="AL715" s="173"/>
      <c r="AM715" s="173"/>
      <c r="AN715" s="173"/>
      <c r="AO715" s="173"/>
      <c r="AP715" s="173"/>
      <c r="AQ715" s="173"/>
      <c r="AR715" s="173"/>
      <c r="AS715" s="173"/>
      <c r="AT715" s="173"/>
      <c r="AU715" s="173"/>
      <c r="AV715" s="173"/>
    </row>
    <row r="716" spans="1:48" ht="14.25">
      <c r="A716" s="576"/>
      <c r="B716" s="577">
        <v>2</v>
      </c>
      <c r="C716" s="578" t="s">
        <v>1574</v>
      </c>
      <c r="D716" s="579" t="s">
        <v>68</v>
      </c>
      <c r="E716" s="579" t="s">
        <v>82</v>
      </c>
      <c r="F716" s="579" t="s">
        <v>8</v>
      </c>
      <c r="G716" s="580">
        <v>2</v>
      </c>
      <c r="H716" s="580">
        <v>2</v>
      </c>
      <c r="I716" s="581">
        <v>1</v>
      </c>
      <c r="J716" s="581">
        <v>1</v>
      </c>
      <c r="K716" s="582" t="s">
        <v>182</v>
      </c>
      <c r="L716" s="582"/>
      <c r="M716" s="582">
        <v>2</v>
      </c>
      <c r="N716" s="582">
        <v>3</v>
      </c>
      <c r="O716" s="583" t="s">
        <v>1575</v>
      </c>
      <c r="P716" s="584" t="s">
        <v>184</v>
      </c>
      <c r="Q716" s="579" t="s">
        <v>148</v>
      </c>
      <c r="R716" s="173"/>
      <c r="S716" s="195">
        <f>MATCH($D716,Reference!$J$5:$J$9,0)</f>
        <v>3</v>
      </c>
      <c r="T716" s="195">
        <f>MATCH($E716,Reference!$J$26:$J$32,0)</f>
        <v>7</v>
      </c>
      <c r="U716" s="195">
        <f>MATCH($F716,Reference!$J$45:$J$54,0)</f>
        <v>1</v>
      </c>
      <c r="V716" s="196">
        <f>MATCH($K716,Reference!$J$37:$J$39,0)</f>
        <v>3</v>
      </c>
      <c r="W716" s="197">
        <f t="shared" si="1010"/>
        <v>2</v>
      </c>
      <c r="X716" s="197">
        <f t="shared" si="1"/>
        <v>1</v>
      </c>
      <c r="Y716" s="197">
        <f t="shared" si="1011"/>
        <v>200</v>
      </c>
      <c r="Z716" s="197">
        <f t="shared" si="1012"/>
        <v>2</v>
      </c>
      <c r="AA716" s="199" t="b">
        <f t="shared" si="3"/>
        <v>0</v>
      </c>
      <c r="AB716" s="199" t="b">
        <f t="shared" si="4"/>
        <v>0</v>
      </c>
      <c r="AC716" s="200">
        <f t="shared" ref="AC716:AD716" si="1022">1-I716</f>
        <v>0</v>
      </c>
      <c r="AD716" s="200">
        <f t="shared" si="1022"/>
        <v>0</v>
      </c>
      <c r="AE716" s="199">
        <f t="shared" si="6"/>
        <v>2</v>
      </c>
      <c r="AF716" s="201">
        <f t="shared" si="1014"/>
        <v>2</v>
      </c>
      <c r="AG716" s="201">
        <f t="shared" si="8"/>
        <v>1</v>
      </c>
      <c r="AH716" s="202">
        <f t="shared" si="1015"/>
        <v>40</v>
      </c>
      <c r="AI716" s="205"/>
      <c r="AJ716" s="173"/>
      <c r="AK716" s="173"/>
      <c r="AL716" s="173"/>
      <c r="AM716" s="173"/>
      <c r="AN716" s="173"/>
      <c r="AO716" s="173"/>
      <c r="AP716" s="173"/>
      <c r="AQ716" s="173"/>
      <c r="AR716" s="173"/>
      <c r="AS716" s="173"/>
      <c r="AT716" s="173"/>
      <c r="AU716" s="173"/>
      <c r="AV716" s="173"/>
    </row>
    <row r="717" spans="1:48" ht="14.25">
      <c r="A717" s="576"/>
      <c r="B717" s="577">
        <v>2</v>
      </c>
      <c r="C717" s="578" t="s">
        <v>1576</v>
      </c>
      <c r="D717" s="579" t="s">
        <v>68</v>
      </c>
      <c r="E717" s="579" t="s">
        <v>82</v>
      </c>
      <c r="F717" s="579" t="s">
        <v>13</v>
      </c>
      <c r="G717" s="580">
        <v>2</v>
      </c>
      <c r="H717" s="580">
        <v>0</v>
      </c>
      <c r="I717" s="581">
        <v>0.66</v>
      </c>
      <c r="J717" s="581">
        <v>0.66</v>
      </c>
      <c r="K717" s="582" t="s">
        <v>182</v>
      </c>
      <c r="L717" s="582"/>
      <c r="M717" s="582">
        <v>3</v>
      </c>
      <c r="N717" s="582">
        <v>2</v>
      </c>
      <c r="O717" s="583" t="s">
        <v>1577</v>
      </c>
      <c r="P717" s="318"/>
      <c r="Q717" s="579" t="s">
        <v>148</v>
      </c>
      <c r="R717" s="173"/>
      <c r="S717" s="195">
        <f>MATCH($D717,Reference!$J$5:$J$9,0)</f>
        <v>3</v>
      </c>
      <c r="T717" s="195">
        <f>MATCH($E717,Reference!$J$26:$J$32,0)</f>
        <v>7</v>
      </c>
      <c r="U717" s="195">
        <f>MATCH($F717,Reference!$J$45:$J$54,0)</f>
        <v>3</v>
      </c>
      <c r="V717" s="196">
        <f>MATCH($K717,Reference!$J$37:$J$39,0)</f>
        <v>3</v>
      </c>
      <c r="W717" s="197">
        <f t="shared" si="1010"/>
        <v>2</v>
      </c>
      <c r="X717" s="197">
        <f t="shared" si="1"/>
        <v>1</v>
      </c>
      <c r="Y717" s="197">
        <f t="shared" si="1011"/>
        <v>0</v>
      </c>
      <c r="Z717" s="197">
        <f t="shared" si="1012"/>
        <v>2</v>
      </c>
      <c r="AA717" s="199" t="b">
        <f t="shared" si="3"/>
        <v>0</v>
      </c>
      <c r="AB717" s="199" t="b">
        <f t="shared" si="4"/>
        <v>0</v>
      </c>
      <c r="AC717" s="200">
        <f t="shared" ref="AC717:AD717" si="1023">1-I717</f>
        <v>0.33999999999999997</v>
      </c>
      <c r="AD717" s="200">
        <f t="shared" si="1023"/>
        <v>0.33999999999999997</v>
      </c>
      <c r="AE717" s="199">
        <f t="shared" si="6"/>
        <v>2</v>
      </c>
      <c r="AF717" s="201">
        <f t="shared" si="1014"/>
        <v>0</v>
      </c>
      <c r="AG717" s="201">
        <f t="shared" si="8"/>
        <v>1</v>
      </c>
      <c r="AH717" s="202">
        <f t="shared" si="1015"/>
        <v>0</v>
      </c>
      <c r="AI717" s="205"/>
      <c r="AJ717" s="173"/>
      <c r="AK717" s="173"/>
      <c r="AL717" s="173"/>
      <c r="AM717" s="173"/>
      <c r="AN717" s="173"/>
      <c r="AO717" s="173"/>
      <c r="AP717" s="173"/>
      <c r="AQ717" s="173"/>
      <c r="AR717" s="173"/>
      <c r="AS717" s="173"/>
      <c r="AT717" s="173"/>
      <c r="AU717" s="173"/>
      <c r="AV717" s="173"/>
    </row>
    <row r="718" spans="1:48" ht="14.25">
      <c r="A718" s="576"/>
      <c r="B718" s="577">
        <v>2</v>
      </c>
      <c r="C718" s="578" t="s">
        <v>1578</v>
      </c>
      <c r="D718" s="579" t="s">
        <v>68</v>
      </c>
      <c r="E718" s="579" t="s">
        <v>82</v>
      </c>
      <c r="F718" s="579" t="s">
        <v>26</v>
      </c>
      <c r="G718" s="580">
        <v>2</v>
      </c>
      <c r="H718" s="580">
        <v>0</v>
      </c>
      <c r="I718" s="581">
        <v>0.33</v>
      </c>
      <c r="J718" s="581">
        <v>0.33</v>
      </c>
      <c r="K718" s="582" t="s">
        <v>182</v>
      </c>
      <c r="L718" s="582"/>
      <c r="M718" s="582">
        <v>3</v>
      </c>
      <c r="N718" s="582">
        <v>2</v>
      </c>
      <c r="O718" s="583" t="s">
        <v>1579</v>
      </c>
      <c r="P718" s="584" t="s">
        <v>193</v>
      </c>
      <c r="Q718" s="579" t="s">
        <v>148</v>
      </c>
      <c r="R718" s="173"/>
      <c r="S718" s="195">
        <f>MATCH($D718,Reference!$J$5:$J$9,0)</f>
        <v>3</v>
      </c>
      <c r="T718" s="195">
        <f>MATCH($E718,Reference!$J$26:$J$32,0)</f>
        <v>7</v>
      </c>
      <c r="U718" s="195">
        <f>MATCH($F718,Reference!$J$45:$J$54,0)</f>
        <v>9</v>
      </c>
      <c r="V718" s="196">
        <f>MATCH($K718,Reference!$J$37:$J$39,0)</f>
        <v>3</v>
      </c>
      <c r="W718" s="197">
        <f t="shared" si="1010"/>
        <v>2</v>
      </c>
      <c r="X718" s="197">
        <f t="shared" si="1"/>
        <v>1</v>
      </c>
      <c r="Y718" s="197">
        <f t="shared" si="1011"/>
        <v>0</v>
      </c>
      <c r="Z718" s="197">
        <f t="shared" si="1012"/>
        <v>2</v>
      </c>
      <c r="AA718" s="199" t="b">
        <f t="shared" si="3"/>
        <v>0</v>
      </c>
      <c r="AB718" s="199" t="b">
        <f t="shared" si="4"/>
        <v>0</v>
      </c>
      <c r="AC718" s="200">
        <f t="shared" ref="AC718:AD718" si="1024">1-I718</f>
        <v>0.66999999999999993</v>
      </c>
      <c r="AD718" s="200">
        <f t="shared" si="1024"/>
        <v>0.66999999999999993</v>
      </c>
      <c r="AE718" s="199">
        <f t="shared" si="6"/>
        <v>2</v>
      </c>
      <c r="AF718" s="201">
        <f t="shared" si="1014"/>
        <v>0</v>
      </c>
      <c r="AG718" s="201">
        <f t="shared" si="8"/>
        <v>1</v>
      </c>
      <c r="AH718" s="202">
        <f t="shared" si="1015"/>
        <v>0</v>
      </c>
      <c r="AI718" s="205"/>
      <c r="AJ718" s="173"/>
      <c r="AK718" s="173"/>
      <c r="AL718" s="173"/>
      <c r="AM718" s="173"/>
      <c r="AN718" s="173"/>
      <c r="AO718" s="173"/>
      <c r="AP718" s="173"/>
      <c r="AQ718" s="173"/>
      <c r="AR718" s="173"/>
      <c r="AS718" s="173"/>
      <c r="AT718" s="173"/>
      <c r="AU718" s="173"/>
      <c r="AV718" s="173"/>
    </row>
    <row r="719" spans="1:48" ht="14.25">
      <c r="A719" s="576"/>
      <c r="B719" s="577">
        <v>2</v>
      </c>
      <c r="C719" s="578" t="s">
        <v>1580</v>
      </c>
      <c r="D719" s="582" t="s">
        <v>68</v>
      </c>
      <c r="E719" s="582" t="s">
        <v>82</v>
      </c>
      <c r="F719" s="582" t="s">
        <v>25</v>
      </c>
      <c r="G719" s="585">
        <v>2</v>
      </c>
      <c r="H719" s="585">
        <v>0</v>
      </c>
      <c r="I719" s="581">
        <v>0</v>
      </c>
      <c r="J719" s="586">
        <v>0</v>
      </c>
      <c r="K719" s="587" t="s">
        <v>182</v>
      </c>
      <c r="L719" s="587" t="s">
        <v>239</v>
      </c>
      <c r="M719" s="587">
        <v>3</v>
      </c>
      <c r="N719" s="587">
        <v>2</v>
      </c>
      <c r="O719" s="588" t="s">
        <v>1581</v>
      </c>
      <c r="P719" s="318"/>
      <c r="Q719" s="582" t="s">
        <v>148</v>
      </c>
      <c r="R719" s="173"/>
      <c r="S719" s="195">
        <f>MATCH($D719,Reference!$J$5:$J$9,0)</f>
        <v>3</v>
      </c>
      <c r="T719" s="195">
        <f>MATCH($E719,Reference!$J$26:$J$32,0)</f>
        <v>7</v>
      </c>
      <c r="U719" s="195">
        <f>MATCH($F719,Reference!$J$45:$J$54,0)</f>
        <v>8</v>
      </c>
      <c r="V719" s="196">
        <f>MATCH($K719,Reference!$J$37:$J$39,0)</f>
        <v>3</v>
      </c>
      <c r="W719" s="197">
        <f t="shared" si="1010"/>
        <v>2</v>
      </c>
      <c r="X719" s="197">
        <f t="shared" si="1"/>
        <v>1</v>
      </c>
      <c r="Y719" s="197">
        <f t="shared" si="1011"/>
        <v>0</v>
      </c>
      <c r="Z719" s="197">
        <f t="shared" si="1012"/>
        <v>2</v>
      </c>
      <c r="AA719" s="199" t="b">
        <f t="shared" si="3"/>
        <v>0</v>
      </c>
      <c r="AB719" s="199" t="b">
        <f t="shared" si="4"/>
        <v>0</v>
      </c>
      <c r="AC719" s="200">
        <f t="shared" ref="AC719:AD719" si="1025">1-I719</f>
        <v>1</v>
      </c>
      <c r="AD719" s="200">
        <f t="shared" si="1025"/>
        <v>1</v>
      </c>
      <c r="AE719" s="199">
        <f t="shared" si="6"/>
        <v>2</v>
      </c>
      <c r="AF719" s="201">
        <f t="shared" si="1014"/>
        <v>0</v>
      </c>
      <c r="AG719" s="201">
        <f t="shared" si="8"/>
        <v>1</v>
      </c>
      <c r="AH719" s="202">
        <f>(MIN(H719,2)+G719-W719)*100</f>
        <v>0</v>
      </c>
      <c r="AI719" s="205"/>
      <c r="AJ719" s="173"/>
      <c r="AK719" s="173"/>
      <c r="AL719" s="173"/>
      <c r="AM719" s="173"/>
      <c r="AN719" s="173"/>
      <c r="AO719" s="173"/>
      <c r="AP719" s="173"/>
      <c r="AQ719" s="173"/>
      <c r="AR719" s="173"/>
      <c r="AS719" s="173"/>
      <c r="AT719" s="173"/>
      <c r="AU719" s="173"/>
      <c r="AV719" s="173"/>
    </row>
    <row r="720" spans="1:48" ht="14.25">
      <c r="A720" s="574"/>
      <c r="B720" s="577">
        <v>2</v>
      </c>
      <c r="C720" s="578" t="s">
        <v>1582</v>
      </c>
      <c r="D720" s="579" t="s">
        <v>68</v>
      </c>
      <c r="E720" s="579" t="s">
        <v>82</v>
      </c>
      <c r="F720" s="579" t="s">
        <v>18</v>
      </c>
      <c r="G720" s="580">
        <v>2</v>
      </c>
      <c r="H720" s="580">
        <v>0</v>
      </c>
      <c r="I720" s="581">
        <v>1</v>
      </c>
      <c r="J720" s="581">
        <v>1</v>
      </c>
      <c r="K720" s="582" t="s">
        <v>182</v>
      </c>
      <c r="L720" s="582"/>
      <c r="M720" s="582">
        <v>1</v>
      </c>
      <c r="N720" s="582">
        <v>4</v>
      </c>
      <c r="O720" s="583" t="s">
        <v>1498</v>
      </c>
      <c r="P720" s="584" t="s">
        <v>184</v>
      </c>
      <c r="Q720" s="579" t="s">
        <v>148</v>
      </c>
      <c r="R720" s="173"/>
      <c r="S720" s="195">
        <f>MATCH($D720,Reference!$J$5:$J$9,0)</f>
        <v>3</v>
      </c>
      <c r="T720" s="195">
        <f>MATCH($E720,Reference!$J$26:$J$32,0)</f>
        <v>7</v>
      </c>
      <c r="U720" s="195">
        <f>MATCH($F720,Reference!$J$45:$J$54,0)</f>
        <v>5</v>
      </c>
      <c r="V720" s="196">
        <f>MATCH($K720,Reference!$J$37:$J$39,0)</f>
        <v>3</v>
      </c>
      <c r="W720" s="197">
        <f t="shared" si="1010"/>
        <v>2</v>
      </c>
      <c r="X720" s="197">
        <f t="shared" si="1"/>
        <v>1</v>
      </c>
      <c r="Y720" s="197">
        <f t="shared" si="1011"/>
        <v>0</v>
      </c>
      <c r="Z720" s="197">
        <f t="shared" si="1012"/>
        <v>2</v>
      </c>
      <c r="AA720" s="199" t="b">
        <f t="shared" si="3"/>
        <v>0</v>
      </c>
      <c r="AB720" s="199" t="b">
        <f t="shared" si="4"/>
        <v>0</v>
      </c>
      <c r="AC720" s="200">
        <f t="shared" ref="AC720:AD720" si="1026">1-I720</f>
        <v>0</v>
      </c>
      <c r="AD720" s="200">
        <f t="shared" si="1026"/>
        <v>0</v>
      </c>
      <c r="AE720" s="199">
        <f t="shared" si="6"/>
        <v>2</v>
      </c>
      <c r="AF720" s="201">
        <f t="shared" si="1014"/>
        <v>0</v>
      </c>
      <c r="AG720" s="201">
        <f t="shared" si="8"/>
        <v>1</v>
      </c>
      <c r="AH720" s="202">
        <f t="shared" ref="AH720:AH744" si="1027">(MIN(H720,2)+G720-W720)*20</f>
        <v>0</v>
      </c>
      <c r="AI720" s="205"/>
      <c r="AJ720" s="173"/>
      <c r="AK720" s="173"/>
      <c r="AL720" s="173"/>
      <c r="AM720" s="173"/>
      <c r="AN720" s="173"/>
      <c r="AO720" s="173"/>
      <c r="AP720" s="173"/>
      <c r="AQ720" s="173"/>
      <c r="AR720" s="173"/>
      <c r="AS720" s="173"/>
      <c r="AT720" s="173"/>
      <c r="AU720" s="173"/>
      <c r="AV720" s="173"/>
    </row>
    <row r="721" spans="1:48" ht="14.25">
      <c r="A721" s="574"/>
      <c r="B721" s="577">
        <v>3</v>
      </c>
      <c r="C721" s="578" t="s">
        <v>1583</v>
      </c>
      <c r="D721" s="579" t="s">
        <v>68</v>
      </c>
      <c r="E721" s="579" t="s">
        <v>82</v>
      </c>
      <c r="F721" s="579" t="s">
        <v>20</v>
      </c>
      <c r="G721" s="580">
        <v>2</v>
      </c>
      <c r="H721" s="580">
        <v>0</v>
      </c>
      <c r="I721" s="581">
        <v>0</v>
      </c>
      <c r="J721" s="581">
        <v>0</v>
      </c>
      <c r="K721" s="582" t="s">
        <v>146</v>
      </c>
      <c r="L721" s="582"/>
      <c r="M721" s="582"/>
      <c r="N721" s="582"/>
      <c r="O721" s="583" t="s">
        <v>1584</v>
      </c>
      <c r="P721" s="318"/>
      <c r="Q721" s="579" t="s">
        <v>148</v>
      </c>
      <c r="R721" s="173"/>
      <c r="S721" s="195">
        <f>MATCH($D721,Reference!$J$5:$J$9,0)</f>
        <v>3</v>
      </c>
      <c r="T721" s="195">
        <f>MATCH($E721,Reference!$J$26:$J$32,0)</f>
        <v>7</v>
      </c>
      <c r="U721" s="195">
        <f>MATCH($F721,Reference!$J$45:$J$54,0)</f>
        <v>6</v>
      </c>
      <c r="V721" s="196">
        <f>MATCH($K721,Reference!$J$37:$J$39,0)</f>
        <v>2</v>
      </c>
      <c r="W721" s="197">
        <f t="shared" si="1010"/>
        <v>2</v>
      </c>
      <c r="X721" s="197">
        <f t="shared" si="1"/>
        <v>1</v>
      </c>
      <c r="Y721" s="197">
        <f t="shared" si="1011"/>
        <v>0</v>
      </c>
      <c r="Z721" s="197">
        <f t="shared" si="1012"/>
        <v>2</v>
      </c>
      <c r="AA721" s="199" t="b">
        <f t="shared" si="3"/>
        <v>0</v>
      </c>
      <c r="AB721" s="199" t="b">
        <f t="shared" si="4"/>
        <v>0</v>
      </c>
      <c r="AC721" s="200">
        <f t="shared" ref="AC721:AD721" si="1028">1-I721</f>
        <v>1</v>
      </c>
      <c r="AD721" s="200">
        <f t="shared" si="1028"/>
        <v>1</v>
      </c>
      <c r="AE721" s="199">
        <f t="shared" si="6"/>
        <v>2</v>
      </c>
      <c r="AF721" s="201">
        <f t="shared" si="1014"/>
        <v>0</v>
      </c>
      <c r="AG721" s="201">
        <f t="shared" si="8"/>
        <v>1</v>
      </c>
      <c r="AH721" s="202">
        <f t="shared" si="1027"/>
        <v>0</v>
      </c>
      <c r="AI721" s="205"/>
      <c r="AJ721" s="173"/>
      <c r="AK721" s="173"/>
      <c r="AL721" s="173"/>
      <c r="AM721" s="173"/>
      <c r="AN721" s="173"/>
      <c r="AO721" s="173"/>
      <c r="AP721" s="173"/>
      <c r="AQ721" s="173"/>
      <c r="AR721" s="173"/>
      <c r="AS721" s="173"/>
      <c r="AT721" s="173"/>
      <c r="AU721" s="173"/>
      <c r="AV721" s="173"/>
    </row>
    <row r="722" spans="1:48" ht="14.25">
      <c r="A722" s="574"/>
      <c r="B722" s="577">
        <v>3</v>
      </c>
      <c r="C722" s="578" t="s">
        <v>1585</v>
      </c>
      <c r="D722" s="579" t="s">
        <v>68</v>
      </c>
      <c r="E722" s="579" t="s">
        <v>82</v>
      </c>
      <c r="F722" s="579" t="s">
        <v>115</v>
      </c>
      <c r="G722" s="580">
        <v>2</v>
      </c>
      <c r="H722" s="580">
        <v>0</v>
      </c>
      <c r="I722" s="581">
        <v>0</v>
      </c>
      <c r="J722" s="581">
        <v>0</v>
      </c>
      <c r="K722" s="582" t="s">
        <v>182</v>
      </c>
      <c r="L722" s="582"/>
      <c r="M722" s="582">
        <v>2</v>
      </c>
      <c r="N722" s="582">
        <v>5</v>
      </c>
      <c r="O722" s="583" t="s">
        <v>1586</v>
      </c>
      <c r="P722" s="584" t="s">
        <v>1374</v>
      </c>
      <c r="Q722" s="579" t="s">
        <v>148</v>
      </c>
      <c r="R722" s="173"/>
      <c r="S722" s="195">
        <f>MATCH($D722,Reference!$J$5:$J$9,0)</f>
        <v>3</v>
      </c>
      <c r="T722" s="195">
        <f>MATCH($E722,Reference!$J$26:$J$32,0)</f>
        <v>7</v>
      </c>
      <c r="U722" s="195">
        <f>MATCH($F722,Reference!$J$45:$J$54,0)</f>
        <v>10</v>
      </c>
      <c r="V722" s="196">
        <f>MATCH($K722,Reference!$J$37:$J$39,0)</f>
        <v>3</v>
      </c>
      <c r="W722" s="197">
        <f t="shared" si="1010"/>
        <v>2</v>
      </c>
      <c r="X722" s="197">
        <f t="shared" si="1"/>
        <v>1</v>
      </c>
      <c r="Y722" s="197">
        <f t="shared" si="1011"/>
        <v>0</v>
      </c>
      <c r="Z722" s="197">
        <f t="shared" si="1012"/>
        <v>2</v>
      </c>
      <c r="AA722" s="199" t="b">
        <f t="shared" si="3"/>
        <v>0</v>
      </c>
      <c r="AB722" s="199" t="b">
        <f t="shared" si="4"/>
        <v>0</v>
      </c>
      <c r="AC722" s="200">
        <f t="shared" ref="AC722:AD722" si="1029">1-I722</f>
        <v>1</v>
      </c>
      <c r="AD722" s="200">
        <f t="shared" si="1029"/>
        <v>1</v>
      </c>
      <c r="AE722" s="199">
        <f t="shared" si="6"/>
        <v>2</v>
      </c>
      <c r="AF722" s="201">
        <f t="shared" si="1014"/>
        <v>0</v>
      </c>
      <c r="AG722" s="201">
        <f t="shared" si="8"/>
        <v>1</v>
      </c>
      <c r="AH722" s="202">
        <f t="shared" si="1027"/>
        <v>0</v>
      </c>
      <c r="AI722" s="205"/>
      <c r="AJ722" s="173"/>
      <c r="AK722" s="173"/>
      <c r="AL722" s="173"/>
      <c r="AM722" s="173"/>
      <c r="AN722" s="173"/>
      <c r="AO722" s="173"/>
      <c r="AP722" s="173"/>
      <c r="AQ722" s="173"/>
      <c r="AR722" s="173"/>
      <c r="AS722" s="173"/>
      <c r="AT722" s="173"/>
      <c r="AU722" s="173"/>
      <c r="AV722" s="173"/>
    </row>
    <row r="723" spans="1:48" ht="14.25">
      <c r="A723" s="574"/>
      <c r="B723" s="577">
        <v>3</v>
      </c>
      <c r="C723" s="578" t="s">
        <v>1587</v>
      </c>
      <c r="D723" s="579" t="s">
        <v>68</v>
      </c>
      <c r="E723" s="579" t="s">
        <v>82</v>
      </c>
      <c r="F723" s="579" t="s">
        <v>13</v>
      </c>
      <c r="G723" s="580">
        <v>2</v>
      </c>
      <c r="H723" s="580">
        <v>0</v>
      </c>
      <c r="I723" s="581">
        <v>1</v>
      </c>
      <c r="J723" s="581">
        <v>0.66</v>
      </c>
      <c r="K723" s="582" t="s">
        <v>146</v>
      </c>
      <c r="L723" s="582"/>
      <c r="M723" s="582"/>
      <c r="N723" s="582"/>
      <c r="O723" s="583" t="s">
        <v>1588</v>
      </c>
      <c r="P723" s="318"/>
      <c r="Q723" s="579" t="s">
        <v>148</v>
      </c>
      <c r="R723" s="173"/>
      <c r="S723" s="195">
        <f>MATCH($D723,Reference!$J$5:$J$9,0)</f>
        <v>3</v>
      </c>
      <c r="T723" s="195">
        <f>MATCH($E723,Reference!$J$26:$J$32,0)</f>
        <v>7</v>
      </c>
      <c r="U723" s="195">
        <f>MATCH($F723,Reference!$J$45:$J$54,0)</f>
        <v>3</v>
      </c>
      <c r="V723" s="196">
        <f>MATCH($K723,Reference!$J$37:$J$39,0)</f>
        <v>2</v>
      </c>
      <c r="W723" s="197">
        <f t="shared" si="1010"/>
        <v>2</v>
      </c>
      <c r="X723" s="197">
        <f t="shared" si="1"/>
        <v>1</v>
      </c>
      <c r="Y723" s="197">
        <f t="shared" si="1011"/>
        <v>0</v>
      </c>
      <c r="Z723" s="197">
        <f t="shared" si="1012"/>
        <v>2</v>
      </c>
      <c r="AA723" s="199" t="b">
        <f t="shared" si="3"/>
        <v>0</v>
      </c>
      <c r="AB723" s="199" t="b">
        <f t="shared" si="4"/>
        <v>0</v>
      </c>
      <c r="AC723" s="200">
        <f t="shared" ref="AC723:AD723" si="1030">1-I723</f>
        <v>0</v>
      </c>
      <c r="AD723" s="200">
        <f t="shared" si="1030"/>
        <v>0.33999999999999997</v>
      </c>
      <c r="AE723" s="199">
        <f t="shared" si="6"/>
        <v>2</v>
      </c>
      <c r="AF723" s="201">
        <f t="shared" si="1014"/>
        <v>0</v>
      </c>
      <c r="AG723" s="201">
        <f t="shared" si="8"/>
        <v>1</v>
      </c>
      <c r="AH723" s="202">
        <f t="shared" si="1027"/>
        <v>0</v>
      </c>
      <c r="AI723" s="205"/>
      <c r="AJ723" s="173"/>
      <c r="AK723" s="173"/>
      <c r="AL723" s="173"/>
      <c r="AM723" s="173"/>
      <c r="AN723" s="173"/>
      <c r="AO723" s="173"/>
      <c r="AP723" s="173"/>
      <c r="AQ723" s="173"/>
      <c r="AR723" s="173"/>
      <c r="AS723" s="173"/>
      <c r="AT723" s="173"/>
      <c r="AU723" s="173"/>
      <c r="AV723" s="173"/>
    </row>
    <row r="724" spans="1:48" ht="14.25">
      <c r="A724" s="574"/>
      <c r="B724" s="577">
        <v>3</v>
      </c>
      <c r="C724" s="578" t="s">
        <v>1589</v>
      </c>
      <c r="D724" s="579" t="s">
        <v>68</v>
      </c>
      <c r="E724" s="579" t="s">
        <v>82</v>
      </c>
      <c r="F724" s="579" t="s">
        <v>115</v>
      </c>
      <c r="G724" s="580">
        <v>2</v>
      </c>
      <c r="H724" s="580">
        <v>0</v>
      </c>
      <c r="I724" s="581">
        <v>0.33</v>
      </c>
      <c r="J724" s="581">
        <v>0.33</v>
      </c>
      <c r="K724" s="582" t="s">
        <v>182</v>
      </c>
      <c r="L724" s="582"/>
      <c r="M724" s="582">
        <v>2</v>
      </c>
      <c r="N724" s="582">
        <v>2</v>
      </c>
      <c r="O724" s="583" t="s">
        <v>1590</v>
      </c>
      <c r="P724" s="584" t="s">
        <v>184</v>
      </c>
      <c r="Q724" s="579" t="s">
        <v>148</v>
      </c>
      <c r="R724" s="173"/>
      <c r="S724" s="195">
        <f>MATCH($D724,Reference!$J$5:$J$9,0)</f>
        <v>3</v>
      </c>
      <c r="T724" s="195">
        <f>MATCH($E724,Reference!$J$26:$J$32,0)</f>
        <v>7</v>
      </c>
      <c r="U724" s="195">
        <f>MATCH($F724,Reference!$J$45:$J$54,0)</f>
        <v>10</v>
      </c>
      <c r="V724" s="196">
        <f>MATCH($K724,Reference!$J$37:$J$39,0)</f>
        <v>3</v>
      </c>
      <c r="W724" s="197">
        <f t="shared" si="1010"/>
        <v>2</v>
      </c>
      <c r="X724" s="197">
        <f t="shared" si="1"/>
        <v>1</v>
      </c>
      <c r="Y724" s="197">
        <f t="shared" si="1011"/>
        <v>0</v>
      </c>
      <c r="Z724" s="197">
        <f t="shared" si="1012"/>
        <v>2</v>
      </c>
      <c r="AA724" s="199" t="b">
        <f t="shared" si="3"/>
        <v>0</v>
      </c>
      <c r="AB724" s="199" t="b">
        <f t="shared" si="4"/>
        <v>0</v>
      </c>
      <c r="AC724" s="200">
        <f t="shared" ref="AC724:AD724" si="1031">1-I724</f>
        <v>0.66999999999999993</v>
      </c>
      <c r="AD724" s="200">
        <f t="shared" si="1031"/>
        <v>0.66999999999999993</v>
      </c>
      <c r="AE724" s="199">
        <f t="shared" si="6"/>
        <v>2</v>
      </c>
      <c r="AF724" s="201">
        <f t="shared" si="1014"/>
        <v>0</v>
      </c>
      <c r="AG724" s="201">
        <f t="shared" si="8"/>
        <v>1</v>
      </c>
      <c r="AH724" s="202">
        <f t="shared" si="1027"/>
        <v>0</v>
      </c>
      <c r="AI724" s="205"/>
      <c r="AJ724" s="173"/>
      <c r="AK724" s="173"/>
      <c r="AL724" s="173"/>
      <c r="AM724" s="173"/>
      <c r="AN724" s="173"/>
      <c r="AO724" s="173"/>
      <c r="AP724" s="173"/>
      <c r="AQ724" s="173"/>
      <c r="AR724" s="173"/>
      <c r="AS724" s="173"/>
      <c r="AT724" s="173"/>
      <c r="AU724" s="173"/>
      <c r="AV724" s="173"/>
    </row>
    <row r="725" spans="1:48" ht="14.25">
      <c r="A725" s="574"/>
      <c r="B725" s="577">
        <v>3</v>
      </c>
      <c r="C725" s="578" t="s">
        <v>1591</v>
      </c>
      <c r="D725" s="579" t="s">
        <v>68</v>
      </c>
      <c r="E725" s="579" t="s">
        <v>82</v>
      </c>
      <c r="F725" s="579" t="s">
        <v>21</v>
      </c>
      <c r="G725" s="580">
        <v>2</v>
      </c>
      <c r="H725" s="580">
        <v>0</v>
      </c>
      <c r="I725" s="581">
        <v>1</v>
      </c>
      <c r="J725" s="581">
        <v>1</v>
      </c>
      <c r="K725" s="582" t="s">
        <v>146</v>
      </c>
      <c r="L725" s="582"/>
      <c r="M725" s="582"/>
      <c r="N725" s="582"/>
      <c r="O725" s="583" t="s">
        <v>1592</v>
      </c>
      <c r="P725" s="318"/>
      <c r="Q725" s="579" t="s">
        <v>148</v>
      </c>
      <c r="R725" s="173"/>
      <c r="S725" s="195">
        <f>MATCH($D725,Reference!$J$5:$J$9,0)</f>
        <v>3</v>
      </c>
      <c r="T725" s="195">
        <f>MATCH($E725,Reference!$J$26:$J$32,0)</f>
        <v>7</v>
      </c>
      <c r="U725" s="195">
        <f>MATCH($F725,Reference!$J$45:$J$54,0)</f>
        <v>7</v>
      </c>
      <c r="V725" s="196">
        <f>MATCH($K725,Reference!$J$37:$J$39,0)</f>
        <v>2</v>
      </c>
      <c r="W725" s="197">
        <f t="shared" si="1010"/>
        <v>2</v>
      </c>
      <c r="X725" s="197">
        <f t="shared" si="1"/>
        <v>1</v>
      </c>
      <c r="Y725" s="197">
        <f t="shared" si="1011"/>
        <v>0</v>
      </c>
      <c r="Z725" s="197">
        <f t="shared" si="1012"/>
        <v>2</v>
      </c>
      <c r="AA725" s="199" t="b">
        <f t="shared" si="3"/>
        <v>0</v>
      </c>
      <c r="AB725" s="199" t="b">
        <f t="shared" si="4"/>
        <v>0</v>
      </c>
      <c r="AC725" s="200">
        <f t="shared" ref="AC725:AD725" si="1032">1-I725</f>
        <v>0</v>
      </c>
      <c r="AD725" s="200">
        <f t="shared" si="1032"/>
        <v>0</v>
      </c>
      <c r="AE725" s="199">
        <f t="shared" si="6"/>
        <v>2</v>
      </c>
      <c r="AF725" s="201">
        <f t="shared" si="1014"/>
        <v>0</v>
      </c>
      <c r="AG725" s="201">
        <f t="shared" si="8"/>
        <v>1</v>
      </c>
      <c r="AH725" s="202">
        <f t="shared" si="1027"/>
        <v>0</v>
      </c>
      <c r="AI725" s="205"/>
      <c r="AJ725" s="173"/>
      <c r="AK725" s="173"/>
      <c r="AL725" s="173"/>
      <c r="AM725" s="173"/>
      <c r="AN725" s="173"/>
      <c r="AO725" s="173"/>
      <c r="AP725" s="173"/>
      <c r="AQ725" s="173"/>
      <c r="AR725" s="173"/>
      <c r="AS725" s="173"/>
      <c r="AT725" s="173"/>
      <c r="AU725" s="173"/>
      <c r="AV725" s="173"/>
    </row>
    <row r="726" spans="1:48" ht="14.25">
      <c r="A726" s="574"/>
      <c r="B726" s="577">
        <v>3</v>
      </c>
      <c r="C726" s="578" t="s">
        <v>1593</v>
      </c>
      <c r="D726" s="579" t="s">
        <v>68</v>
      </c>
      <c r="E726" s="579" t="s">
        <v>82</v>
      </c>
      <c r="F726" s="579" t="s">
        <v>26</v>
      </c>
      <c r="G726" s="580">
        <v>2</v>
      </c>
      <c r="H726" s="580">
        <v>0</v>
      </c>
      <c r="I726" s="581">
        <v>0.33</v>
      </c>
      <c r="J726" s="581">
        <v>0.33</v>
      </c>
      <c r="K726" s="582" t="s">
        <v>207</v>
      </c>
      <c r="L726" s="582"/>
      <c r="M726" s="582">
        <v>3</v>
      </c>
      <c r="N726" s="582">
        <v>2</v>
      </c>
      <c r="O726" s="583" t="s">
        <v>1594</v>
      </c>
      <c r="P726" s="318"/>
      <c r="Q726" s="579" t="s">
        <v>148</v>
      </c>
      <c r="R726" s="173"/>
      <c r="S726" s="195">
        <f>MATCH($D726,Reference!$J$5:$J$9,0)</f>
        <v>3</v>
      </c>
      <c r="T726" s="195">
        <f>MATCH($E726,Reference!$J$26:$J$32,0)</f>
        <v>7</v>
      </c>
      <c r="U726" s="195">
        <f>MATCH($F726,Reference!$J$45:$J$54,0)</f>
        <v>9</v>
      </c>
      <c r="V726" s="196">
        <f>MATCH($K726,Reference!$J$37:$J$39,0)</f>
        <v>1</v>
      </c>
      <c r="W726" s="197">
        <f t="shared" si="1010"/>
        <v>2</v>
      </c>
      <c r="X726" s="197">
        <f t="shared" si="1"/>
        <v>1</v>
      </c>
      <c r="Y726" s="197">
        <f t="shared" si="1011"/>
        <v>0</v>
      </c>
      <c r="Z726" s="197">
        <f t="shared" si="1012"/>
        <v>2</v>
      </c>
      <c r="AA726" s="199" t="b">
        <f t="shared" si="3"/>
        <v>0</v>
      </c>
      <c r="AB726" s="199" t="b">
        <f t="shared" si="4"/>
        <v>0</v>
      </c>
      <c r="AC726" s="200">
        <f t="shared" ref="AC726:AD726" si="1033">1-I726</f>
        <v>0.66999999999999993</v>
      </c>
      <c r="AD726" s="200">
        <f t="shared" si="1033"/>
        <v>0.66999999999999993</v>
      </c>
      <c r="AE726" s="199">
        <f t="shared" si="6"/>
        <v>2</v>
      </c>
      <c r="AF726" s="201">
        <f t="shared" si="1014"/>
        <v>0</v>
      </c>
      <c r="AG726" s="201">
        <f t="shared" si="8"/>
        <v>1</v>
      </c>
      <c r="AH726" s="202">
        <f t="shared" si="1027"/>
        <v>0</v>
      </c>
      <c r="AI726" s="205"/>
      <c r="AJ726" s="173"/>
      <c r="AK726" s="173"/>
      <c r="AL726" s="173"/>
      <c r="AM726" s="173"/>
      <c r="AN726" s="173"/>
      <c r="AO726" s="173"/>
      <c r="AP726" s="173"/>
      <c r="AQ726" s="173"/>
      <c r="AR726" s="173"/>
      <c r="AS726" s="173"/>
      <c r="AT726" s="173"/>
      <c r="AU726" s="173"/>
      <c r="AV726" s="173"/>
    </row>
    <row r="727" spans="1:48" ht="14.25">
      <c r="A727" s="574"/>
      <c r="B727" s="577">
        <v>3</v>
      </c>
      <c r="C727" s="578" t="s">
        <v>1595</v>
      </c>
      <c r="D727" s="579" t="s">
        <v>68</v>
      </c>
      <c r="E727" s="579" t="s">
        <v>82</v>
      </c>
      <c r="F727" s="579" t="s">
        <v>115</v>
      </c>
      <c r="G727" s="580">
        <v>2</v>
      </c>
      <c r="H727" s="580">
        <v>0</v>
      </c>
      <c r="I727" s="581">
        <v>0</v>
      </c>
      <c r="J727" s="581">
        <v>0</v>
      </c>
      <c r="K727" s="582" t="s">
        <v>182</v>
      </c>
      <c r="L727" s="582"/>
      <c r="M727" s="582">
        <v>4</v>
      </c>
      <c r="N727" s="582">
        <v>3</v>
      </c>
      <c r="O727" s="583" t="s">
        <v>1596</v>
      </c>
      <c r="P727" s="584" t="s">
        <v>184</v>
      </c>
      <c r="Q727" s="579" t="s">
        <v>148</v>
      </c>
      <c r="R727" s="173"/>
      <c r="S727" s="195">
        <f>MATCH($D727,Reference!$J$5:$J$9,0)</f>
        <v>3</v>
      </c>
      <c r="T727" s="195">
        <f>MATCH($E727,Reference!$J$26:$J$32,0)</f>
        <v>7</v>
      </c>
      <c r="U727" s="195">
        <f>MATCH($F727,Reference!$J$45:$J$54,0)</f>
        <v>10</v>
      </c>
      <c r="V727" s="196">
        <f>MATCH($K727,Reference!$J$37:$J$39,0)</f>
        <v>3</v>
      </c>
      <c r="W727" s="197">
        <f t="shared" si="1010"/>
        <v>2</v>
      </c>
      <c r="X727" s="197">
        <f t="shared" si="1"/>
        <v>1</v>
      </c>
      <c r="Y727" s="197">
        <f t="shared" si="1011"/>
        <v>0</v>
      </c>
      <c r="Z727" s="197">
        <f t="shared" si="1012"/>
        <v>2</v>
      </c>
      <c r="AA727" s="199" t="b">
        <f t="shared" si="3"/>
        <v>0</v>
      </c>
      <c r="AB727" s="199" t="b">
        <f t="shared" si="4"/>
        <v>0</v>
      </c>
      <c r="AC727" s="200">
        <f t="shared" ref="AC727:AD727" si="1034">1-I727</f>
        <v>1</v>
      </c>
      <c r="AD727" s="200">
        <f t="shared" si="1034"/>
        <v>1</v>
      </c>
      <c r="AE727" s="199">
        <f t="shared" si="6"/>
        <v>2</v>
      </c>
      <c r="AF727" s="201">
        <f t="shared" si="1014"/>
        <v>0</v>
      </c>
      <c r="AG727" s="201">
        <f t="shared" si="8"/>
        <v>1</v>
      </c>
      <c r="AH727" s="202">
        <f t="shared" si="1027"/>
        <v>0</v>
      </c>
      <c r="AI727" s="205"/>
      <c r="AJ727" s="173"/>
      <c r="AK727" s="173"/>
      <c r="AL727" s="173"/>
      <c r="AM727" s="173"/>
      <c r="AN727" s="173"/>
      <c r="AO727" s="173"/>
      <c r="AP727" s="173"/>
      <c r="AQ727" s="173"/>
      <c r="AR727" s="173"/>
      <c r="AS727" s="173"/>
      <c r="AT727" s="173"/>
      <c r="AU727" s="173"/>
      <c r="AV727" s="173"/>
    </row>
    <row r="728" spans="1:48" ht="14.25">
      <c r="A728" s="574"/>
      <c r="B728" s="577">
        <v>3</v>
      </c>
      <c r="C728" s="578" t="s">
        <v>1597</v>
      </c>
      <c r="D728" s="579" t="s">
        <v>68</v>
      </c>
      <c r="E728" s="579" t="s">
        <v>82</v>
      </c>
      <c r="F728" s="579" t="s">
        <v>13</v>
      </c>
      <c r="G728" s="580">
        <v>2</v>
      </c>
      <c r="H728" s="580">
        <v>0</v>
      </c>
      <c r="I728" s="581">
        <v>1</v>
      </c>
      <c r="J728" s="581">
        <v>1</v>
      </c>
      <c r="K728" s="582" t="s">
        <v>146</v>
      </c>
      <c r="L728" s="582"/>
      <c r="M728" s="582"/>
      <c r="N728" s="582"/>
      <c r="O728" s="583" t="s">
        <v>1598</v>
      </c>
      <c r="P728" s="318"/>
      <c r="Q728" s="579" t="s">
        <v>148</v>
      </c>
      <c r="R728" s="173"/>
      <c r="S728" s="195">
        <f>MATCH($D728,Reference!$J$5:$J$9,0)</f>
        <v>3</v>
      </c>
      <c r="T728" s="195">
        <f>MATCH($E728,Reference!$J$26:$J$32,0)</f>
        <v>7</v>
      </c>
      <c r="U728" s="195">
        <f>MATCH($F728,Reference!$J$45:$J$54,0)</f>
        <v>3</v>
      </c>
      <c r="V728" s="196">
        <f>MATCH($K728,Reference!$J$37:$J$39,0)</f>
        <v>2</v>
      </c>
      <c r="W728" s="197">
        <f t="shared" si="1010"/>
        <v>2</v>
      </c>
      <c r="X728" s="197">
        <f t="shared" si="1"/>
        <v>1</v>
      </c>
      <c r="Y728" s="197">
        <f t="shared" si="1011"/>
        <v>0</v>
      </c>
      <c r="Z728" s="197">
        <f t="shared" si="1012"/>
        <v>2</v>
      </c>
      <c r="AA728" s="199" t="b">
        <f t="shared" si="3"/>
        <v>0</v>
      </c>
      <c r="AB728" s="199" t="b">
        <f t="shared" si="4"/>
        <v>0</v>
      </c>
      <c r="AC728" s="200">
        <f t="shared" ref="AC728:AD728" si="1035">1-I728</f>
        <v>0</v>
      </c>
      <c r="AD728" s="200">
        <f t="shared" si="1035"/>
        <v>0</v>
      </c>
      <c r="AE728" s="199">
        <f t="shared" si="6"/>
        <v>2</v>
      </c>
      <c r="AF728" s="201">
        <f t="shared" si="1014"/>
        <v>0</v>
      </c>
      <c r="AG728" s="201">
        <f t="shared" si="8"/>
        <v>1</v>
      </c>
      <c r="AH728" s="202">
        <f t="shared" si="1027"/>
        <v>0</v>
      </c>
      <c r="AI728" s="205"/>
      <c r="AJ728" s="173"/>
      <c r="AK728" s="173"/>
      <c r="AL728" s="173"/>
      <c r="AM728" s="173"/>
      <c r="AN728" s="173"/>
      <c r="AO728" s="173"/>
      <c r="AP728" s="173"/>
      <c r="AQ728" s="173"/>
      <c r="AR728" s="173"/>
      <c r="AS728" s="173"/>
      <c r="AT728" s="173"/>
      <c r="AU728" s="173"/>
      <c r="AV728" s="173"/>
    </row>
    <row r="729" spans="1:48" ht="14.25">
      <c r="A729" s="574"/>
      <c r="B729" s="577">
        <v>3</v>
      </c>
      <c r="C729" s="578" t="s">
        <v>1599</v>
      </c>
      <c r="D729" s="579" t="s">
        <v>68</v>
      </c>
      <c r="E729" s="579" t="s">
        <v>82</v>
      </c>
      <c r="F729" s="579" t="s">
        <v>11</v>
      </c>
      <c r="G729" s="580">
        <v>2</v>
      </c>
      <c r="H729" s="580">
        <v>0</v>
      </c>
      <c r="I729" s="581">
        <v>0.66</v>
      </c>
      <c r="J729" s="581">
        <v>0.33</v>
      </c>
      <c r="K729" s="582" t="s">
        <v>146</v>
      </c>
      <c r="L729" s="582"/>
      <c r="M729" s="582"/>
      <c r="N729" s="582"/>
      <c r="O729" s="583" t="s">
        <v>1600</v>
      </c>
      <c r="P729" s="318"/>
      <c r="Q729" s="579" t="s">
        <v>148</v>
      </c>
      <c r="R729" s="173"/>
      <c r="S729" s="195">
        <f>MATCH($D729,Reference!$J$5:$J$9,0)</f>
        <v>3</v>
      </c>
      <c r="T729" s="195">
        <f>MATCH($E729,Reference!$J$26:$J$32,0)</f>
        <v>7</v>
      </c>
      <c r="U729" s="195">
        <f>MATCH($F729,Reference!$J$45:$J$54,0)</f>
        <v>2</v>
      </c>
      <c r="V729" s="196">
        <f>MATCH($K729,Reference!$J$37:$J$39,0)</f>
        <v>2</v>
      </c>
      <c r="W729" s="197">
        <f t="shared" si="1010"/>
        <v>2</v>
      </c>
      <c r="X729" s="197">
        <f t="shared" si="1"/>
        <v>1</v>
      </c>
      <c r="Y729" s="197">
        <f t="shared" si="1011"/>
        <v>0</v>
      </c>
      <c r="Z729" s="197">
        <f t="shared" si="1012"/>
        <v>2</v>
      </c>
      <c r="AA729" s="199" t="b">
        <f t="shared" si="3"/>
        <v>0</v>
      </c>
      <c r="AB729" s="199" t="b">
        <f t="shared" si="4"/>
        <v>0</v>
      </c>
      <c r="AC729" s="200">
        <f t="shared" ref="AC729:AD729" si="1036">1-I729</f>
        <v>0.33999999999999997</v>
      </c>
      <c r="AD729" s="200">
        <f t="shared" si="1036"/>
        <v>0.66999999999999993</v>
      </c>
      <c r="AE729" s="199">
        <f t="shared" si="6"/>
        <v>2</v>
      </c>
      <c r="AF729" s="201">
        <f t="shared" si="1014"/>
        <v>0</v>
      </c>
      <c r="AG729" s="201">
        <f t="shared" si="8"/>
        <v>1</v>
      </c>
      <c r="AH729" s="202">
        <f t="shared" si="1027"/>
        <v>0</v>
      </c>
      <c r="AI729" s="205"/>
      <c r="AJ729" s="173"/>
      <c r="AK729" s="173"/>
      <c r="AL729" s="173"/>
      <c r="AM729" s="173"/>
      <c r="AN729" s="173"/>
      <c r="AO729" s="173"/>
      <c r="AP729" s="173"/>
      <c r="AQ729" s="173"/>
      <c r="AR729" s="173"/>
      <c r="AS729" s="173"/>
      <c r="AT729" s="173"/>
      <c r="AU729" s="173"/>
      <c r="AV729" s="173"/>
    </row>
    <row r="730" spans="1:48" ht="14.25">
      <c r="A730" s="574"/>
      <c r="B730" s="577">
        <v>3</v>
      </c>
      <c r="C730" s="578" t="s">
        <v>1601</v>
      </c>
      <c r="D730" s="579" t="s">
        <v>68</v>
      </c>
      <c r="E730" s="579" t="s">
        <v>82</v>
      </c>
      <c r="F730" s="579" t="s">
        <v>115</v>
      </c>
      <c r="G730" s="580">
        <v>2</v>
      </c>
      <c r="H730" s="580">
        <v>0</v>
      </c>
      <c r="I730" s="581">
        <v>0</v>
      </c>
      <c r="J730" s="581">
        <v>0</v>
      </c>
      <c r="K730" s="582" t="s">
        <v>182</v>
      </c>
      <c r="L730" s="582"/>
      <c r="M730" s="582">
        <v>4</v>
      </c>
      <c r="N730" s="582">
        <v>3</v>
      </c>
      <c r="O730" s="583" t="s">
        <v>1602</v>
      </c>
      <c r="P730" s="584" t="s">
        <v>184</v>
      </c>
      <c r="Q730" s="579" t="s">
        <v>148</v>
      </c>
      <c r="R730" s="173"/>
      <c r="S730" s="195">
        <f>MATCH($D730,Reference!$J$5:$J$9,0)</f>
        <v>3</v>
      </c>
      <c r="T730" s="195">
        <f>MATCH($E730,Reference!$J$26:$J$32,0)</f>
        <v>7</v>
      </c>
      <c r="U730" s="195">
        <f>MATCH($F730,Reference!$J$45:$J$54,0)</f>
        <v>10</v>
      </c>
      <c r="V730" s="196">
        <f>MATCH($K730,Reference!$J$37:$J$39,0)</f>
        <v>3</v>
      </c>
      <c r="W730" s="197">
        <f t="shared" si="1010"/>
        <v>2</v>
      </c>
      <c r="X730" s="197">
        <f t="shared" si="1"/>
        <v>1</v>
      </c>
      <c r="Y730" s="197">
        <f t="shared" si="1011"/>
        <v>0</v>
      </c>
      <c r="Z730" s="197">
        <f t="shared" si="1012"/>
        <v>2</v>
      </c>
      <c r="AA730" s="199" t="b">
        <f t="shared" si="3"/>
        <v>0</v>
      </c>
      <c r="AB730" s="199" t="b">
        <f t="shared" si="4"/>
        <v>0</v>
      </c>
      <c r="AC730" s="200">
        <f t="shared" ref="AC730:AD730" si="1037">1-I730</f>
        <v>1</v>
      </c>
      <c r="AD730" s="200">
        <f t="shared" si="1037"/>
        <v>1</v>
      </c>
      <c r="AE730" s="199">
        <f t="shared" si="6"/>
        <v>2</v>
      </c>
      <c r="AF730" s="201">
        <f t="shared" si="1014"/>
        <v>0</v>
      </c>
      <c r="AG730" s="201">
        <f t="shared" si="8"/>
        <v>1</v>
      </c>
      <c r="AH730" s="202">
        <f t="shared" si="1027"/>
        <v>0</v>
      </c>
      <c r="AI730" s="205"/>
      <c r="AJ730" s="173"/>
      <c r="AK730" s="173"/>
      <c r="AL730" s="173"/>
      <c r="AM730" s="173"/>
      <c r="AN730" s="173"/>
      <c r="AO730" s="173"/>
      <c r="AP730" s="173"/>
      <c r="AQ730" s="173"/>
      <c r="AR730" s="173"/>
      <c r="AS730" s="173"/>
      <c r="AT730" s="173"/>
      <c r="AU730" s="173"/>
      <c r="AV730" s="173"/>
    </row>
    <row r="731" spans="1:48" ht="14.25">
      <c r="A731" s="574"/>
      <c r="B731" s="577">
        <v>3</v>
      </c>
      <c r="C731" s="578" t="s">
        <v>1603</v>
      </c>
      <c r="D731" s="579" t="s">
        <v>68</v>
      </c>
      <c r="E731" s="579" t="s">
        <v>82</v>
      </c>
      <c r="F731" s="579" t="s">
        <v>20</v>
      </c>
      <c r="G731" s="580">
        <v>2</v>
      </c>
      <c r="H731" s="580">
        <v>0</v>
      </c>
      <c r="I731" s="581">
        <v>0.33</v>
      </c>
      <c r="J731" s="581">
        <v>0.33</v>
      </c>
      <c r="K731" s="582" t="s">
        <v>182</v>
      </c>
      <c r="L731" s="582"/>
      <c r="M731" s="582">
        <v>4</v>
      </c>
      <c r="N731" s="582">
        <v>3</v>
      </c>
      <c r="O731" s="583" t="s">
        <v>1604</v>
      </c>
      <c r="P731" s="584" t="s">
        <v>184</v>
      </c>
      <c r="Q731" s="579" t="s">
        <v>148</v>
      </c>
      <c r="R731" s="173"/>
      <c r="S731" s="195">
        <f>MATCH($D731,Reference!$J$5:$J$9,0)</f>
        <v>3</v>
      </c>
      <c r="T731" s="195">
        <f>MATCH($E731,Reference!$J$26:$J$32,0)</f>
        <v>7</v>
      </c>
      <c r="U731" s="195">
        <f>MATCH($F731,Reference!$J$45:$J$54,0)</f>
        <v>6</v>
      </c>
      <c r="V731" s="196">
        <f>MATCH($K731,Reference!$J$37:$J$39,0)</f>
        <v>3</v>
      </c>
      <c r="W731" s="197">
        <f t="shared" si="1010"/>
        <v>2</v>
      </c>
      <c r="X731" s="197">
        <f t="shared" si="1"/>
        <v>1</v>
      </c>
      <c r="Y731" s="197">
        <f t="shared" si="1011"/>
        <v>0</v>
      </c>
      <c r="Z731" s="197">
        <f t="shared" si="1012"/>
        <v>2</v>
      </c>
      <c r="AA731" s="199" t="b">
        <f t="shared" si="3"/>
        <v>0</v>
      </c>
      <c r="AB731" s="199" t="b">
        <f t="shared" si="4"/>
        <v>0</v>
      </c>
      <c r="AC731" s="200">
        <f t="shared" ref="AC731:AD731" si="1038">1-I731</f>
        <v>0.66999999999999993</v>
      </c>
      <c r="AD731" s="200">
        <f t="shared" si="1038"/>
        <v>0.66999999999999993</v>
      </c>
      <c r="AE731" s="199">
        <f t="shared" si="6"/>
        <v>2</v>
      </c>
      <c r="AF731" s="201">
        <f t="shared" si="1014"/>
        <v>0</v>
      </c>
      <c r="AG731" s="201">
        <f t="shared" si="8"/>
        <v>1</v>
      </c>
      <c r="AH731" s="202">
        <f t="shared" si="1027"/>
        <v>0</v>
      </c>
      <c r="AI731" s="205"/>
      <c r="AJ731" s="173"/>
      <c r="AK731" s="173"/>
      <c r="AL731" s="173"/>
      <c r="AM731" s="173"/>
      <c r="AN731" s="173"/>
      <c r="AO731" s="173"/>
      <c r="AP731" s="173"/>
      <c r="AQ731" s="173"/>
      <c r="AR731" s="173"/>
      <c r="AS731" s="173"/>
      <c r="AT731" s="173"/>
      <c r="AU731" s="173"/>
      <c r="AV731" s="173"/>
    </row>
    <row r="732" spans="1:48" ht="14.25">
      <c r="A732" s="574"/>
      <c r="B732" s="577">
        <v>4</v>
      </c>
      <c r="C732" s="578" t="s">
        <v>1605</v>
      </c>
      <c r="D732" s="579" t="s">
        <v>68</v>
      </c>
      <c r="E732" s="579" t="s">
        <v>82</v>
      </c>
      <c r="F732" s="579" t="s">
        <v>115</v>
      </c>
      <c r="G732" s="580">
        <v>2</v>
      </c>
      <c r="H732" s="580">
        <v>0</v>
      </c>
      <c r="I732" s="581">
        <v>0.33</v>
      </c>
      <c r="J732" s="581">
        <v>0.33</v>
      </c>
      <c r="K732" s="582" t="s">
        <v>182</v>
      </c>
      <c r="L732" s="582" t="s">
        <v>230</v>
      </c>
      <c r="M732" s="582">
        <v>5</v>
      </c>
      <c r="N732" s="582">
        <v>3</v>
      </c>
      <c r="O732" s="583" t="s">
        <v>1606</v>
      </c>
      <c r="P732" s="584" t="s">
        <v>184</v>
      </c>
      <c r="Q732" s="579" t="s">
        <v>148</v>
      </c>
      <c r="R732" s="173"/>
      <c r="S732" s="195">
        <f>MATCH($D732,Reference!$J$5:$J$9,0)</f>
        <v>3</v>
      </c>
      <c r="T732" s="195">
        <f>MATCH($E732,Reference!$J$26:$J$32,0)</f>
        <v>7</v>
      </c>
      <c r="U732" s="195">
        <f>MATCH($F732,Reference!$J$45:$J$54,0)</f>
        <v>10</v>
      </c>
      <c r="V732" s="196">
        <f>MATCH($K732,Reference!$J$37:$J$39,0)</f>
        <v>3</v>
      </c>
      <c r="W732" s="197">
        <f t="shared" si="1010"/>
        <v>2</v>
      </c>
      <c r="X732" s="197">
        <f t="shared" si="1"/>
        <v>1</v>
      </c>
      <c r="Y732" s="197">
        <f t="shared" si="1011"/>
        <v>0</v>
      </c>
      <c r="Z732" s="197">
        <f t="shared" si="1012"/>
        <v>2</v>
      </c>
      <c r="AA732" s="199" t="b">
        <f t="shared" si="3"/>
        <v>0</v>
      </c>
      <c r="AB732" s="199" t="b">
        <f t="shared" si="4"/>
        <v>0</v>
      </c>
      <c r="AC732" s="200">
        <f t="shared" ref="AC732:AD732" si="1039">1-I732</f>
        <v>0.66999999999999993</v>
      </c>
      <c r="AD732" s="200">
        <f t="shared" si="1039"/>
        <v>0.66999999999999993</v>
      </c>
      <c r="AE732" s="199">
        <f t="shared" si="6"/>
        <v>2</v>
      </c>
      <c r="AF732" s="201">
        <f t="shared" si="1014"/>
        <v>0</v>
      </c>
      <c r="AG732" s="201">
        <f t="shared" si="8"/>
        <v>1</v>
      </c>
      <c r="AH732" s="202">
        <f t="shared" si="1027"/>
        <v>0</v>
      </c>
      <c r="AI732" s="205"/>
      <c r="AJ732" s="173"/>
      <c r="AK732" s="173"/>
      <c r="AL732" s="173"/>
      <c r="AM732" s="173"/>
      <c r="AN732" s="173"/>
      <c r="AO732" s="173"/>
      <c r="AP732" s="173"/>
      <c r="AQ732" s="173"/>
      <c r="AR732" s="173"/>
      <c r="AS732" s="173"/>
      <c r="AT732" s="173"/>
      <c r="AU732" s="173"/>
      <c r="AV732" s="173"/>
    </row>
    <row r="733" spans="1:48" ht="14.25">
      <c r="A733" s="574"/>
      <c r="B733" s="577">
        <v>4</v>
      </c>
      <c r="C733" s="578" t="s">
        <v>1607</v>
      </c>
      <c r="D733" s="579" t="s">
        <v>68</v>
      </c>
      <c r="E733" s="579" t="s">
        <v>82</v>
      </c>
      <c r="F733" s="579" t="s">
        <v>21</v>
      </c>
      <c r="G733" s="580">
        <v>2</v>
      </c>
      <c r="H733" s="580">
        <v>0</v>
      </c>
      <c r="I733" s="581">
        <v>0.33</v>
      </c>
      <c r="J733" s="581">
        <v>0.33</v>
      </c>
      <c r="K733" s="582" t="s">
        <v>182</v>
      </c>
      <c r="L733" s="582"/>
      <c r="M733" s="582">
        <v>4</v>
      </c>
      <c r="N733" s="582">
        <v>4</v>
      </c>
      <c r="O733" s="583" t="s">
        <v>1608</v>
      </c>
      <c r="P733" s="584" t="s">
        <v>184</v>
      </c>
      <c r="Q733" s="579" t="s">
        <v>148</v>
      </c>
      <c r="R733" s="173"/>
      <c r="S733" s="195">
        <f>MATCH($D733,Reference!$J$5:$J$9,0)</f>
        <v>3</v>
      </c>
      <c r="T733" s="195">
        <f>MATCH($E733,Reference!$J$26:$J$32,0)</f>
        <v>7</v>
      </c>
      <c r="U733" s="195">
        <f>MATCH($F733,Reference!$J$45:$J$54,0)</f>
        <v>7</v>
      </c>
      <c r="V733" s="196">
        <f>MATCH($K733,Reference!$J$37:$J$39,0)</f>
        <v>3</v>
      </c>
      <c r="W733" s="197">
        <f t="shared" si="1010"/>
        <v>2</v>
      </c>
      <c r="X733" s="197">
        <f t="shared" si="1"/>
        <v>1</v>
      </c>
      <c r="Y733" s="197">
        <f t="shared" si="1011"/>
        <v>0</v>
      </c>
      <c r="Z733" s="197">
        <f t="shared" si="1012"/>
        <v>2</v>
      </c>
      <c r="AA733" s="199" t="b">
        <f t="shared" si="3"/>
        <v>0</v>
      </c>
      <c r="AB733" s="199" t="b">
        <f t="shared" si="4"/>
        <v>0</v>
      </c>
      <c r="AC733" s="200">
        <f t="shared" ref="AC733:AD733" si="1040">1-I733</f>
        <v>0.66999999999999993</v>
      </c>
      <c r="AD733" s="200">
        <f t="shared" si="1040"/>
        <v>0.66999999999999993</v>
      </c>
      <c r="AE733" s="199">
        <f t="shared" si="6"/>
        <v>2</v>
      </c>
      <c r="AF733" s="201">
        <f t="shared" si="1014"/>
        <v>0</v>
      </c>
      <c r="AG733" s="201">
        <f t="shared" si="8"/>
        <v>1</v>
      </c>
      <c r="AH733" s="202">
        <f t="shared" si="1027"/>
        <v>0</v>
      </c>
      <c r="AI733" s="205"/>
      <c r="AJ733" s="173"/>
      <c r="AK733" s="173"/>
      <c r="AL733" s="173"/>
      <c r="AM733" s="173"/>
      <c r="AN733" s="173"/>
      <c r="AO733" s="173"/>
      <c r="AP733" s="173"/>
      <c r="AQ733" s="173"/>
      <c r="AR733" s="173"/>
      <c r="AS733" s="173"/>
      <c r="AT733" s="173"/>
      <c r="AU733" s="173"/>
      <c r="AV733" s="173"/>
    </row>
    <row r="734" spans="1:48" ht="14.25">
      <c r="A734" s="574"/>
      <c r="B734" s="577">
        <v>4</v>
      </c>
      <c r="C734" s="578" t="s">
        <v>1609</v>
      </c>
      <c r="D734" s="579" t="s">
        <v>68</v>
      </c>
      <c r="E734" s="579" t="s">
        <v>82</v>
      </c>
      <c r="F734" s="579" t="s">
        <v>25</v>
      </c>
      <c r="G734" s="580">
        <v>2</v>
      </c>
      <c r="H734" s="580">
        <v>0</v>
      </c>
      <c r="I734" s="581">
        <v>0.33</v>
      </c>
      <c r="J734" s="581">
        <v>0.33</v>
      </c>
      <c r="K734" s="582" t="s">
        <v>146</v>
      </c>
      <c r="L734" s="582"/>
      <c r="M734" s="582"/>
      <c r="N734" s="582"/>
      <c r="O734" s="583" t="s">
        <v>1610</v>
      </c>
      <c r="P734" s="318"/>
      <c r="Q734" s="579" t="s">
        <v>148</v>
      </c>
      <c r="R734" s="173"/>
      <c r="S734" s="195">
        <f>MATCH($D734,Reference!$J$5:$J$9,0)</f>
        <v>3</v>
      </c>
      <c r="T734" s="195">
        <f>MATCH($E734,Reference!$J$26:$J$32,0)</f>
        <v>7</v>
      </c>
      <c r="U734" s="195">
        <f>MATCH($F734,Reference!$J$45:$J$54,0)</f>
        <v>8</v>
      </c>
      <c r="V734" s="196">
        <f>MATCH($K734,Reference!$J$37:$J$39,0)</f>
        <v>2</v>
      </c>
      <c r="W734" s="197">
        <f t="shared" si="1010"/>
        <v>2</v>
      </c>
      <c r="X734" s="197">
        <f t="shared" si="1"/>
        <v>1</v>
      </c>
      <c r="Y734" s="197">
        <f t="shared" si="1011"/>
        <v>0</v>
      </c>
      <c r="Z734" s="197">
        <f t="shared" si="1012"/>
        <v>2</v>
      </c>
      <c r="AA734" s="199" t="b">
        <f t="shared" si="3"/>
        <v>0</v>
      </c>
      <c r="AB734" s="199" t="b">
        <f t="shared" si="4"/>
        <v>0</v>
      </c>
      <c r="AC734" s="200">
        <f t="shared" ref="AC734:AD734" si="1041">1-I734</f>
        <v>0.66999999999999993</v>
      </c>
      <c r="AD734" s="200">
        <f t="shared" si="1041"/>
        <v>0.66999999999999993</v>
      </c>
      <c r="AE734" s="199">
        <f t="shared" si="6"/>
        <v>2</v>
      </c>
      <c r="AF734" s="201">
        <f t="shared" si="1014"/>
        <v>0</v>
      </c>
      <c r="AG734" s="201">
        <f t="shared" si="8"/>
        <v>1</v>
      </c>
      <c r="AH734" s="202">
        <f t="shared" si="1027"/>
        <v>0</v>
      </c>
      <c r="AI734" s="205"/>
      <c r="AJ734" s="173"/>
      <c r="AK734" s="173"/>
      <c r="AL734" s="173"/>
      <c r="AM734" s="173"/>
      <c r="AN734" s="173"/>
      <c r="AO734" s="173"/>
      <c r="AP734" s="173"/>
      <c r="AQ734" s="173"/>
      <c r="AR734" s="173"/>
      <c r="AS734" s="173"/>
      <c r="AT734" s="173"/>
      <c r="AU734" s="173"/>
      <c r="AV734" s="173"/>
    </row>
    <row r="735" spans="1:48" ht="14.25">
      <c r="A735" s="574"/>
      <c r="B735" s="577">
        <v>4</v>
      </c>
      <c r="C735" s="578" t="s">
        <v>1611</v>
      </c>
      <c r="D735" s="579" t="s">
        <v>68</v>
      </c>
      <c r="E735" s="579" t="s">
        <v>82</v>
      </c>
      <c r="F735" s="579" t="s">
        <v>8</v>
      </c>
      <c r="G735" s="580">
        <v>2</v>
      </c>
      <c r="H735" s="580">
        <v>0</v>
      </c>
      <c r="I735" s="581">
        <v>1</v>
      </c>
      <c r="J735" s="581">
        <v>1</v>
      </c>
      <c r="K735" s="582" t="s">
        <v>182</v>
      </c>
      <c r="L735" s="582" t="s">
        <v>230</v>
      </c>
      <c r="M735" s="582">
        <v>5</v>
      </c>
      <c r="N735" s="582">
        <v>4</v>
      </c>
      <c r="O735" s="583" t="s">
        <v>1612</v>
      </c>
      <c r="P735" s="584" t="s">
        <v>1374</v>
      </c>
      <c r="Q735" s="579" t="s">
        <v>148</v>
      </c>
      <c r="R735" s="173"/>
      <c r="S735" s="195">
        <f>MATCH($D735,Reference!$J$5:$J$9,0)</f>
        <v>3</v>
      </c>
      <c r="T735" s="195">
        <f>MATCH($E735,Reference!$J$26:$J$32,0)</f>
        <v>7</v>
      </c>
      <c r="U735" s="195">
        <f>MATCH($F735,Reference!$J$45:$J$54,0)</f>
        <v>1</v>
      </c>
      <c r="V735" s="196">
        <f>MATCH($K735,Reference!$J$37:$J$39,0)</f>
        <v>3</v>
      </c>
      <c r="W735" s="197">
        <f t="shared" si="1010"/>
        <v>2</v>
      </c>
      <c r="X735" s="197">
        <f t="shared" si="1"/>
        <v>1</v>
      </c>
      <c r="Y735" s="197">
        <f t="shared" si="1011"/>
        <v>0</v>
      </c>
      <c r="Z735" s="197">
        <f t="shared" si="1012"/>
        <v>2</v>
      </c>
      <c r="AA735" s="199" t="b">
        <f t="shared" si="3"/>
        <v>0</v>
      </c>
      <c r="AB735" s="199" t="b">
        <f t="shared" si="4"/>
        <v>0</v>
      </c>
      <c r="AC735" s="200">
        <f t="shared" ref="AC735:AD735" si="1042">1-I735</f>
        <v>0</v>
      </c>
      <c r="AD735" s="200">
        <f t="shared" si="1042"/>
        <v>0</v>
      </c>
      <c r="AE735" s="199">
        <f t="shared" si="6"/>
        <v>2</v>
      </c>
      <c r="AF735" s="201">
        <f t="shared" si="1014"/>
        <v>0</v>
      </c>
      <c r="AG735" s="201">
        <f t="shared" si="8"/>
        <v>1</v>
      </c>
      <c r="AH735" s="202">
        <f t="shared" si="1027"/>
        <v>0</v>
      </c>
      <c r="AI735" s="205"/>
      <c r="AJ735" s="173"/>
      <c r="AK735" s="173"/>
      <c r="AL735" s="173"/>
      <c r="AM735" s="173"/>
      <c r="AN735" s="173"/>
      <c r="AO735" s="173"/>
      <c r="AP735" s="173"/>
      <c r="AQ735" s="173"/>
      <c r="AR735" s="173"/>
      <c r="AS735" s="173"/>
      <c r="AT735" s="173"/>
      <c r="AU735" s="173"/>
      <c r="AV735" s="173"/>
    </row>
    <row r="736" spans="1:48" ht="14.25">
      <c r="A736" s="574"/>
      <c r="B736" s="577">
        <v>4</v>
      </c>
      <c r="C736" s="578" t="s">
        <v>1613</v>
      </c>
      <c r="D736" s="579" t="s">
        <v>68</v>
      </c>
      <c r="E736" s="579" t="s">
        <v>82</v>
      </c>
      <c r="F736" s="579" t="s">
        <v>18</v>
      </c>
      <c r="G736" s="580">
        <v>2</v>
      </c>
      <c r="H736" s="580">
        <v>0</v>
      </c>
      <c r="I736" s="581">
        <v>0</v>
      </c>
      <c r="J736" s="581">
        <v>0</v>
      </c>
      <c r="K736" s="582" t="s">
        <v>182</v>
      </c>
      <c r="L736" s="582"/>
      <c r="M736" s="582">
        <v>5</v>
      </c>
      <c r="N736" s="582">
        <v>4</v>
      </c>
      <c r="O736" s="583" t="s">
        <v>1614</v>
      </c>
      <c r="P736" s="584" t="s">
        <v>1374</v>
      </c>
      <c r="Q736" s="579" t="s">
        <v>148</v>
      </c>
      <c r="R736" s="173"/>
      <c r="S736" s="195">
        <f>MATCH($D736,Reference!$J$5:$J$9,0)</f>
        <v>3</v>
      </c>
      <c r="T736" s="195">
        <f>MATCH($E736,Reference!$J$26:$J$32,0)</f>
        <v>7</v>
      </c>
      <c r="U736" s="195">
        <f>MATCH($F736,Reference!$J$45:$J$54,0)</f>
        <v>5</v>
      </c>
      <c r="V736" s="196">
        <f>MATCH($K736,Reference!$J$37:$J$39,0)</f>
        <v>3</v>
      </c>
      <c r="W736" s="197">
        <f t="shared" si="1010"/>
        <v>2</v>
      </c>
      <c r="X736" s="197">
        <f t="shared" si="1"/>
        <v>1</v>
      </c>
      <c r="Y736" s="197">
        <f t="shared" si="1011"/>
        <v>0</v>
      </c>
      <c r="Z736" s="197">
        <f t="shared" si="1012"/>
        <v>2</v>
      </c>
      <c r="AA736" s="199" t="b">
        <f t="shared" si="3"/>
        <v>0</v>
      </c>
      <c r="AB736" s="199" t="b">
        <f t="shared" si="4"/>
        <v>0</v>
      </c>
      <c r="AC736" s="200">
        <f t="shared" ref="AC736:AD736" si="1043">1-I736</f>
        <v>1</v>
      </c>
      <c r="AD736" s="200">
        <f t="shared" si="1043"/>
        <v>1</v>
      </c>
      <c r="AE736" s="199">
        <f t="shared" si="6"/>
        <v>2</v>
      </c>
      <c r="AF736" s="201">
        <f t="shared" si="1014"/>
        <v>0</v>
      </c>
      <c r="AG736" s="201">
        <f t="shared" si="8"/>
        <v>1</v>
      </c>
      <c r="AH736" s="202">
        <f t="shared" si="1027"/>
        <v>0</v>
      </c>
      <c r="AI736" s="205"/>
      <c r="AJ736" s="173"/>
      <c r="AK736" s="173"/>
      <c r="AL736" s="173"/>
      <c r="AM736" s="173"/>
      <c r="AN736" s="173"/>
      <c r="AO736" s="173"/>
      <c r="AP736" s="173"/>
      <c r="AQ736" s="173"/>
      <c r="AR736" s="173"/>
      <c r="AS736" s="173"/>
      <c r="AT736" s="173"/>
      <c r="AU736" s="173"/>
      <c r="AV736" s="173"/>
    </row>
    <row r="737" spans="1:48" ht="14.25">
      <c r="A737" s="574"/>
      <c r="B737" s="577">
        <v>5</v>
      </c>
      <c r="C737" s="578" t="s">
        <v>1615</v>
      </c>
      <c r="D737" s="579" t="s">
        <v>68</v>
      </c>
      <c r="E737" s="579" t="s">
        <v>82</v>
      </c>
      <c r="F737" s="579" t="s">
        <v>11</v>
      </c>
      <c r="G737" s="580">
        <v>2</v>
      </c>
      <c r="H737" s="580">
        <v>2</v>
      </c>
      <c r="I737" s="581">
        <v>1</v>
      </c>
      <c r="J737" s="581">
        <v>0.66</v>
      </c>
      <c r="K737" s="582" t="s">
        <v>182</v>
      </c>
      <c r="L737" s="582"/>
      <c r="M737" s="582">
        <v>3</v>
      </c>
      <c r="N737" s="582">
        <v>3</v>
      </c>
      <c r="O737" s="583" t="s">
        <v>1616</v>
      </c>
      <c r="P737" s="584" t="s">
        <v>184</v>
      </c>
      <c r="Q737" s="579" t="s">
        <v>148</v>
      </c>
      <c r="R737" s="173"/>
      <c r="S737" s="195">
        <f>MATCH($D737,Reference!$J$5:$J$9,0)</f>
        <v>3</v>
      </c>
      <c r="T737" s="195">
        <f>MATCH($E737,Reference!$J$26:$J$32,0)</f>
        <v>7</v>
      </c>
      <c r="U737" s="195">
        <f>MATCH($F737,Reference!$J$45:$J$54,0)</f>
        <v>2</v>
      </c>
      <c r="V737" s="196">
        <f>MATCH($K737,Reference!$J$37:$J$39,0)</f>
        <v>3</v>
      </c>
      <c r="W737" s="197">
        <f t="shared" si="1010"/>
        <v>2</v>
      </c>
      <c r="X737" s="197">
        <f t="shared" si="1"/>
        <v>1</v>
      </c>
      <c r="Y737" s="197">
        <f t="shared" si="1011"/>
        <v>200</v>
      </c>
      <c r="Z737" s="197">
        <f t="shared" si="1012"/>
        <v>2</v>
      </c>
      <c r="AA737" s="199" t="b">
        <f t="shared" si="3"/>
        <v>0</v>
      </c>
      <c r="AB737" s="199" t="b">
        <f t="shared" si="4"/>
        <v>0</v>
      </c>
      <c r="AC737" s="200">
        <f t="shared" ref="AC737:AD737" si="1044">1-I737</f>
        <v>0</v>
      </c>
      <c r="AD737" s="200">
        <f t="shared" si="1044"/>
        <v>0.33999999999999997</v>
      </c>
      <c r="AE737" s="199">
        <f t="shared" si="6"/>
        <v>2</v>
      </c>
      <c r="AF737" s="201">
        <f t="shared" si="1014"/>
        <v>2</v>
      </c>
      <c r="AG737" s="201">
        <f t="shared" si="8"/>
        <v>1</v>
      </c>
      <c r="AH737" s="202">
        <f t="shared" si="1027"/>
        <v>40</v>
      </c>
      <c r="AI737" s="205"/>
      <c r="AJ737" s="173"/>
      <c r="AK737" s="173"/>
      <c r="AL737" s="173"/>
      <c r="AM737" s="173"/>
      <c r="AN737" s="173"/>
      <c r="AO737" s="173"/>
      <c r="AP737" s="173"/>
      <c r="AQ737" s="173"/>
      <c r="AR737" s="173"/>
      <c r="AS737" s="173"/>
      <c r="AT737" s="173"/>
      <c r="AU737" s="173"/>
      <c r="AV737" s="173"/>
    </row>
    <row r="738" spans="1:48" ht="14.25">
      <c r="A738" s="574"/>
      <c r="B738" s="577">
        <v>5</v>
      </c>
      <c r="C738" s="578" t="s">
        <v>1617</v>
      </c>
      <c r="D738" s="579" t="s">
        <v>68</v>
      </c>
      <c r="E738" s="579" t="s">
        <v>82</v>
      </c>
      <c r="F738" s="579" t="s">
        <v>21</v>
      </c>
      <c r="G738" s="580">
        <v>2</v>
      </c>
      <c r="H738" s="580">
        <v>0</v>
      </c>
      <c r="I738" s="581">
        <v>1</v>
      </c>
      <c r="J738" s="581">
        <v>1</v>
      </c>
      <c r="K738" s="582" t="s">
        <v>182</v>
      </c>
      <c r="L738" s="582"/>
      <c r="M738" s="582">
        <v>3</v>
      </c>
      <c r="N738" s="582">
        <v>6</v>
      </c>
      <c r="O738" s="583" t="s">
        <v>1618</v>
      </c>
      <c r="P738" s="584" t="s">
        <v>1374</v>
      </c>
      <c r="Q738" s="579" t="s">
        <v>148</v>
      </c>
      <c r="R738" s="173"/>
      <c r="S738" s="195">
        <f>MATCH($D738,Reference!$J$5:$J$9,0)</f>
        <v>3</v>
      </c>
      <c r="T738" s="195">
        <f>MATCH($E738,Reference!$J$26:$J$32,0)</f>
        <v>7</v>
      </c>
      <c r="U738" s="195">
        <f>MATCH($F738,Reference!$J$45:$J$54,0)</f>
        <v>7</v>
      </c>
      <c r="V738" s="196">
        <f>MATCH($K738,Reference!$J$37:$J$39,0)</f>
        <v>3</v>
      </c>
      <c r="W738" s="197">
        <f t="shared" si="1010"/>
        <v>2</v>
      </c>
      <c r="X738" s="197">
        <f t="shared" si="1"/>
        <v>1</v>
      </c>
      <c r="Y738" s="197">
        <f t="shared" si="1011"/>
        <v>0</v>
      </c>
      <c r="Z738" s="197">
        <f t="shared" si="1012"/>
        <v>2</v>
      </c>
      <c r="AA738" s="199" t="b">
        <f t="shared" si="3"/>
        <v>0</v>
      </c>
      <c r="AB738" s="199" t="b">
        <f t="shared" si="4"/>
        <v>0</v>
      </c>
      <c r="AC738" s="200">
        <f t="shared" ref="AC738:AD738" si="1045">1-I738</f>
        <v>0</v>
      </c>
      <c r="AD738" s="200">
        <f t="shared" si="1045"/>
        <v>0</v>
      </c>
      <c r="AE738" s="199">
        <f t="shared" si="6"/>
        <v>2</v>
      </c>
      <c r="AF738" s="201">
        <f t="shared" si="1014"/>
        <v>0</v>
      </c>
      <c r="AG738" s="201">
        <f t="shared" si="8"/>
        <v>1</v>
      </c>
      <c r="AH738" s="202">
        <f t="shared" si="1027"/>
        <v>0</v>
      </c>
      <c r="AI738" s="205"/>
      <c r="AJ738" s="173"/>
      <c r="AK738" s="173"/>
      <c r="AL738" s="173"/>
      <c r="AM738" s="173"/>
      <c r="AN738" s="173"/>
      <c r="AO738" s="173"/>
      <c r="AP738" s="173"/>
      <c r="AQ738" s="173"/>
      <c r="AR738" s="173"/>
      <c r="AS738" s="173"/>
      <c r="AT738" s="173"/>
      <c r="AU738" s="173"/>
      <c r="AV738" s="173"/>
    </row>
    <row r="739" spans="1:48" ht="14.25">
      <c r="A739" s="574"/>
      <c r="B739" s="577">
        <v>5</v>
      </c>
      <c r="C739" s="578" t="s">
        <v>1619</v>
      </c>
      <c r="D739" s="579" t="s">
        <v>68</v>
      </c>
      <c r="E739" s="579" t="s">
        <v>82</v>
      </c>
      <c r="F739" s="579" t="s">
        <v>16</v>
      </c>
      <c r="G739" s="580">
        <v>2</v>
      </c>
      <c r="H739" s="580">
        <v>0</v>
      </c>
      <c r="I739" s="581">
        <v>1</v>
      </c>
      <c r="J739" s="581">
        <v>1</v>
      </c>
      <c r="K739" s="582" t="s">
        <v>182</v>
      </c>
      <c r="L739" s="582"/>
      <c r="M739" s="582">
        <v>5</v>
      </c>
      <c r="N739" s="582">
        <v>5</v>
      </c>
      <c r="O739" s="583" t="s">
        <v>1620</v>
      </c>
      <c r="P739" s="584" t="s">
        <v>184</v>
      </c>
      <c r="Q739" s="579" t="s">
        <v>148</v>
      </c>
      <c r="R739" s="173"/>
      <c r="S739" s="195">
        <f>MATCH($D739,Reference!$J$5:$J$9,0)</f>
        <v>3</v>
      </c>
      <c r="T739" s="195">
        <f>MATCH($E739,Reference!$J$26:$J$32,0)</f>
        <v>7</v>
      </c>
      <c r="U739" s="195">
        <f>MATCH($F739,Reference!$J$45:$J$54,0)</f>
        <v>4</v>
      </c>
      <c r="V739" s="196">
        <f>MATCH($K739,Reference!$J$37:$J$39,0)</f>
        <v>3</v>
      </c>
      <c r="W739" s="197">
        <f t="shared" si="1010"/>
        <v>2</v>
      </c>
      <c r="X739" s="197">
        <f t="shared" si="1"/>
        <v>1</v>
      </c>
      <c r="Y739" s="197">
        <f t="shared" si="1011"/>
        <v>0</v>
      </c>
      <c r="Z739" s="197">
        <f t="shared" si="1012"/>
        <v>2</v>
      </c>
      <c r="AA739" s="199" t="b">
        <f t="shared" si="3"/>
        <v>0</v>
      </c>
      <c r="AB739" s="199" t="b">
        <f t="shared" si="4"/>
        <v>0</v>
      </c>
      <c r="AC739" s="200">
        <f t="shared" ref="AC739:AD739" si="1046">1-I739</f>
        <v>0</v>
      </c>
      <c r="AD739" s="200">
        <f t="shared" si="1046"/>
        <v>0</v>
      </c>
      <c r="AE739" s="199">
        <f t="shared" si="6"/>
        <v>2</v>
      </c>
      <c r="AF739" s="201">
        <f t="shared" si="1014"/>
        <v>0</v>
      </c>
      <c r="AG739" s="201">
        <f t="shared" si="8"/>
        <v>1</v>
      </c>
      <c r="AH739" s="202">
        <f t="shared" si="1027"/>
        <v>0</v>
      </c>
      <c r="AI739" s="205"/>
      <c r="AJ739" s="173"/>
      <c r="AK739" s="173"/>
      <c r="AL739" s="173"/>
      <c r="AM739" s="173"/>
      <c r="AN739" s="173"/>
      <c r="AO739" s="173"/>
      <c r="AP739" s="173"/>
      <c r="AQ739" s="173"/>
      <c r="AR739" s="173"/>
      <c r="AS739" s="173"/>
      <c r="AT739" s="173"/>
      <c r="AU739" s="173"/>
      <c r="AV739" s="173"/>
    </row>
    <row r="740" spans="1:48" ht="14.25">
      <c r="A740" s="574"/>
      <c r="B740" s="577">
        <v>6</v>
      </c>
      <c r="C740" s="578" t="s">
        <v>1621</v>
      </c>
      <c r="D740" s="579" t="s">
        <v>68</v>
      </c>
      <c r="E740" s="579" t="s">
        <v>82</v>
      </c>
      <c r="F740" s="579" t="s">
        <v>11</v>
      </c>
      <c r="G740" s="580">
        <v>2</v>
      </c>
      <c r="H740" s="580">
        <v>0</v>
      </c>
      <c r="I740" s="581">
        <v>0.33</v>
      </c>
      <c r="J740" s="581">
        <v>0.33</v>
      </c>
      <c r="K740" s="582" t="s">
        <v>146</v>
      </c>
      <c r="L740" s="582"/>
      <c r="M740" s="582"/>
      <c r="N740" s="582"/>
      <c r="O740" s="583" t="s">
        <v>1622</v>
      </c>
      <c r="P740" s="318"/>
      <c r="Q740" s="579" t="s">
        <v>148</v>
      </c>
      <c r="R740" s="173"/>
      <c r="S740" s="195">
        <f>MATCH($D740,Reference!$J$5:$J$9,0)</f>
        <v>3</v>
      </c>
      <c r="T740" s="195">
        <f>MATCH($E740,Reference!$J$26:$J$32,0)</f>
        <v>7</v>
      </c>
      <c r="U740" s="195">
        <f>MATCH($F740,Reference!$J$45:$J$54,0)</f>
        <v>2</v>
      </c>
      <c r="V740" s="196">
        <f>MATCH($K740,Reference!$J$37:$J$39,0)</f>
        <v>2</v>
      </c>
      <c r="W740" s="197">
        <f t="shared" si="1010"/>
        <v>2</v>
      </c>
      <c r="X740" s="197">
        <f t="shared" si="1"/>
        <v>1</v>
      </c>
      <c r="Y740" s="197">
        <f t="shared" si="1011"/>
        <v>0</v>
      </c>
      <c r="Z740" s="197">
        <f t="shared" si="1012"/>
        <v>2</v>
      </c>
      <c r="AA740" s="199" t="b">
        <f t="shared" si="3"/>
        <v>0</v>
      </c>
      <c r="AB740" s="199" t="b">
        <f t="shared" si="4"/>
        <v>0</v>
      </c>
      <c r="AC740" s="200">
        <f t="shared" ref="AC740:AD740" si="1047">1-I740</f>
        <v>0.66999999999999993</v>
      </c>
      <c r="AD740" s="200">
        <f t="shared" si="1047"/>
        <v>0.66999999999999993</v>
      </c>
      <c r="AE740" s="199">
        <f t="shared" si="6"/>
        <v>2</v>
      </c>
      <c r="AF740" s="201">
        <f t="shared" si="1014"/>
        <v>0</v>
      </c>
      <c r="AG740" s="201">
        <f t="shared" si="8"/>
        <v>1</v>
      </c>
      <c r="AH740" s="202">
        <f t="shared" si="1027"/>
        <v>0</v>
      </c>
      <c r="AI740" s="205"/>
      <c r="AJ740" s="173"/>
      <c r="AK740" s="173"/>
      <c r="AL740" s="173"/>
      <c r="AM740" s="173"/>
      <c r="AN740" s="173"/>
      <c r="AO740" s="173"/>
      <c r="AP740" s="173"/>
      <c r="AQ740" s="173"/>
      <c r="AR740" s="173"/>
      <c r="AS740" s="173"/>
      <c r="AT740" s="173"/>
      <c r="AU740" s="173"/>
      <c r="AV740" s="173"/>
    </row>
    <row r="741" spans="1:48" ht="14.25">
      <c r="A741" s="574"/>
      <c r="B741" s="577">
        <v>6</v>
      </c>
      <c r="C741" s="578" t="s">
        <v>1623</v>
      </c>
      <c r="D741" s="579" t="s">
        <v>68</v>
      </c>
      <c r="E741" s="579" t="s">
        <v>82</v>
      </c>
      <c r="F741" s="579" t="s">
        <v>115</v>
      </c>
      <c r="G741" s="580">
        <v>2</v>
      </c>
      <c r="H741" s="580">
        <v>0</v>
      </c>
      <c r="I741" s="581">
        <v>0.66</v>
      </c>
      <c r="J741" s="581">
        <v>0.66</v>
      </c>
      <c r="K741" s="579" t="s">
        <v>182</v>
      </c>
      <c r="L741" s="582"/>
      <c r="M741" s="582">
        <v>5</v>
      </c>
      <c r="N741" s="589">
        <v>6</v>
      </c>
      <c r="O741" s="583" t="s">
        <v>1624</v>
      </c>
      <c r="P741" s="584" t="s">
        <v>184</v>
      </c>
      <c r="Q741" s="579" t="s">
        <v>148</v>
      </c>
      <c r="R741" s="173"/>
      <c r="S741" s="195">
        <f>MATCH($D741,Reference!$J$5:$J$9,0)</f>
        <v>3</v>
      </c>
      <c r="T741" s="195">
        <f>MATCH($E741,Reference!$J$26:$J$32,0)</f>
        <v>7</v>
      </c>
      <c r="U741" s="195">
        <f>MATCH($F741,Reference!$J$45:$J$54,0)</f>
        <v>10</v>
      </c>
      <c r="V741" s="196">
        <f>MATCH($K741,Reference!$J$37:$J$39,0)</f>
        <v>3</v>
      </c>
      <c r="W741" s="197">
        <f t="shared" si="1010"/>
        <v>2</v>
      </c>
      <c r="X741" s="197">
        <f t="shared" si="1"/>
        <v>1</v>
      </c>
      <c r="Y741" s="197">
        <f t="shared" si="1011"/>
        <v>0</v>
      </c>
      <c r="Z741" s="197">
        <f t="shared" si="1012"/>
        <v>2</v>
      </c>
      <c r="AA741" s="199" t="b">
        <f t="shared" si="3"/>
        <v>0</v>
      </c>
      <c r="AB741" s="199" t="b">
        <f t="shared" si="4"/>
        <v>0</v>
      </c>
      <c r="AC741" s="200">
        <f t="shared" ref="AC741:AD741" si="1048">1-I741</f>
        <v>0.33999999999999997</v>
      </c>
      <c r="AD741" s="200">
        <f t="shared" si="1048"/>
        <v>0.33999999999999997</v>
      </c>
      <c r="AE741" s="199">
        <f t="shared" si="6"/>
        <v>2</v>
      </c>
      <c r="AF741" s="201">
        <f t="shared" si="1014"/>
        <v>0</v>
      </c>
      <c r="AG741" s="201">
        <f t="shared" si="8"/>
        <v>1</v>
      </c>
      <c r="AH741" s="202">
        <f t="shared" si="1027"/>
        <v>0</v>
      </c>
      <c r="AI741" s="205"/>
      <c r="AJ741" s="173"/>
      <c r="AK741" s="173"/>
      <c r="AL741" s="173"/>
      <c r="AM741" s="173"/>
      <c r="AN741" s="173"/>
      <c r="AO741" s="173"/>
      <c r="AP741" s="173"/>
      <c r="AQ741" s="173"/>
      <c r="AR741" s="173"/>
      <c r="AS741" s="173"/>
      <c r="AT741" s="173"/>
      <c r="AU741" s="173"/>
      <c r="AV741" s="173"/>
    </row>
    <row r="742" spans="1:48" ht="14.25">
      <c r="A742" s="574"/>
      <c r="B742" s="577">
        <v>6</v>
      </c>
      <c r="C742" s="578" t="s">
        <v>1625</v>
      </c>
      <c r="D742" s="579" t="s">
        <v>68</v>
      </c>
      <c r="E742" s="579" t="s">
        <v>82</v>
      </c>
      <c r="F742" s="579" t="s">
        <v>115</v>
      </c>
      <c r="G742" s="580">
        <v>2</v>
      </c>
      <c r="H742" s="580">
        <v>0</v>
      </c>
      <c r="I742" s="581">
        <v>0.33</v>
      </c>
      <c r="J742" s="581">
        <v>0</v>
      </c>
      <c r="K742" s="579" t="s">
        <v>182</v>
      </c>
      <c r="L742" s="582"/>
      <c r="M742" s="582">
        <v>8</v>
      </c>
      <c r="N742" s="589">
        <v>5</v>
      </c>
      <c r="O742" s="583" t="s">
        <v>1023</v>
      </c>
      <c r="P742" s="318"/>
      <c r="Q742" s="579" t="s">
        <v>148</v>
      </c>
      <c r="R742" s="173"/>
      <c r="S742" s="195">
        <f>MATCH($D742,Reference!$J$5:$J$9,0)</f>
        <v>3</v>
      </c>
      <c r="T742" s="195">
        <f>MATCH($E742,Reference!$J$26:$J$32,0)</f>
        <v>7</v>
      </c>
      <c r="U742" s="195">
        <f>MATCH($F742,Reference!$J$45:$J$54,0)</f>
        <v>10</v>
      </c>
      <c r="V742" s="196">
        <f>MATCH($K742,Reference!$J$37:$J$39,0)</f>
        <v>3</v>
      </c>
      <c r="W742" s="197">
        <f t="shared" si="1010"/>
        <v>2</v>
      </c>
      <c r="X742" s="197">
        <f t="shared" si="1"/>
        <v>1</v>
      </c>
      <c r="Y742" s="197">
        <f t="shared" si="1011"/>
        <v>0</v>
      </c>
      <c r="Z742" s="197">
        <f t="shared" si="1012"/>
        <v>2</v>
      </c>
      <c r="AA742" s="199" t="b">
        <f t="shared" si="3"/>
        <v>0</v>
      </c>
      <c r="AB742" s="199" t="b">
        <f t="shared" si="4"/>
        <v>0</v>
      </c>
      <c r="AC742" s="200">
        <f t="shared" ref="AC742:AD742" si="1049">1-I742</f>
        <v>0.66999999999999993</v>
      </c>
      <c r="AD742" s="200">
        <f t="shared" si="1049"/>
        <v>1</v>
      </c>
      <c r="AE742" s="199">
        <f t="shared" si="6"/>
        <v>2</v>
      </c>
      <c r="AF742" s="201">
        <f t="shared" si="1014"/>
        <v>0</v>
      </c>
      <c r="AG742" s="201">
        <f t="shared" si="8"/>
        <v>1</v>
      </c>
      <c r="AH742" s="202">
        <f t="shared" si="1027"/>
        <v>0</v>
      </c>
      <c r="AI742" s="205"/>
      <c r="AJ742" s="173"/>
      <c r="AK742" s="173"/>
      <c r="AL742" s="173"/>
      <c r="AM742" s="173"/>
      <c r="AN742" s="173"/>
      <c r="AO742" s="173"/>
      <c r="AP742" s="173"/>
      <c r="AQ742" s="173"/>
      <c r="AR742" s="173"/>
      <c r="AS742" s="173"/>
      <c r="AT742" s="173"/>
      <c r="AU742" s="173"/>
      <c r="AV742" s="173"/>
    </row>
    <row r="743" spans="1:48" ht="14.25">
      <c r="A743" s="574"/>
      <c r="B743" s="577">
        <v>6</v>
      </c>
      <c r="C743" s="578" t="s">
        <v>1626</v>
      </c>
      <c r="D743" s="579" t="s">
        <v>68</v>
      </c>
      <c r="E743" s="579" t="s">
        <v>82</v>
      </c>
      <c r="F743" s="579" t="s">
        <v>25</v>
      </c>
      <c r="G743" s="580">
        <v>1</v>
      </c>
      <c r="H743" s="580">
        <v>0</v>
      </c>
      <c r="I743" s="581">
        <v>0.33</v>
      </c>
      <c r="J743" s="581">
        <v>0.33</v>
      </c>
      <c r="K743" s="582" t="s">
        <v>182</v>
      </c>
      <c r="L743" s="582" t="s">
        <v>239</v>
      </c>
      <c r="M743" s="582">
        <v>5</v>
      </c>
      <c r="N743" s="582">
        <v>4</v>
      </c>
      <c r="O743" s="583" t="s">
        <v>1627</v>
      </c>
      <c r="P743" s="584" t="s">
        <v>1374</v>
      </c>
      <c r="Q743" s="579" t="s">
        <v>148</v>
      </c>
      <c r="R743" s="173"/>
      <c r="S743" s="195">
        <f>MATCH($D743,Reference!$J$5:$J$9,0)</f>
        <v>3</v>
      </c>
      <c r="T743" s="195">
        <f>MATCH($E743,Reference!$J$26:$J$32,0)</f>
        <v>7</v>
      </c>
      <c r="U743" s="195">
        <f>MATCH($F743,Reference!$J$45:$J$54,0)</f>
        <v>8</v>
      </c>
      <c r="V743" s="196">
        <f>MATCH($K743,Reference!$J$37:$J$39,0)</f>
        <v>3</v>
      </c>
      <c r="W743" s="197">
        <f t="shared" si="1010"/>
        <v>1</v>
      </c>
      <c r="X743" s="197">
        <f t="shared" si="1"/>
        <v>1</v>
      </c>
      <c r="Y743" s="197">
        <f t="shared" si="1011"/>
        <v>0</v>
      </c>
      <c r="Z743" s="197">
        <f t="shared" si="1012"/>
        <v>1</v>
      </c>
      <c r="AA743" s="199" t="b">
        <f t="shared" si="3"/>
        <v>0</v>
      </c>
      <c r="AB743" s="199" t="b">
        <f t="shared" si="4"/>
        <v>1</v>
      </c>
      <c r="AC743" s="200">
        <f t="shared" ref="AC743:AD743" si="1050">1-I743</f>
        <v>0.66999999999999993</v>
      </c>
      <c r="AD743" s="200">
        <f t="shared" si="1050"/>
        <v>0.66999999999999993</v>
      </c>
      <c r="AE743" s="199">
        <f t="shared" si="6"/>
        <v>1.67</v>
      </c>
      <c r="AF743" s="201">
        <f t="shared" si="1014"/>
        <v>0</v>
      </c>
      <c r="AG743" s="201">
        <f t="shared" si="8"/>
        <v>1</v>
      </c>
      <c r="AH743" s="202">
        <f t="shared" si="1027"/>
        <v>0</v>
      </c>
      <c r="AI743" s="205"/>
      <c r="AJ743" s="173"/>
      <c r="AK743" s="173"/>
      <c r="AL743" s="173"/>
      <c r="AM743" s="173"/>
      <c r="AN743" s="173"/>
      <c r="AO743" s="173"/>
      <c r="AP743" s="173"/>
      <c r="AQ743" s="173"/>
      <c r="AR743" s="173"/>
      <c r="AS743" s="173"/>
      <c r="AT743" s="173"/>
      <c r="AU743" s="173"/>
      <c r="AV743" s="173"/>
    </row>
    <row r="744" spans="1:48" ht="14.25">
      <c r="A744" s="574"/>
      <c r="B744" s="577">
        <v>7</v>
      </c>
      <c r="C744" s="578" t="s">
        <v>1628</v>
      </c>
      <c r="D744" s="579" t="s">
        <v>68</v>
      </c>
      <c r="E744" s="579" t="s">
        <v>82</v>
      </c>
      <c r="F744" s="579" t="s">
        <v>8</v>
      </c>
      <c r="G744" s="580">
        <v>2</v>
      </c>
      <c r="H744" s="580">
        <v>0</v>
      </c>
      <c r="I744" s="581">
        <v>0.33</v>
      </c>
      <c r="J744" s="581">
        <v>0.33</v>
      </c>
      <c r="K744" s="582" t="s">
        <v>182</v>
      </c>
      <c r="L744" s="582"/>
      <c r="M744" s="582">
        <v>6</v>
      </c>
      <c r="N744" s="582">
        <v>6</v>
      </c>
      <c r="O744" s="583" t="s">
        <v>1629</v>
      </c>
      <c r="P744" s="318"/>
      <c r="Q744" s="579" t="s">
        <v>148</v>
      </c>
      <c r="R744" s="173"/>
      <c r="S744" s="195">
        <f>MATCH($D744,Reference!$J$5:$J$9,0)</f>
        <v>3</v>
      </c>
      <c r="T744" s="195">
        <f>MATCH($E744,Reference!$J$26:$J$32,0)</f>
        <v>7</v>
      </c>
      <c r="U744" s="195">
        <f>MATCH($F744,Reference!$J$45:$J$54,0)</f>
        <v>1</v>
      </c>
      <c r="V744" s="196">
        <f>MATCH($K744,Reference!$J$37:$J$39,0)</f>
        <v>3</v>
      </c>
      <c r="W744" s="197">
        <f t="shared" si="1010"/>
        <v>2</v>
      </c>
      <c r="X744" s="197">
        <f t="shared" si="1"/>
        <v>1</v>
      </c>
      <c r="Y744" s="197">
        <f t="shared" si="1011"/>
        <v>0</v>
      </c>
      <c r="Z744" s="197">
        <f t="shared" si="1012"/>
        <v>2</v>
      </c>
      <c r="AA744" s="199" t="b">
        <f t="shared" si="3"/>
        <v>0</v>
      </c>
      <c r="AB744" s="199" t="b">
        <f t="shared" si="4"/>
        <v>0</v>
      </c>
      <c r="AC744" s="200">
        <f t="shared" ref="AC744:AD744" si="1051">1-I744</f>
        <v>0.66999999999999993</v>
      </c>
      <c r="AD744" s="200">
        <f t="shared" si="1051"/>
        <v>0.66999999999999993</v>
      </c>
      <c r="AE744" s="199">
        <f t="shared" si="6"/>
        <v>2</v>
      </c>
      <c r="AF744" s="201">
        <f t="shared" si="1014"/>
        <v>0</v>
      </c>
      <c r="AG744" s="201">
        <f t="shared" si="8"/>
        <v>1</v>
      </c>
      <c r="AH744" s="202">
        <f t="shared" si="1027"/>
        <v>0</v>
      </c>
      <c r="AI744" s="205"/>
      <c r="AJ744" s="173"/>
      <c r="AK744" s="173"/>
      <c r="AL744" s="173"/>
      <c r="AM744" s="173"/>
      <c r="AN744" s="173"/>
      <c r="AO744" s="173"/>
      <c r="AP744" s="173"/>
      <c r="AQ744" s="173"/>
      <c r="AR744" s="173"/>
      <c r="AS744" s="173"/>
      <c r="AT744" s="173"/>
      <c r="AU744" s="173"/>
      <c r="AV744" s="173"/>
    </row>
    <row r="745" spans="1:48" ht="14.25">
      <c r="A745" s="213"/>
      <c r="B745" s="590">
        <v>1</v>
      </c>
      <c r="C745" s="591" t="s">
        <v>1630</v>
      </c>
      <c r="D745" s="590" t="s">
        <v>63</v>
      </c>
      <c r="E745" s="592" t="s">
        <v>73</v>
      </c>
      <c r="F745" s="590" t="s">
        <v>20</v>
      </c>
      <c r="G745" s="592">
        <v>2</v>
      </c>
      <c r="H745" s="592">
        <v>2</v>
      </c>
      <c r="I745" s="593">
        <v>1</v>
      </c>
      <c r="J745" s="593">
        <v>1</v>
      </c>
      <c r="K745" s="590" t="s">
        <v>182</v>
      </c>
      <c r="L745" s="594"/>
      <c r="M745" s="590">
        <v>1</v>
      </c>
      <c r="N745" s="590">
        <v>2</v>
      </c>
      <c r="O745" s="595" t="s">
        <v>1631</v>
      </c>
      <c r="P745" s="596" t="s">
        <v>558</v>
      </c>
      <c r="Q745" s="590" t="s">
        <v>148</v>
      </c>
      <c r="R745" s="470"/>
      <c r="S745" s="292">
        <v>2</v>
      </c>
      <c r="T745" s="292">
        <v>9</v>
      </c>
      <c r="U745" s="292">
        <v>6</v>
      </c>
      <c r="V745" s="292">
        <v>3</v>
      </c>
      <c r="W745" s="197">
        <f t="shared" si="1010"/>
        <v>2</v>
      </c>
      <c r="X745" s="197">
        <f t="shared" si="1"/>
        <v>1</v>
      </c>
      <c r="Y745" s="197">
        <f t="shared" ref="Y745:Y794" si="1052">(MIN(G745,2)+H745-W745)*50</f>
        <v>100</v>
      </c>
      <c r="Z745" s="197">
        <f t="shared" si="1012"/>
        <v>2</v>
      </c>
      <c r="AA745" s="199" t="b">
        <f t="shared" si="3"/>
        <v>0</v>
      </c>
      <c r="AB745" s="199" t="b">
        <f t="shared" si="4"/>
        <v>0</v>
      </c>
      <c r="AC745" s="200">
        <f t="shared" ref="AC745:AD745" si="1053">1-I745</f>
        <v>0</v>
      </c>
      <c r="AD745" s="200">
        <f t="shared" si="1053"/>
        <v>0</v>
      </c>
      <c r="AE745" s="199">
        <f t="shared" si="6"/>
        <v>2</v>
      </c>
      <c r="AF745" s="201">
        <f t="shared" si="1014"/>
        <v>2</v>
      </c>
      <c r="AG745" s="201">
        <f t="shared" si="8"/>
        <v>1</v>
      </c>
      <c r="AH745" s="202">
        <f t="shared" ref="AH745:AH794" si="1054">(MIN(H745,2)+G745-W745)*5</f>
        <v>10</v>
      </c>
      <c r="AI745" s="470"/>
      <c r="AJ745" s="173"/>
      <c r="AK745" s="173"/>
      <c r="AL745" s="173"/>
      <c r="AM745" s="173"/>
      <c r="AN745" s="173"/>
      <c r="AO745" s="173"/>
      <c r="AP745" s="173"/>
      <c r="AQ745" s="173"/>
      <c r="AR745" s="173"/>
      <c r="AS745" s="173"/>
      <c r="AT745" s="173"/>
      <c r="AU745" s="173"/>
      <c r="AV745" s="173"/>
    </row>
    <row r="746" spans="1:48" ht="14.25">
      <c r="A746" s="597"/>
      <c r="B746" s="590">
        <v>1</v>
      </c>
      <c r="C746" s="591" t="s">
        <v>1632</v>
      </c>
      <c r="D746" s="590" t="s">
        <v>63</v>
      </c>
      <c r="E746" s="592" t="s">
        <v>73</v>
      </c>
      <c r="F746" s="590" t="s">
        <v>16</v>
      </c>
      <c r="G746" s="592">
        <v>2</v>
      </c>
      <c r="H746" s="596">
        <v>0</v>
      </c>
      <c r="I746" s="593">
        <v>1</v>
      </c>
      <c r="J746" s="593">
        <v>1</v>
      </c>
      <c r="K746" s="590" t="s">
        <v>146</v>
      </c>
      <c r="L746" s="598"/>
      <c r="M746" s="598"/>
      <c r="N746" s="598"/>
      <c r="O746" s="599" t="s">
        <v>1633</v>
      </c>
      <c r="P746" s="600"/>
      <c r="Q746" s="590" t="s">
        <v>148</v>
      </c>
      <c r="R746" s="470"/>
      <c r="S746" s="292">
        <v>2</v>
      </c>
      <c r="T746" s="292">
        <v>9</v>
      </c>
      <c r="U746" s="292">
        <v>4</v>
      </c>
      <c r="V746" s="292">
        <v>2</v>
      </c>
      <c r="W746" s="197">
        <f t="shared" si="1010"/>
        <v>2</v>
      </c>
      <c r="X746" s="197">
        <f t="shared" si="1"/>
        <v>1</v>
      </c>
      <c r="Y746" s="197">
        <f t="shared" si="1052"/>
        <v>0</v>
      </c>
      <c r="Z746" s="197">
        <f t="shared" si="1012"/>
        <v>2</v>
      </c>
      <c r="AA746" s="199" t="b">
        <f t="shared" si="3"/>
        <v>0</v>
      </c>
      <c r="AB746" s="199" t="b">
        <f t="shared" si="4"/>
        <v>0</v>
      </c>
      <c r="AC746" s="200">
        <f t="shared" ref="AC746:AD746" si="1055">1-I746</f>
        <v>0</v>
      </c>
      <c r="AD746" s="200">
        <f t="shared" si="1055"/>
        <v>0</v>
      </c>
      <c r="AE746" s="199">
        <f t="shared" si="6"/>
        <v>2</v>
      </c>
      <c r="AF746" s="201">
        <f t="shared" si="1014"/>
        <v>0</v>
      </c>
      <c r="AG746" s="201">
        <f t="shared" si="8"/>
        <v>1</v>
      </c>
      <c r="AH746" s="202">
        <f t="shared" si="1054"/>
        <v>0</v>
      </c>
      <c r="AI746" s="470"/>
      <c r="AJ746" s="173"/>
      <c r="AK746" s="173"/>
      <c r="AL746" s="173"/>
      <c r="AM746" s="173"/>
      <c r="AN746" s="173"/>
      <c r="AO746" s="173"/>
      <c r="AP746" s="173"/>
      <c r="AQ746" s="173"/>
      <c r="AR746" s="173"/>
      <c r="AS746" s="173"/>
      <c r="AT746" s="173"/>
      <c r="AU746" s="173"/>
      <c r="AV746" s="173"/>
    </row>
    <row r="747" spans="1:48" ht="14.25">
      <c r="A747" s="206"/>
      <c r="B747" s="590">
        <v>1</v>
      </c>
      <c r="C747" s="591" t="s">
        <v>1634</v>
      </c>
      <c r="D747" s="590" t="s">
        <v>63</v>
      </c>
      <c r="E747" s="592" t="s">
        <v>73</v>
      </c>
      <c r="F747" s="590" t="s">
        <v>11</v>
      </c>
      <c r="G747" s="592">
        <v>2</v>
      </c>
      <c r="H747" s="592">
        <v>2</v>
      </c>
      <c r="I747" s="593">
        <v>1</v>
      </c>
      <c r="J747" s="593">
        <v>1</v>
      </c>
      <c r="K747" s="590" t="s">
        <v>182</v>
      </c>
      <c r="L747" s="590" t="s">
        <v>230</v>
      </c>
      <c r="M747" s="590">
        <v>2</v>
      </c>
      <c r="N747" s="590">
        <v>1</v>
      </c>
      <c r="O747" s="599" t="s">
        <v>1231</v>
      </c>
      <c r="P747" s="590" t="s">
        <v>454</v>
      </c>
      <c r="Q747" s="590" t="s">
        <v>148</v>
      </c>
      <c r="R747" s="470"/>
      <c r="S747" s="292">
        <v>2</v>
      </c>
      <c r="T747" s="292">
        <v>9</v>
      </c>
      <c r="U747" s="292">
        <v>2</v>
      </c>
      <c r="V747" s="292">
        <v>3</v>
      </c>
      <c r="W747" s="197">
        <f t="shared" si="1010"/>
        <v>2</v>
      </c>
      <c r="X747" s="197">
        <f t="shared" si="1"/>
        <v>1</v>
      </c>
      <c r="Y747" s="197">
        <f t="shared" si="1052"/>
        <v>100</v>
      </c>
      <c r="Z747" s="197">
        <f t="shared" si="1012"/>
        <v>2</v>
      </c>
      <c r="AA747" s="199" t="b">
        <f t="shared" si="3"/>
        <v>0</v>
      </c>
      <c r="AB747" s="199" t="b">
        <f t="shared" si="4"/>
        <v>0</v>
      </c>
      <c r="AC747" s="200">
        <f t="shared" ref="AC747:AD747" si="1056">1-I747</f>
        <v>0</v>
      </c>
      <c r="AD747" s="200">
        <f t="shared" si="1056"/>
        <v>0</v>
      </c>
      <c r="AE747" s="199">
        <f t="shared" si="6"/>
        <v>2</v>
      </c>
      <c r="AF747" s="201">
        <f t="shared" si="1014"/>
        <v>2</v>
      </c>
      <c r="AG747" s="201">
        <f t="shared" si="8"/>
        <v>1</v>
      </c>
      <c r="AH747" s="202">
        <f t="shared" si="1054"/>
        <v>10</v>
      </c>
      <c r="AI747" s="470"/>
      <c r="AJ747" s="173"/>
      <c r="AK747" s="173"/>
      <c r="AL747" s="173"/>
      <c r="AM747" s="173"/>
      <c r="AN747" s="173"/>
      <c r="AO747" s="173"/>
      <c r="AP747" s="173"/>
      <c r="AQ747" s="173"/>
      <c r="AR747" s="173"/>
      <c r="AS747" s="173"/>
      <c r="AT747" s="173"/>
      <c r="AU747" s="173"/>
      <c r="AV747" s="173"/>
    </row>
    <row r="748" spans="1:48" ht="14.25">
      <c r="A748" s="597"/>
      <c r="B748" s="590">
        <v>1</v>
      </c>
      <c r="C748" s="591" t="s">
        <v>1635</v>
      </c>
      <c r="D748" s="590" t="s">
        <v>63</v>
      </c>
      <c r="E748" s="592" t="s">
        <v>73</v>
      </c>
      <c r="F748" s="590" t="s">
        <v>26</v>
      </c>
      <c r="G748" s="592">
        <v>2</v>
      </c>
      <c r="H748" s="596">
        <v>0</v>
      </c>
      <c r="I748" s="593">
        <v>1</v>
      </c>
      <c r="J748" s="593">
        <v>1</v>
      </c>
      <c r="K748" s="590" t="s">
        <v>182</v>
      </c>
      <c r="L748" s="590" t="s">
        <v>536</v>
      </c>
      <c r="M748" s="590">
        <v>1</v>
      </c>
      <c r="N748" s="590">
        <v>1</v>
      </c>
      <c r="O748" s="599" t="s">
        <v>1636</v>
      </c>
      <c r="P748" s="590" t="s">
        <v>275</v>
      </c>
      <c r="Q748" s="590" t="s">
        <v>148</v>
      </c>
      <c r="R748" s="470"/>
      <c r="S748" s="292">
        <v>2</v>
      </c>
      <c r="T748" s="292">
        <v>9</v>
      </c>
      <c r="U748" s="292">
        <v>9</v>
      </c>
      <c r="V748" s="292">
        <v>3</v>
      </c>
      <c r="W748" s="197">
        <f t="shared" si="1010"/>
        <v>2</v>
      </c>
      <c r="X748" s="197">
        <f t="shared" si="1"/>
        <v>1</v>
      </c>
      <c r="Y748" s="197">
        <f t="shared" si="1052"/>
        <v>0</v>
      </c>
      <c r="Z748" s="197">
        <f t="shared" si="1012"/>
        <v>2</v>
      </c>
      <c r="AA748" s="199" t="b">
        <f t="shared" si="3"/>
        <v>0</v>
      </c>
      <c r="AB748" s="199" t="b">
        <f t="shared" si="4"/>
        <v>0</v>
      </c>
      <c r="AC748" s="200">
        <f t="shared" ref="AC748:AD748" si="1057">1-I748</f>
        <v>0</v>
      </c>
      <c r="AD748" s="200">
        <f t="shared" si="1057"/>
        <v>0</v>
      </c>
      <c r="AE748" s="199">
        <f t="shared" si="6"/>
        <v>2</v>
      </c>
      <c r="AF748" s="201">
        <f t="shared" si="1014"/>
        <v>0</v>
      </c>
      <c r="AG748" s="201">
        <f t="shared" si="8"/>
        <v>1</v>
      </c>
      <c r="AH748" s="202">
        <f t="shared" si="1054"/>
        <v>0</v>
      </c>
      <c r="AI748" s="470"/>
      <c r="AJ748" s="173"/>
      <c r="AK748" s="173"/>
      <c r="AL748" s="173"/>
      <c r="AM748" s="173"/>
      <c r="AN748" s="173"/>
      <c r="AO748" s="173"/>
      <c r="AP748" s="173"/>
      <c r="AQ748" s="173"/>
      <c r="AR748" s="173"/>
      <c r="AS748" s="173"/>
      <c r="AT748" s="173"/>
      <c r="AU748" s="173"/>
      <c r="AV748" s="173"/>
    </row>
    <row r="749" spans="1:48" ht="14.25">
      <c r="A749" s="206"/>
      <c r="B749" s="596">
        <v>1</v>
      </c>
      <c r="C749" s="591" t="s">
        <v>1637</v>
      </c>
      <c r="D749" s="596" t="s">
        <v>63</v>
      </c>
      <c r="E749" s="592" t="s">
        <v>73</v>
      </c>
      <c r="F749" s="596" t="s">
        <v>11</v>
      </c>
      <c r="G749" s="592">
        <v>2</v>
      </c>
      <c r="H749" s="596">
        <v>0</v>
      </c>
      <c r="I749" s="593">
        <v>1</v>
      </c>
      <c r="J749" s="593">
        <v>1</v>
      </c>
      <c r="K749" s="596" t="s">
        <v>146</v>
      </c>
      <c r="L749" s="594"/>
      <c r="M749" s="594"/>
      <c r="N749" s="594"/>
      <c r="O749" s="595" t="s">
        <v>1638</v>
      </c>
      <c r="P749" s="601"/>
      <c r="Q749" s="596" t="s">
        <v>148</v>
      </c>
      <c r="R749" s="470"/>
      <c r="S749" s="292">
        <v>2</v>
      </c>
      <c r="T749" s="292">
        <v>9</v>
      </c>
      <c r="U749" s="292">
        <v>2</v>
      </c>
      <c r="V749" s="292">
        <v>2</v>
      </c>
      <c r="W749" s="197">
        <f t="shared" si="1010"/>
        <v>2</v>
      </c>
      <c r="X749" s="197">
        <f t="shared" si="1"/>
        <v>1</v>
      </c>
      <c r="Y749" s="197">
        <f t="shared" si="1052"/>
        <v>0</v>
      </c>
      <c r="Z749" s="197">
        <f t="shared" si="1012"/>
        <v>2</v>
      </c>
      <c r="AA749" s="199" t="b">
        <f t="shared" si="3"/>
        <v>0</v>
      </c>
      <c r="AB749" s="199" t="b">
        <f t="shared" si="4"/>
        <v>0</v>
      </c>
      <c r="AC749" s="200">
        <f t="shared" ref="AC749:AD749" si="1058">1-I749</f>
        <v>0</v>
      </c>
      <c r="AD749" s="200">
        <f t="shared" si="1058"/>
        <v>0</v>
      </c>
      <c r="AE749" s="199">
        <f t="shared" si="6"/>
        <v>2</v>
      </c>
      <c r="AF749" s="201">
        <f t="shared" si="1014"/>
        <v>0</v>
      </c>
      <c r="AG749" s="201">
        <f t="shared" si="8"/>
        <v>1</v>
      </c>
      <c r="AH749" s="202">
        <f t="shared" si="1054"/>
        <v>0</v>
      </c>
      <c r="AI749" s="470"/>
      <c r="AJ749" s="173"/>
      <c r="AK749" s="173"/>
      <c r="AL749" s="173"/>
      <c r="AM749" s="173"/>
      <c r="AN749" s="173"/>
      <c r="AO749" s="173"/>
      <c r="AP749" s="173"/>
      <c r="AQ749" s="173"/>
      <c r="AR749" s="173"/>
      <c r="AS749" s="173"/>
      <c r="AT749" s="173"/>
      <c r="AU749" s="173"/>
      <c r="AV749" s="173"/>
    </row>
    <row r="750" spans="1:48" ht="14.25">
      <c r="A750" s="597"/>
      <c r="B750" s="590">
        <v>1</v>
      </c>
      <c r="C750" s="602" t="s">
        <v>1639</v>
      </c>
      <c r="D750" s="590" t="s">
        <v>63</v>
      </c>
      <c r="E750" s="592" t="s">
        <v>73</v>
      </c>
      <c r="F750" s="590" t="s">
        <v>25</v>
      </c>
      <c r="G750" s="592">
        <v>2</v>
      </c>
      <c r="H750" s="590">
        <v>0</v>
      </c>
      <c r="I750" s="593">
        <v>1</v>
      </c>
      <c r="J750" s="593">
        <v>1</v>
      </c>
      <c r="K750" s="590" t="s">
        <v>182</v>
      </c>
      <c r="L750" s="598"/>
      <c r="M750" s="590">
        <v>1</v>
      </c>
      <c r="N750" s="590">
        <v>1</v>
      </c>
      <c r="O750" s="599" t="s">
        <v>1640</v>
      </c>
      <c r="P750" s="590" t="s">
        <v>454</v>
      </c>
      <c r="Q750" s="590" t="s">
        <v>148</v>
      </c>
      <c r="R750" s="470"/>
      <c r="S750" s="292">
        <v>2</v>
      </c>
      <c r="T750" s="292">
        <v>9</v>
      </c>
      <c r="U750" s="292">
        <v>8</v>
      </c>
      <c r="V750" s="292">
        <v>3</v>
      </c>
      <c r="W750" s="197">
        <f t="shared" si="1010"/>
        <v>2</v>
      </c>
      <c r="X750" s="197">
        <f t="shared" si="1"/>
        <v>1</v>
      </c>
      <c r="Y750" s="197">
        <f t="shared" si="1052"/>
        <v>0</v>
      </c>
      <c r="Z750" s="197">
        <f t="shared" si="1012"/>
        <v>2</v>
      </c>
      <c r="AA750" s="199" t="b">
        <f t="shared" si="3"/>
        <v>0</v>
      </c>
      <c r="AB750" s="199" t="b">
        <f t="shared" si="4"/>
        <v>0</v>
      </c>
      <c r="AC750" s="200">
        <f t="shared" ref="AC750:AD750" si="1059">1-I750</f>
        <v>0</v>
      </c>
      <c r="AD750" s="200">
        <f t="shared" si="1059"/>
        <v>0</v>
      </c>
      <c r="AE750" s="199">
        <f t="shared" si="6"/>
        <v>2</v>
      </c>
      <c r="AF750" s="201">
        <f t="shared" si="1014"/>
        <v>0</v>
      </c>
      <c r="AG750" s="201">
        <f t="shared" si="8"/>
        <v>1</v>
      </c>
      <c r="AH750" s="202">
        <f t="shared" si="1054"/>
        <v>0</v>
      </c>
      <c r="AI750" s="470"/>
      <c r="AJ750" s="173"/>
      <c r="AK750" s="173"/>
      <c r="AL750" s="173"/>
      <c r="AM750" s="173"/>
      <c r="AN750" s="173"/>
      <c r="AO750" s="173"/>
      <c r="AP750" s="173"/>
      <c r="AQ750" s="173"/>
      <c r="AR750" s="173"/>
      <c r="AS750" s="173"/>
      <c r="AT750" s="173"/>
      <c r="AU750" s="173"/>
      <c r="AV750" s="173"/>
    </row>
    <row r="751" spans="1:48" ht="14.25">
      <c r="A751" s="206"/>
      <c r="B751" s="590">
        <v>1</v>
      </c>
      <c r="C751" s="591" t="s">
        <v>1641</v>
      </c>
      <c r="D751" s="590" t="s">
        <v>63</v>
      </c>
      <c r="E751" s="592" t="s">
        <v>73</v>
      </c>
      <c r="F751" s="590" t="s">
        <v>21</v>
      </c>
      <c r="G751" s="592">
        <v>2</v>
      </c>
      <c r="H751" s="590">
        <v>0</v>
      </c>
      <c r="I751" s="593">
        <v>1</v>
      </c>
      <c r="J751" s="593">
        <v>1</v>
      </c>
      <c r="K751" s="590" t="s">
        <v>146</v>
      </c>
      <c r="L751" s="598"/>
      <c r="M751" s="598"/>
      <c r="N751" s="598"/>
      <c r="O751" s="599" t="s">
        <v>1642</v>
      </c>
      <c r="P751" s="600"/>
      <c r="Q751" s="590" t="s">
        <v>148</v>
      </c>
      <c r="R751" s="470"/>
      <c r="S751" s="292">
        <v>2</v>
      </c>
      <c r="T751" s="292">
        <v>9</v>
      </c>
      <c r="U751" s="292">
        <v>7</v>
      </c>
      <c r="V751" s="292">
        <v>2</v>
      </c>
      <c r="W751" s="197">
        <f t="shared" si="1010"/>
        <v>2</v>
      </c>
      <c r="X751" s="197">
        <f t="shared" si="1"/>
        <v>1</v>
      </c>
      <c r="Y751" s="197">
        <f t="shared" si="1052"/>
        <v>0</v>
      </c>
      <c r="Z751" s="197">
        <f t="shared" si="1012"/>
        <v>2</v>
      </c>
      <c r="AA751" s="199" t="b">
        <f t="shared" si="3"/>
        <v>0</v>
      </c>
      <c r="AB751" s="199" t="b">
        <f t="shared" si="4"/>
        <v>0</v>
      </c>
      <c r="AC751" s="200">
        <f t="shared" ref="AC751:AD751" si="1060">1-I751</f>
        <v>0</v>
      </c>
      <c r="AD751" s="200">
        <f t="shared" si="1060"/>
        <v>0</v>
      </c>
      <c r="AE751" s="199">
        <f t="shared" si="6"/>
        <v>2</v>
      </c>
      <c r="AF751" s="201">
        <f t="shared" si="1014"/>
        <v>0</v>
      </c>
      <c r="AG751" s="201">
        <f t="shared" si="8"/>
        <v>1</v>
      </c>
      <c r="AH751" s="202">
        <f t="shared" si="1054"/>
        <v>0</v>
      </c>
      <c r="AI751" s="470"/>
      <c r="AJ751" s="173"/>
      <c r="AK751" s="173"/>
      <c r="AL751" s="173"/>
      <c r="AM751" s="173"/>
      <c r="AN751" s="173"/>
      <c r="AO751" s="173"/>
      <c r="AP751" s="173"/>
      <c r="AQ751" s="173"/>
      <c r="AR751" s="173"/>
      <c r="AS751" s="173"/>
      <c r="AT751" s="173"/>
      <c r="AU751" s="173"/>
      <c r="AV751" s="173"/>
    </row>
    <row r="752" spans="1:48" ht="14.25">
      <c r="A752" s="206"/>
      <c r="B752" s="590">
        <v>1</v>
      </c>
      <c r="C752" s="602" t="s">
        <v>1643</v>
      </c>
      <c r="D752" s="590" t="s">
        <v>63</v>
      </c>
      <c r="E752" s="592" t="s">
        <v>73</v>
      </c>
      <c r="F752" s="590" t="s">
        <v>115</v>
      </c>
      <c r="G752" s="592">
        <v>2</v>
      </c>
      <c r="H752" s="590">
        <v>0</v>
      </c>
      <c r="I752" s="593">
        <v>1</v>
      </c>
      <c r="J752" s="593">
        <v>1</v>
      </c>
      <c r="K752" s="590" t="s">
        <v>182</v>
      </c>
      <c r="L752" s="598"/>
      <c r="M752" s="590">
        <v>1</v>
      </c>
      <c r="N752" s="590">
        <v>1</v>
      </c>
      <c r="O752" s="599" t="s">
        <v>1644</v>
      </c>
      <c r="P752" s="590" t="s">
        <v>454</v>
      </c>
      <c r="Q752" s="590" t="s">
        <v>148</v>
      </c>
      <c r="R752" s="470"/>
      <c r="S752" s="292">
        <v>2</v>
      </c>
      <c r="T752" s="292">
        <v>9</v>
      </c>
      <c r="U752" s="292">
        <v>10</v>
      </c>
      <c r="V752" s="292">
        <v>3</v>
      </c>
      <c r="W752" s="197">
        <f t="shared" si="1010"/>
        <v>2</v>
      </c>
      <c r="X752" s="197">
        <f t="shared" si="1"/>
        <v>1</v>
      </c>
      <c r="Y752" s="197">
        <f t="shared" si="1052"/>
        <v>0</v>
      </c>
      <c r="Z752" s="197">
        <f t="shared" si="1012"/>
        <v>2</v>
      </c>
      <c r="AA752" s="199" t="b">
        <f t="shared" si="3"/>
        <v>0</v>
      </c>
      <c r="AB752" s="199" t="b">
        <f t="shared" si="4"/>
        <v>0</v>
      </c>
      <c r="AC752" s="200">
        <f t="shared" ref="AC752:AD752" si="1061">1-I752</f>
        <v>0</v>
      </c>
      <c r="AD752" s="200">
        <f t="shared" si="1061"/>
        <v>0</v>
      </c>
      <c r="AE752" s="199">
        <f t="shared" si="6"/>
        <v>2</v>
      </c>
      <c r="AF752" s="201">
        <f t="shared" si="1014"/>
        <v>0</v>
      </c>
      <c r="AG752" s="201">
        <f t="shared" si="8"/>
        <v>1</v>
      </c>
      <c r="AH752" s="202">
        <f t="shared" si="1054"/>
        <v>0</v>
      </c>
      <c r="AI752" s="470"/>
      <c r="AJ752" s="173"/>
      <c r="AK752" s="173"/>
      <c r="AL752" s="173"/>
      <c r="AM752" s="173"/>
      <c r="AN752" s="173"/>
      <c r="AO752" s="173"/>
      <c r="AP752" s="173"/>
      <c r="AQ752" s="173"/>
      <c r="AR752" s="173"/>
      <c r="AS752" s="173"/>
      <c r="AT752" s="173"/>
      <c r="AU752" s="173"/>
      <c r="AV752" s="173"/>
    </row>
    <row r="753" spans="1:48" ht="14.25">
      <c r="A753" s="206"/>
      <c r="B753" s="590">
        <v>1</v>
      </c>
      <c r="C753" s="591" t="s">
        <v>1645</v>
      </c>
      <c r="D753" s="590" t="s">
        <v>63</v>
      </c>
      <c r="E753" s="592" t="s">
        <v>73</v>
      </c>
      <c r="F753" s="590" t="s">
        <v>115</v>
      </c>
      <c r="G753" s="592">
        <v>2</v>
      </c>
      <c r="H753" s="592">
        <v>1</v>
      </c>
      <c r="I753" s="593">
        <v>1</v>
      </c>
      <c r="J753" s="593">
        <v>1</v>
      </c>
      <c r="K753" s="590" t="s">
        <v>182</v>
      </c>
      <c r="L753" s="598"/>
      <c r="M753" s="590">
        <v>1</v>
      </c>
      <c r="N753" s="590">
        <v>1</v>
      </c>
      <c r="O753" s="599" t="s">
        <v>1646</v>
      </c>
      <c r="P753" s="590" t="s">
        <v>454</v>
      </c>
      <c r="Q753" s="590" t="s">
        <v>148</v>
      </c>
      <c r="R753" s="470"/>
      <c r="S753" s="292">
        <v>2</v>
      </c>
      <c r="T753" s="292">
        <v>9</v>
      </c>
      <c r="U753" s="292">
        <v>10</v>
      </c>
      <c r="V753" s="292">
        <v>3</v>
      </c>
      <c r="W753" s="197">
        <f t="shared" si="1010"/>
        <v>2</v>
      </c>
      <c r="X753" s="197">
        <f t="shared" si="1"/>
        <v>1</v>
      </c>
      <c r="Y753" s="197">
        <f t="shared" si="1052"/>
        <v>50</v>
      </c>
      <c r="Z753" s="197">
        <f t="shared" si="1012"/>
        <v>2</v>
      </c>
      <c r="AA753" s="199" t="b">
        <f t="shared" si="3"/>
        <v>0</v>
      </c>
      <c r="AB753" s="199" t="b">
        <f t="shared" si="4"/>
        <v>0</v>
      </c>
      <c r="AC753" s="200">
        <f t="shared" ref="AC753:AD753" si="1062">1-I753</f>
        <v>0</v>
      </c>
      <c r="AD753" s="200">
        <f t="shared" si="1062"/>
        <v>0</v>
      </c>
      <c r="AE753" s="199">
        <f t="shared" si="6"/>
        <v>2</v>
      </c>
      <c r="AF753" s="201">
        <f t="shared" si="1014"/>
        <v>1</v>
      </c>
      <c r="AG753" s="201">
        <f t="shared" si="8"/>
        <v>1</v>
      </c>
      <c r="AH753" s="202">
        <f t="shared" si="1054"/>
        <v>5</v>
      </c>
      <c r="AI753" s="470"/>
      <c r="AJ753" s="173"/>
      <c r="AK753" s="173"/>
      <c r="AL753" s="173"/>
      <c r="AM753" s="173"/>
      <c r="AN753" s="173"/>
      <c r="AO753" s="173"/>
      <c r="AP753" s="173"/>
      <c r="AQ753" s="173"/>
      <c r="AR753" s="173"/>
      <c r="AS753" s="173"/>
      <c r="AT753" s="173"/>
      <c r="AU753" s="173"/>
      <c r="AV753" s="173"/>
    </row>
    <row r="754" spans="1:48" ht="14.25">
      <c r="A754" s="206"/>
      <c r="B754" s="590">
        <v>2</v>
      </c>
      <c r="C754" s="591" t="s">
        <v>1647</v>
      </c>
      <c r="D754" s="590" t="s">
        <v>63</v>
      </c>
      <c r="E754" s="592" t="s">
        <v>73</v>
      </c>
      <c r="F754" s="590" t="s">
        <v>16</v>
      </c>
      <c r="G754" s="592">
        <v>2</v>
      </c>
      <c r="H754" s="590">
        <v>0</v>
      </c>
      <c r="I754" s="593">
        <v>1</v>
      </c>
      <c r="J754" s="593">
        <v>1</v>
      </c>
      <c r="K754" s="590" t="s">
        <v>146</v>
      </c>
      <c r="L754" s="598"/>
      <c r="M754" s="598"/>
      <c r="N754" s="598"/>
      <c r="O754" s="599" t="s">
        <v>1648</v>
      </c>
      <c r="P754" s="600"/>
      <c r="Q754" s="590" t="s">
        <v>148</v>
      </c>
      <c r="R754" s="470"/>
      <c r="S754" s="292">
        <v>2</v>
      </c>
      <c r="T754" s="292">
        <v>9</v>
      </c>
      <c r="U754" s="292">
        <v>4</v>
      </c>
      <c r="V754" s="292">
        <v>2</v>
      </c>
      <c r="W754" s="197">
        <f t="shared" si="1010"/>
        <v>2</v>
      </c>
      <c r="X754" s="197">
        <f t="shared" si="1"/>
        <v>1</v>
      </c>
      <c r="Y754" s="197">
        <f t="shared" si="1052"/>
        <v>0</v>
      </c>
      <c r="Z754" s="197">
        <f t="shared" si="1012"/>
        <v>2</v>
      </c>
      <c r="AA754" s="199" t="b">
        <f t="shared" si="3"/>
        <v>0</v>
      </c>
      <c r="AB754" s="199" t="b">
        <f t="shared" si="4"/>
        <v>0</v>
      </c>
      <c r="AC754" s="200">
        <f t="shared" ref="AC754:AD754" si="1063">1-I754</f>
        <v>0</v>
      </c>
      <c r="AD754" s="200">
        <f t="shared" si="1063"/>
        <v>0</v>
      </c>
      <c r="AE754" s="199">
        <f t="shared" si="6"/>
        <v>2</v>
      </c>
      <c r="AF754" s="201">
        <f t="shared" si="1014"/>
        <v>0</v>
      </c>
      <c r="AG754" s="201">
        <f t="shared" si="8"/>
        <v>1</v>
      </c>
      <c r="AH754" s="202">
        <f t="shared" si="1054"/>
        <v>0</v>
      </c>
      <c r="AI754" s="470"/>
      <c r="AJ754" s="173"/>
      <c r="AK754" s="173"/>
      <c r="AL754" s="173"/>
      <c r="AM754" s="173"/>
      <c r="AN754" s="173"/>
      <c r="AO754" s="173"/>
      <c r="AP754" s="173"/>
      <c r="AQ754" s="173"/>
      <c r="AR754" s="173"/>
      <c r="AS754" s="173"/>
      <c r="AT754" s="173"/>
      <c r="AU754" s="173"/>
      <c r="AV754" s="173"/>
    </row>
    <row r="755" spans="1:48" ht="14.25">
      <c r="A755" s="206"/>
      <c r="B755" s="590">
        <v>2</v>
      </c>
      <c r="C755" s="591" t="s">
        <v>1649</v>
      </c>
      <c r="D755" s="590" t="s">
        <v>63</v>
      </c>
      <c r="E755" s="592" t="s">
        <v>73</v>
      </c>
      <c r="F755" s="590" t="s">
        <v>115</v>
      </c>
      <c r="G755" s="592">
        <v>2</v>
      </c>
      <c r="H755" s="590">
        <v>0</v>
      </c>
      <c r="I755" s="593">
        <v>1</v>
      </c>
      <c r="J755" s="593">
        <v>1</v>
      </c>
      <c r="K755" s="590" t="s">
        <v>182</v>
      </c>
      <c r="L755" s="598"/>
      <c r="M755" s="590">
        <v>2</v>
      </c>
      <c r="N755" s="590">
        <v>3</v>
      </c>
      <c r="O755" s="599" t="s">
        <v>1650</v>
      </c>
      <c r="P755" s="590" t="s">
        <v>275</v>
      </c>
      <c r="Q755" s="590" t="s">
        <v>148</v>
      </c>
      <c r="R755" s="470"/>
      <c r="S755" s="292">
        <v>2</v>
      </c>
      <c r="T755" s="292">
        <v>9</v>
      </c>
      <c r="U755" s="292">
        <v>10</v>
      </c>
      <c r="V755" s="292">
        <v>3</v>
      </c>
      <c r="W755" s="197">
        <f t="shared" si="1010"/>
        <v>2</v>
      </c>
      <c r="X755" s="197">
        <f t="shared" si="1"/>
        <v>1</v>
      </c>
      <c r="Y755" s="197">
        <f t="shared" si="1052"/>
        <v>0</v>
      </c>
      <c r="Z755" s="197">
        <f t="shared" si="1012"/>
        <v>2</v>
      </c>
      <c r="AA755" s="199" t="b">
        <f t="shared" si="3"/>
        <v>0</v>
      </c>
      <c r="AB755" s="199" t="b">
        <f t="shared" si="4"/>
        <v>0</v>
      </c>
      <c r="AC755" s="200">
        <f t="shared" ref="AC755:AD755" si="1064">1-I755</f>
        <v>0</v>
      </c>
      <c r="AD755" s="200">
        <f t="shared" si="1064"/>
        <v>0</v>
      </c>
      <c r="AE755" s="199">
        <f t="shared" si="6"/>
        <v>2</v>
      </c>
      <c r="AF755" s="201">
        <f t="shared" si="1014"/>
        <v>0</v>
      </c>
      <c r="AG755" s="201">
        <f t="shared" si="8"/>
        <v>1</v>
      </c>
      <c r="AH755" s="202">
        <f t="shared" si="1054"/>
        <v>0</v>
      </c>
      <c r="AI755" s="470"/>
      <c r="AJ755" s="173"/>
      <c r="AK755" s="173"/>
      <c r="AL755" s="173"/>
      <c r="AM755" s="173"/>
      <c r="AN755" s="173"/>
      <c r="AO755" s="173"/>
      <c r="AP755" s="173"/>
      <c r="AQ755" s="173"/>
      <c r="AR755" s="173"/>
      <c r="AS755" s="173"/>
      <c r="AT755" s="173"/>
      <c r="AU755" s="173"/>
      <c r="AV755" s="173"/>
    </row>
    <row r="756" spans="1:48" ht="14.25">
      <c r="A756" s="206"/>
      <c r="B756" s="590">
        <v>2</v>
      </c>
      <c r="C756" s="591" t="s">
        <v>1651</v>
      </c>
      <c r="D756" s="590" t="s">
        <v>63</v>
      </c>
      <c r="E756" s="592" t="s">
        <v>73</v>
      </c>
      <c r="F756" s="590" t="s">
        <v>115</v>
      </c>
      <c r="G756" s="592">
        <v>2</v>
      </c>
      <c r="H756" s="590">
        <v>0</v>
      </c>
      <c r="I756" s="593">
        <v>1</v>
      </c>
      <c r="J756" s="593">
        <v>1</v>
      </c>
      <c r="K756" s="596" t="s">
        <v>182</v>
      </c>
      <c r="L756" s="590" t="s">
        <v>195</v>
      </c>
      <c r="M756" s="596">
        <v>2</v>
      </c>
      <c r="N756" s="596">
        <v>1</v>
      </c>
      <c r="O756" s="599" t="s">
        <v>1652</v>
      </c>
      <c r="P756" s="590" t="s">
        <v>184</v>
      </c>
      <c r="Q756" s="590" t="s">
        <v>148</v>
      </c>
      <c r="R756" s="470"/>
      <c r="S756" s="292">
        <v>2</v>
      </c>
      <c r="T756" s="292">
        <v>9</v>
      </c>
      <c r="U756" s="292">
        <v>10</v>
      </c>
      <c r="V756" s="292">
        <v>3</v>
      </c>
      <c r="W756" s="197">
        <f t="shared" si="1010"/>
        <v>2</v>
      </c>
      <c r="X756" s="197">
        <f t="shared" si="1"/>
        <v>1</v>
      </c>
      <c r="Y756" s="197">
        <f t="shared" si="1052"/>
        <v>0</v>
      </c>
      <c r="Z756" s="197">
        <f t="shared" si="1012"/>
        <v>2</v>
      </c>
      <c r="AA756" s="199" t="b">
        <f t="shared" si="3"/>
        <v>0</v>
      </c>
      <c r="AB756" s="199" t="b">
        <f t="shared" si="4"/>
        <v>0</v>
      </c>
      <c r="AC756" s="200">
        <f t="shared" ref="AC756:AD756" si="1065">1-I756</f>
        <v>0</v>
      </c>
      <c r="AD756" s="200">
        <f t="shared" si="1065"/>
        <v>0</v>
      </c>
      <c r="AE756" s="199">
        <f t="shared" si="6"/>
        <v>2</v>
      </c>
      <c r="AF756" s="201">
        <f t="shared" si="1014"/>
        <v>0</v>
      </c>
      <c r="AG756" s="201">
        <f t="shared" si="8"/>
        <v>1</v>
      </c>
      <c r="AH756" s="202">
        <f t="shared" si="1054"/>
        <v>0</v>
      </c>
      <c r="AI756" s="470"/>
      <c r="AJ756" s="173"/>
      <c r="AK756" s="173"/>
      <c r="AL756" s="173"/>
      <c r="AM756" s="173"/>
      <c r="AN756" s="173"/>
      <c r="AO756" s="173"/>
      <c r="AP756" s="173"/>
      <c r="AQ756" s="173"/>
      <c r="AR756" s="173"/>
      <c r="AS756" s="173"/>
      <c r="AT756" s="173"/>
      <c r="AU756" s="173"/>
      <c r="AV756" s="173"/>
    </row>
    <row r="757" spans="1:48" ht="14.25">
      <c r="A757" s="206"/>
      <c r="B757" s="590">
        <v>2</v>
      </c>
      <c r="C757" s="591" t="s">
        <v>1653</v>
      </c>
      <c r="D757" s="590" t="s">
        <v>63</v>
      </c>
      <c r="E757" s="592" t="s">
        <v>73</v>
      </c>
      <c r="F757" s="590" t="s">
        <v>115</v>
      </c>
      <c r="G757" s="592">
        <v>2</v>
      </c>
      <c r="H757" s="592">
        <v>1</v>
      </c>
      <c r="I757" s="593">
        <v>1</v>
      </c>
      <c r="J757" s="593">
        <v>1</v>
      </c>
      <c r="K757" s="590" t="s">
        <v>182</v>
      </c>
      <c r="L757" s="590" t="s">
        <v>230</v>
      </c>
      <c r="M757" s="590">
        <v>1</v>
      </c>
      <c r="N757" s="590">
        <v>4</v>
      </c>
      <c r="O757" s="598"/>
      <c r="P757" s="600"/>
      <c r="Q757" s="590" t="s">
        <v>148</v>
      </c>
      <c r="R757" s="470"/>
      <c r="S757" s="292">
        <v>2</v>
      </c>
      <c r="T757" s="292">
        <v>9</v>
      </c>
      <c r="U757" s="292">
        <v>10</v>
      </c>
      <c r="V757" s="292">
        <v>3</v>
      </c>
      <c r="W757" s="197">
        <f t="shared" si="1010"/>
        <v>2</v>
      </c>
      <c r="X757" s="197">
        <f t="shared" si="1"/>
        <v>1</v>
      </c>
      <c r="Y757" s="197">
        <f t="shared" si="1052"/>
        <v>50</v>
      </c>
      <c r="Z757" s="197">
        <f t="shared" si="1012"/>
        <v>2</v>
      </c>
      <c r="AA757" s="199" t="b">
        <f t="shared" si="3"/>
        <v>0</v>
      </c>
      <c r="AB757" s="199" t="b">
        <f t="shared" si="4"/>
        <v>0</v>
      </c>
      <c r="AC757" s="200">
        <f t="shared" ref="AC757:AD757" si="1066">1-I757</f>
        <v>0</v>
      </c>
      <c r="AD757" s="200">
        <f t="shared" si="1066"/>
        <v>0</v>
      </c>
      <c r="AE757" s="199">
        <f t="shared" si="6"/>
        <v>2</v>
      </c>
      <c r="AF757" s="201">
        <f t="shared" si="1014"/>
        <v>1</v>
      </c>
      <c r="AG757" s="201">
        <f t="shared" si="8"/>
        <v>1</v>
      </c>
      <c r="AH757" s="202">
        <f t="shared" si="1054"/>
        <v>5</v>
      </c>
      <c r="AI757" s="470"/>
      <c r="AJ757" s="173"/>
      <c r="AK757" s="173"/>
      <c r="AL757" s="173"/>
      <c r="AM757" s="173"/>
      <c r="AN757" s="173"/>
      <c r="AO757" s="173"/>
      <c r="AP757" s="173"/>
      <c r="AQ757" s="173"/>
      <c r="AR757" s="173"/>
      <c r="AS757" s="173"/>
      <c r="AT757" s="173"/>
      <c r="AU757" s="173"/>
      <c r="AV757" s="173"/>
    </row>
    <row r="758" spans="1:48" ht="14.25">
      <c r="A758" s="206"/>
      <c r="B758" s="590">
        <v>2</v>
      </c>
      <c r="C758" s="591" t="s">
        <v>1654</v>
      </c>
      <c r="D758" s="590" t="s">
        <v>63</v>
      </c>
      <c r="E758" s="592" t="s">
        <v>73</v>
      </c>
      <c r="F758" s="590" t="s">
        <v>8</v>
      </c>
      <c r="G758" s="592">
        <v>2</v>
      </c>
      <c r="H758" s="590">
        <v>0</v>
      </c>
      <c r="I758" s="593">
        <v>1</v>
      </c>
      <c r="J758" s="593">
        <v>1</v>
      </c>
      <c r="K758" s="590" t="s">
        <v>146</v>
      </c>
      <c r="L758" s="598"/>
      <c r="M758" s="598"/>
      <c r="N758" s="598"/>
      <c r="O758" s="599" t="s">
        <v>1655</v>
      </c>
      <c r="P758" s="600"/>
      <c r="Q758" s="590" t="s">
        <v>148</v>
      </c>
      <c r="R758" s="470"/>
      <c r="S758" s="292">
        <v>2</v>
      </c>
      <c r="T758" s="292">
        <v>9</v>
      </c>
      <c r="U758" s="292">
        <v>1</v>
      </c>
      <c r="V758" s="292">
        <v>2</v>
      </c>
      <c r="W758" s="197">
        <f t="shared" si="1010"/>
        <v>2</v>
      </c>
      <c r="X758" s="197">
        <f t="shared" si="1"/>
        <v>1</v>
      </c>
      <c r="Y758" s="197">
        <f t="shared" si="1052"/>
        <v>0</v>
      </c>
      <c r="Z758" s="197">
        <f t="shared" si="1012"/>
        <v>2</v>
      </c>
      <c r="AA758" s="199" t="b">
        <f t="shared" si="3"/>
        <v>0</v>
      </c>
      <c r="AB758" s="199" t="b">
        <f t="shared" si="4"/>
        <v>0</v>
      </c>
      <c r="AC758" s="200">
        <f t="shared" ref="AC758:AD758" si="1067">1-I758</f>
        <v>0</v>
      </c>
      <c r="AD758" s="200">
        <f t="shared" si="1067"/>
        <v>0</v>
      </c>
      <c r="AE758" s="199">
        <f t="shared" si="6"/>
        <v>2</v>
      </c>
      <c r="AF758" s="201">
        <f t="shared" si="1014"/>
        <v>0</v>
      </c>
      <c r="AG758" s="201">
        <f t="shared" si="8"/>
        <v>1</v>
      </c>
      <c r="AH758" s="202">
        <f t="shared" si="1054"/>
        <v>0</v>
      </c>
      <c r="AI758" s="470"/>
      <c r="AJ758" s="173"/>
      <c r="AK758" s="173"/>
      <c r="AL758" s="173"/>
      <c r="AM758" s="173"/>
      <c r="AN758" s="173"/>
      <c r="AO758" s="173"/>
      <c r="AP758" s="173"/>
      <c r="AQ758" s="173"/>
      <c r="AR758" s="173"/>
      <c r="AS758" s="173"/>
      <c r="AT758" s="173"/>
      <c r="AU758" s="173"/>
      <c r="AV758" s="173"/>
    </row>
    <row r="759" spans="1:48" ht="14.25">
      <c r="A759" s="597"/>
      <c r="B759" s="596">
        <v>2</v>
      </c>
      <c r="C759" s="591" t="s">
        <v>1656</v>
      </c>
      <c r="D759" s="596" t="s">
        <v>63</v>
      </c>
      <c r="E759" s="592" t="s">
        <v>73</v>
      </c>
      <c r="F759" s="596" t="s">
        <v>13</v>
      </c>
      <c r="G759" s="592">
        <v>2</v>
      </c>
      <c r="H759" s="596">
        <v>0</v>
      </c>
      <c r="I759" s="593">
        <v>1</v>
      </c>
      <c r="J759" s="593">
        <v>1</v>
      </c>
      <c r="K759" s="596" t="s">
        <v>146</v>
      </c>
      <c r="L759" s="594"/>
      <c r="M759" s="594"/>
      <c r="N759" s="594"/>
      <c r="O759" s="595" t="s">
        <v>1657</v>
      </c>
      <c r="P759" s="601"/>
      <c r="Q759" s="596" t="s">
        <v>148</v>
      </c>
      <c r="R759" s="470"/>
      <c r="S759" s="292">
        <v>2</v>
      </c>
      <c r="T759" s="292">
        <v>9</v>
      </c>
      <c r="U759" s="292">
        <v>3</v>
      </c>
      <c r="V759" s="292">
        <v>2</v>
      </c>
      <c r="W759" s="197">
        <f t="shared" si="1010"/>
        <v>2</v>
      </c>
      <c r="X759" s="197">
        <f t="shared" si="1"/>
        <v>1</v>
      </c>
      <c r="Y759" s="197">
        <f t="shared" si="1052"/>
        <v>0</v>
      </c>
      <c r="Z759" s="197">
        <f t="shared" si="1012"/>
        <v>2</v>
      </c>
      <c r="AA759" s="199" t="b">
        <f t="shared" si="3"/>
        <v>0</v>
      </c>
      <c r="AB759" s="199" t="b">
        <f t="shared" si="4"/>
        <v>0</v>
      </c>
      <c r="AC759" s="200">
        <f t="shared" ref="AC759:AD759" si="1068">1-I759</f>
        <v>0</v>
      </c>
      <c r="AD759" s="200">
        <f t="shared" si="1068"/>
        <v>0</v>
      </c>
      <c r="AE759" s="199">
        <f t="shared" si="6"/>
        <v>2</v>
      </c>
      <c r="AF759" s="201">
        <f t="shared" si="1014"/>
        <v>0</v>
      </c>
      <c r="AG759" s="201">
        <f t="shared" si="8"/>
        <v>1</v>
      </c>
      <c r="AH759" s="202">
        <f t="shared" si="1054"/>
        <v>0</v>
      </c>
      <c r="AI759" s="470"/>
      <c r="AJ759" s="173"/>
      <c r="AK759" s="173"/>
      <c r="AL759" s="173"/>
      <c r="AM759" s="173"/>
      <c r="AN759" s="173"/>
      <c r="AO759" s="173"/>
      <c r="AP759" s="173"/>
      <c r="AQ759" s="173"/>
      <c r="AR759" s="173"/>
      <c r="AS759" s="173"/>
      <c r="AT759" s="173"/>
      <c r="AU759" s="173"/>
      <c r="AV759" s="173"/>
    </row>
    <row r="760" spans="1:48" ht="14.25">
      <c r="A760" s="206"/>
      <c r="B760" s="590">
        <v>2</v>
      </c>
      <c r="C760" s="591" t="s">
        <v>1658</v>
      </c>
      <c r="D760" s="590" t="s">
        <v>63</v>
      </c>
      <c r="E760" s="592" t="s">
        <v>73</v>
      </c>
      <c r="F760" s="590" t="s">
        <v>21</v>
      </c>
      <c r="G760" s="592">
        <v>2</v>
      </c>
      <c r="H760" s="590">
        <v>0</v>
      </c>
      <c r="I760" s="593">
        <v>1</v>
      </c>
      <c r="J760" s="593">
        <v>1</v>
      </c>
      <c r="K760" s="590" t="s">
        <v>146</v>
      </c>
      <c r="L760" s="598"/>
      <c r="M760" s="598"/>
      <c r="N760" s="598"/>
      <c r="O760" s="599" t="s">
        <v>1659</v>
      </c>
      <c r="P760" s="600"/>
      <c r="Q760" s="590" t="s">
        <v>148</v>
      </c>
      <c r="R760" s="470"/>
      <c r="S760" s="292">
        <v>2</v>
      </c>
      <c r="T760" s="292">
        <v>9</v>
      </c>
      <c r="U760" s="292">
        <v>7</v>
      </c>
      <c r="V760" s="292">
        <v>2</v>
      </c>
      <c r="W760" s="197">
        <f t="shared" si="1010"/>
        <v>2</v>
      </c>
      <c r="X760" s="197">
        <f t="shared" si="1"/>
        <v>1</v>
      </c>
      <c r="Y760" s="197">
        <f t="shared" si="1052"/>
        <v>0</v>
      </c>
      <c r="Z760" s="197">
        <f t="shared" si="1012"/>
        <v>2</v>
      </c>
      <c r="AA760" s="199" t="b">
        <f t="shared" si="3"/>
        <v>0</v>
      </c>
      <c r="AB760" s="199" t="b">
        <f t="shared" si="4"/>
        <v>0</v>
      </c>
      <c r="AC760" s="200">
        <f t="shared" ref="AC760:AD760" si="1069">1-I760</f>
        <v>0</v>
      </c>
      <c r="AD760" s="200">
        <f t="shared" si="1069"/>
        <v>0</v>
      </c>
      <c r="AE760" s="199">
        <f t="shared" si="6"/>
        <v>2</v>
      </c>
      <c r="AF760" s="201">
        <f t="shared" si="1014"/>
        <v>0</v>
      </c>
      <c r="AG760" s="201">
        <f t="shared" si="8"/>
        <v>1</v>
      </c>
      <c r="AH760" s="202">
        <f t="shared" si="1054"/>
        <v>0</v>
      </c>
      <c r="AI760" s="470"/>
      <c r="AJ760" s="173"/>
      <c r="AK760" s="173"/>
      <c r="AL760" s="173"/>
      <c r="AM760" s="173"/>
      <c r="AN760" s="173"/>
      <c r="AO760" s="173"/>
      <c r="AP760" s="173"/>
      <c r="AQ760" s="173"/>
      <c r="AR760" s="173"/>
      <c r="AS760" s="173"/>
      <c r="AT760" s="173"/>
      <c r="AU760" s="173"/>
      <c r="AV760" s="173"/>
    </row>
    <row r="761" spans="1:48" ht="14.25">
      <c r="A761" s="458"/>
      <c r="B761" s="590">
        <v>2</v>
      </c>
      <c r="C761" s="591" t="s">
        <v>1660</v>
      </c>
      <c r="D761" s="590" t="s">
        <v>63</v>
      </c>
      <c r="E761" s="592" t="s">
        <v>73</v>
      </c>
      <c r="F761" s="590" t="s">
        <v>115</v>
      </c>
      <c r="G761" s="592">
        <v>2</v>
      </c>
      <c r="H761" s="590">
        <v>0</v>
      </c>
      <c r="I761" s="593">
        <v>1</v>
      </c>
      <c r="J761" s="593">
        <v>1</v>
      </c>
      <c r="K761" s="590" t="s">
        <v>182</v>
      </c>
      <c r="L761" s="598"/>
      <c r="M761" s="590">
        <v>1</v>
      </c>
      <c r="N761" s="590">
        <v>4</v>
      </c>
      <c r="O761" s="599" t="s">
        <v>1661</v>
      </c>
      <c r="P761" s="590" t="s">
        <v>1662</v>
      </c>
      <c r="Q761" s="590" t="s">
        <v>148</v>
      </c>
      <c r="R761" s="470"/>
      <c r="S761" s="292">
        <v>2</v>
      </c>
      <c r="T761" s="292">
        <v>9</v>
      </c>
      <c r="U761" s="292">
        <v>10</v>
      </c>
      <c r="V761" s="292">
        <v>3</v>
      </c>
      <c r="W761" s="197">
        <f t="shared" si="1010"/>
        <v>2</v>
      </c>
      <c r="X761" s="197">
        <f t="shared" si="1"/>
        <v>1</v>
      </c>
      <c r="Y761" s="197">
        <f t="shared" si="1052"/>
        <v>0</v>
      </c>
      <c r="Z761" s="197">
        <f t="shared" si="1012"/>
        <v>2</v>
      </c>
      <c r="AA761" s="199" t="b">
        <f t="shared" si="3"/>
        <v>0</v>
      </c>
      <c r="AB761" s="199" t="b">
        <f t="shared" si="4"/>
        <v>0</v>
      </c>
      <c r="AC761" s="200">
        <f t="shared" ref="AC761:AD761" si="1070">1-I761</f>
        <v>0</v>
      </c>
      <c r="AD761" s="200">
        <f t="shared" si="1070"/>
        <v>0</v>
      </c>
      <c r="AE761" s="199">
        <f t="shared" si="6"/>
        <v>2</v>
      </c>
      <c r="AF761" s="201">
        <f t="shared" si="1014"/>
        <v>0</v>
      </c>
      <c r="AG761" s="201">
        <f t="shared" si="8"/>
        <v>1</v>
      </c>
      <c r="AH761" s="202">
        <f t="shared" si="1054"/>
        <v>0</v>
      </c>
      <c r="AI761" s="470"/>
      <c r="AJ761" s="173"/>
      <c r="AK761" s="173"/>
      <c r="AL761" s="173"/>
      <c r="AM761" s="173"/>
      <c r="AN761" s="173"/>
      <c r="AO761" s="173"/>
      <c r="AP761" s="173"/>
      <c r="AQ761" s="173"/>
      <c r="AR761" s="173"/>
      <c r="AS761" s="173"/>
      <c r="AT761" s="173"/>
      <c r="AU761" s="173"/>
      <c r="AV761" s="173"/>
    </row>
    <row r="762" spans="1:48" ht="14.25">
      <c r="A762" s="206"/>
      <c r="B762" s="590">
        <v>2</v>
      </c>
      <c r="C762" s="591" t="s">
        <v>1663</v>
      </c>
      <c r="D762" s="590" t="s">
        <v>63</v>
      </c>
      <c r="E762" s="592" t="s">
        <v>73</v>
      </c>
      <c r="F762" s="590" t="s">
        <v>115</v>
      </c>
      <c r="G762" s="592">
        <v>2</v>
      </c>
      <c r="H762" s="590">
        <v>0</v>
      </c>
      <c r="I762" s="593">
        <v>1</v>
      </c>
      <c r="J762" s="593">
        <v>1</v>
      </c>
      <c r="K762" s="590" t="s">
        <v>182</v>
      </c>
      <c r="L762" s="598"/>
      <c r="M762" s="590">
        <v>3</v>
      </c>
      <c r="N762" s="590">
        <v>1</v>
      </c>
      <c r="O762" s="599" t="s">
        <v>539</v>
      </c>
      <c r="P762" s="590" t="s">
        <v>497</v>
      </c>
      <c r="Q762" s="590" t="s">
        <v>148</v>
      </c>
      <c r="R762" s="470"/>
      <c r="S762" s="292">
        <v>2</v>
      </c>
      <c r="T762" s="292">
        <v>9</v>
      </c>
      <c r="U762" s="292">
        <v>10</v>
      </c>
      <c r="V762" s="292">
        <v>3</v>
      </c>
      <c r="W762" s="197">
        <f t="shared" si="1010"/>
        <v>2</v>
      </c>
      <c r="X762" s="197">
        <f t="shared" si="1"/>
        <v>1</v>
      </c>
      <c r="Y762" s="197">
        <f t="shared" si="1052"/>
        <v>0</v>
      </c>
      <c r="Z762" s="197">
        <f t="shared" si="1012"/>
        <v>2</v>
      </c>
      <c r="AA762" s="199" t="b">
        <f t="shared" si="3"/>
        <v>0</v>
      </c>
      <c r="AB762" s="199" t="b">
        <f t="shared" si="4"/>
        <v>0</v>
      </c>
      <c r="AC762" s="200">
        <f t="shared" ref="AC762:AD762" si="1071">1-I762</f>
        <v>0</v>
      </c>
      <c r="AD762" s="200">
        <f t="shared" si="1071"/>
        <v>0</v>
      </c>
      <c r="AE762" s="199">
        <f t="shared" si="6"/>
        <v>2</v>
      </c>
      <c r="AF762" s="201">
        <f t="shared" si="1014"/>
        <v>0</v>
      </c>
      <c r="AG762" s="201">
        <f t="shared" si="8"/>
        <v>1</v>
      </c>
      <c r="AH762" s="202">
        <f t="shared" si="1054"/>
        <v>0</v>
      </c>
      <c r="AI762" s="470"/>
      <c r="AJ762" s="173"/>
      <c r="AK762" s="173"/>
      <c r="AL762" s="173"/>
      <c r="AM762" s="173"/>
      <c r="AN762" s="173"/>
      <c r="AO762" s="173"/>
      <c r="AP762" s="173"/>
      <c r="AQ762" s="173"/>
      <c r="AR762" s="173"/>
      <c r="AS762" s="173"/>
      <c r="AT762" s="173"/>
      <c r="AU762" s="173"/>
      <c r="AV762" s="173"/>
    </row>
    <row r="763" spans="1:48" ht="14.25">
      <c r="A763" s="597"/>
      <c r="B763" s="590">
        <v>3</v>
      </c>
      <c r="C763" s="591" t="s">
        <v>1664</v>
      </c>
      <c r="D763" s="590" t="s">
        <v>63</v>
      </c>
      <c r="E763" s="592" t="s">
        <v>73</v>
      </c>
      <c r="F763" s="590" t="s">
        <v>115</v>
      </c>
      <c r="G763" s="592">
        <v>2</v>
      </c>
      <c r="H763" s="590">
        <v>0</v>
      </c>
      <c r="I763" s="593">
        <v>1</v>
      </c>
      <c r="J763" s="593">
        <v>1</v>
      </c>
      <c r="K763" s="590" t="s">
        <v>182</v>
      </c>
      <c r="L763" s="598"/>
      <c r="M763" s="590">
        <v>1</v>
      </c>
      <c r="N763" s="590">
        <v>5</v>
      </c>
      <c r="O763" s="598"/>
      <c r="P763" s="600"/>
      <c r="Q763" s="590" t="s">
        <v>148</v>
      </c>
      <c r="R763" s="470"/>
      <c r="S763" s="292">
        <v>2</v>
      </c>
      <c r="T763" s="292">
        <v>9</v>
      </c>
      <c r="U763" s="292">
        <v>10</v>
      </c>
      <c r="V763" s="292">
        <v>3</v>
      </c>
      <c r="W763" s="197">
        <f t="shared" si="1010"/>
        <v>2</v>
      </c>
      <c r="X763" s="197">
        <f t="shared" si="1"/>
        <v>1</v>
      </c>
      <c r="Y763" s="197">
        <f t="shared" si="1052"/>
        <v>0</v>
      </c>
      <c r="Z763" s="197">
        <f t="shared" si="1012"/>
        <v>2</v>
      </c>
      <c r="AA763" s="199" t="b">
        <f t="shared" si="3"/>
        <v>0</v>
      </c>
      <c r="AB763" s="199" t="b">
        <f t="shared" si="4"/>
        <v>0</v>
      </c>
      <c r="AC763" s="200">
        <f t="shared" ref="AC763:AD763" si="1072">1-I763</f>
        <v>0</v>
      </c>
      <c r="AD763" s="200">
        <f t="shared" si="1072"/>
        <v>0</v>
      </c>
      <c r="AE763" s="199">
        <f t="shared" si="6"/>
        <v>2</v>
      </c>
      <c r="AF763" s="201">
        <f t="shared" si="1014"/>
        <v>0</v>
      </c>
      <c r="AG763" s="201">
        <f t="shared" si="8"/>
        <v>1</v>
      </c>
      <c r="AH763" s="202">
        <f t="shared" si="1054"/>
        <v>0</v>
      </c>
      <c r="AI763" s="470"/>
      <c r="AJ763" s="173"/>
      <c r="AK763" s="173"/>
      <c r="AL763" s="173"/>
      <c r="AM763" s="173"/>
      <c r="AN763" s="173"/>
      <c r="AO763" s="173"/>
      <c r="AP763" s="173"/>
      <c r="AQ763" s="173"/>
      <c r="AR763" s="173"/>
      <c r="AS763" s="173"/>
      <c r="AT763" s="173"/>
      <c r="AU763" s="173"/>
      <c r="AV763" s="173"/>
    </row>
    <row r="764" spans="1:48" ht="14.25">
      <c r="A764" s="213"/>
      <c r="B764" s="596">
        <v>3</v>
      </c>
      <c r="C764" s="591" t="s">
        <v>1665</v>
      </c>
      <c r="D764" s="596" t="s">
        <v>63</v>
      </c>
      <c r="E764" s="592" t="s">
        <v>73</v>
      </c>
      <c r="F764" s="596" t="s">
        <v>11</v>
      </c>
      <c r="G764" s="592">
        <v>2</v>
      </c>
      <c r="H764" s="596">
        <v>0</v>
      </c>
      <c r="I764" s="593">
        <v>1</v>
      </c>
      <c r="J764" s="593">
        <v>1</v>
      </c>
      <c r="K764" s="596" t="s">
        <v>182</v>
      </c>
      <c r="L764" s="596" t="s">
        <v>230</v>
      </c>
      <c r="M764" s="596">
        <v>2</v>
      </c>
      <c r="N764" s="596">
        <v>5</v>
      </c>
      <c r="O764" s="594"/>
      <c r="P764" s="601"/>
      <c r="Q764" s="596" t="s">
        <v>148</v>
      </c>
      <c r="R764" s="470"/>
      <c r="S764" s="292">
        <v>2</v>
      </c>
      <c r="T764" s="292">
        <v>9</v>
      </c>
      <c r="U764" s="292">
        <v>2</v>
      </c>
      <c r="V764" s="292">
        <v>3</v>
      </c>
      <c r="W764" s="197">
        <f t="shared" si="1010"/>
        <v>2</v>
      </c>
      <c r="X764" s="197">
        <f t="shared" si="1"/>
        <v>1</v>
      </c>
      <c r="Y764" s="197">
        <f t="shared" si="1052"/>
        <v>0</v>
      </c>
      <c r="Z764" s="197">
        <f t="shared" si="1012"/>
        <v>2</v>
      </c>
      <c r="AA764" s="199" t="b">
        <f t="shared" si="3"/>
        <v>0</v>
      </c>
      <c r="AB764" s="199" t="b">
        <f t="shared" si="4"/>
        <v>0</v>
      </c>
      <c r="AC764" s="200">
        <f t="shared" ref="AC764:AD764" si="1073">1-I764</f>
        <v>0</v>
      </c>
      <c r="AD764" s="200">
        <f t="shared" si="1073"/>
        <v>0</v>
      </c>
      <c r="AE764" s="199">
        <f t="shared" si="6"/>
        <v>2</v>
      </c>
      <c r="AF764" s="201">
        <f t="shared" si="1014"/>
        <v>0</v>
      </c>
      <c r="AG764" s="201">
        <f t="shared" si="8"/>
        <v>1</v>
      </c>
      <c r="AH764" s="202">
        <f t="shared" si="1054"/>
        <v>0</v>
      </c>
      <c r="AI764" s="470"/>
      <c r="AJ764" s="173"/>
      <c r="AK764" s="173"/>
      <c r="AL764" s="173"/>
      <c r="AM764" s="173"/>
      <c r="AN764" s="173"/>
      <c r="AO764" s="173"/>
      <c r="AP764" s="173"/>
      <c r="AQ764" s="173"/>
      <c r="AR764" s="173"/>
      <c r="AS764" s="173"/>
      <c r="AT764" s="173"/>
      <c r="AU764" s="173"/>
      <c r="AV764" s="173"/>
    </row>
    <row r="765" spans="1:48" ht="14.25">
      <c r="A765" s="206"/>
      <c r="B765" s="590">
        <v>3</v>
      </c>
      <c r="C765" s="591" t="s">
        <v>1666</v>
      </c>
      <c r="D765" s="590" t="s">
        <v>63</v>
      </c>
      <c r="E765" s="592" t="s">
        <v>73</v>
      </c>
      <c r="F765" s="590" t="s">
        <v>25</v>
      </c>
      <c r="G765" s="592">
        <v>2</v>
      </c>
      <c r="H765" s="590">
        <v>0</v>
      </c>
      <c r="I765" s="593">
        <v>1</v>
      </c>
      <c r="J765" s="593">
        <v>1</v>
      </c>
      <c r="K765" s="590" t="s">
        <v>182</v>
      </c>
      <c r="L765" s="598"/>
      <c r="M765" s="590">
        <v>1</v>
      </c>
      <c r="N765" s="590">
        <v>5</v>
      </c>
      <c r="O765" s="599" t="s">
        <v>1667</v>
      </c>
      <c r="P765" s="600"/>
      <c r="Q765" s="590" t="s">
        <v>148</v>
      </c>
      <c r="R765" s="470"/>
      <c r="S765" s="292">
        <v>2</v>
      </c>
      <c r="T765" s="292">
        <v>9</v>
      </c>
      <c r="U765" s="292">
        <v>8</v>
      </c>
      <c r="V765" s="292">
        <v>3</v>
      </c>
      <c r="W765" s="197">
        <f t="shared" si="1010"/>
        <v>2</v>
      </c>
      <c r="X765" s="197">
        <f t="shared" si="1"/>
        <v>1</v>
      </c>
      <c r="Y765" s="197">
        <f t="shared" si="1052"/>
        <v>0</v>
      </c>
      <c r="Z765" s="197">
        <f t="shared" si="1012"/>
        <v>2</v>
      </c>
      <c r="AA765" s="199" t="b">
        <f t="shared" si="3"/>
        <v>0</v>
      </c>
      <c r="AB765" s="199" t="b">
        <f t="shared" si="4"/>
        <v>0</v>
      </c>
      <c r="AC765" s="200">
        <f t="shared" ref="AC765:AD765" si="1074">1-I765</f>
        <v>0</v>
      </c>
      <c r="AD765" s="200">
        <f t="shared" si="1074"/>
        <v>0</v>
      </c>
      <c r="AE765" s="199">
        <f t="shared" si="6"/>
        <v>2</v>
      </c>
      <c r="AF765" s="201">
        <f t="shared" si="1014"/>
        <v>0</v>
      </c>
      <c r="AG765" s="201">
        <f t="shared" si="8"/>
        <v>1</v>
      </c>
      <c r="AH765" s="202">
        <f t="shared" si="1054"/>
        <v>0</v>
      </c>
      <c r="AI765" s="470"/>
      <c r="AJ765" s="173"/>
      <c r="AK765" s="173"/>
      <c r="AL765" s="173"/>
      <c r="AM765" s="173"/>
      <c r="AN765" s="173"/>
      <c r="AO765" s="173"/>
      <c r="AP765" s="173"/>
      <c r="AQ765" s="173"/>
      <c r="AR765" s="173"/>
      <c r="AS765" s="173"/>
      <c r="AT765" s="173"/>
      <c r="AU765" s="173"/>
      <c r="AV765" s="173"/>
    </row>
    <row r="766" spans="1:48" ht="14.25">
      <c r="A766" s="213"/>
      <c r="B766" s="590">
        <v>3</v>
      </c>
      <c r="C766" s="591" t="s">
        <v>1668</v>
      </c>
      <c r="D766" s="590" t="s">
        <v>63</v>
      </c>
      <c r="E766" s="592" t="s">
        <v>73</v>
      </c>
      <c r="F766" s="590" t="s">
        <v>8</v>
      </c>
      <c r="G766" s="592">
        <v>2</v>
      </c>
      <c r="H766" s="596">
        <v>0</v>
      </c>
      <c r="I766" s="593">
        <v>1</v>
      </c>
      <c r="J766" s="593">
        <v>1</v>
      </c>
      <c r="K766" s="590" t="s">
        <v>146</v>
      </c>
      <c r="L766" s="598"/>
      <c r="M766" s="598"/>
      <c r="N766" s="598"/>
      <c r="O766" s="599" t="s">
        <v>1669</v>
      </c>
      <c r="P766" s="600"/>
      <c r="Q766" s="590" t="s">
        <v>148</v>
      </c>
      <c r="R766" s="470"/>
      <c r="S766" s="292">
        <v>2</v>
      </c>
      <c r="T766" s="292">
        <v>9</v>
      </c>
      <c r="U766" s="292">
        <v>1</v>
      </c>
      <c r="V766" s="292">
        <v>2</v>
      </c>
      <c r="W766" s="197">
        <f t="shared" si="1010"/>
        <v>2</v>
      </c>
      <c r="X766" s="197">
        <f t="shared" si="1"/>
        <v>1</v>
      </c>
      <c r="Y766" s="197">
        <f t="shared" si="1052"/>
        <v>0</v>
      </c>
      <c r="Z766" s="197">
        <f t="shared" si="1012"/>
        <v>2</v>
      </c>
      <c r="AA766" s="199" t="b">
        <f t="shared" si="3"/>
        <v>0</v>
      </c>
      <c r="AB766" s="199" t="b">
        <f t="shared" si="4"/>
        <v>0</v>
      </c>
      <c r="AC766" s="200">
        <f t="shared" ref="AC766:AD766" si="1075">1-I766</f>
        <v>0</v>
      </c>
      <c r="AD766" s="200">
        <f t="shared" si="1075"/>
        <v>0</v>
      </c>
      <c r="AE766" s="199">
        <f t="shared" si="6"/>
        <v>2</v>
      </c>
      <c r="AF766" s="201">
        <f t="shared" si="1014"/>
        <v>0</v>
      </c>
      <c r="AG766" s="201">
        <f t="shared" si="8"/>
        <v>1</v>
      </c>
      <c r="AH766" s="202">
        <f t="shared" si="1054"/>
        <v>0</v>
      </c>
      <c r="AI766" s="470"/>
      <c r="AJ766" s="173"/>
      <c r="AK766" s="173"/>
      <c r="AL766" s="173"/>
      <c r="AM766" s="173"/>
      <c r="AN766" s="173"/>
      <c r="AO766" s="173"/>
      <c r="AP766" s="173"/>
      <c r="AQ766" s="173"/>
      <c r="AR766" s="173"/>
      <c r="AS766" s="173"/>
      <c r="AT766" s="173"/>
      <c r="AU766" s="173"/>
      <c r="AV766" s="173"/>
    </row>
    <row r="767" spans="1:48" ht="14.25">
      <c r="A767" s="206"/>
      <c r="B767" s="590">
        <v>3</v>
      </c>
      <c r="C767" s="591" t="s">
        <v>1670</v>
      </c>
      <c r="D767" s="590" t="s">
        <v>63</v>
      </c>
      <c r="E767" s="592" t="s">
        <v>73</v>
      </c>
      <c r="F767" s="590" t="s">
        <v>26</v>
      </c>
      <c r="G767" s="592">
        <v>2</v>
      </c>
      <c r="H767" s="590">
        <v>0</v>
      </c>
      <c r="I767" s="593">
        <v>1</v>
      </c>
      <c r="J767" s="593">
        <v>1</v>
      </c>
      <c r="K767" s="590" t="s">
        <v>182</v>
      </c>
      <c r="L767" s="598"/>
      <c r="M767" s="590">
        <v>3</v>
      </c>
      <c r="N767" s="590">
        <v>3</v>
      </c>
      <c r="O767" s="599" t="s">
        <v>1671</v>
      </c>
      <c r="P767" s="590" t="s">
        <v>184</v>
      </c>
      <c r="Q767" s="590" t="s">
        <v>148</v>
      </c>
      <c r="R767" s="470"/>
      <c r="S767" s="292">
        <v>2</v>
      </c>
      <c r="T767" s="292">
        <v>9</v>
      </c>
      <c r="U767" s="292">
        <v>9</v>
      </c>
      <c r="V767" s="292">
        <v>3</v>
      </c>
      <c r="W767" s="197">
        <f t="shared" si="1010"/>
        <v>2</v>
      </c>
      <c r="X767" s="197">
        <f t="shared" si="1"/>
        <v>1</v>
      </c>
      <c r="Y767" s="197">
        <f t="shared" si="1052"/>
        <v>0</v>
      </c>
      <c r="Z767" s="197">
        <f t="shared" si="1012"/>
        <v>2</v>
      </c>
      <c r="AA767" s="199" t="b">
        <f t="shared" si="3"/>
        <v>0</v>
      </c>
      <c r="AB767" s="199" t="b">
        <f t="shared" si="4"/>
        <v>0</v>
      </c>
      <c r="AC767" s="200">
        <f t="shared" ref="AC767:AD767" si="1076">1-I767</f>
        <v>0</v>
      </c>
      <c r="AD767" s="200">
        <f t="shared" si="1076"/>
        <v>0</v>
      </c>
      <c r="AE767" s="199">
        <f t="shared" si="6"/>
        <v>2</v>
      </c>
      <c r="AF767" s="201">
        <f t="shared" si="1014"/>
        <v>0</v>
      </c>
      <c r="AG767" s="201">
        <f t="shared" si="8"/>
        <v>1</v>
      </c>
      <c r="AH767" s="202">
        <f t="shared" si="1054"/>
        <v>0</v>
      </c>
      <c r="AI767" s="470"/>
      <c r="AJ767" s="173"/>
      <c r="AK767" s="173"/>
      <c r="AL767" s="173"/>
      <c r="AM767" s="173"/>
      <c r="AN767" s="173"/>
      <c r="AO767" s="173"/>
      <c r="AP767" s="173"/>
      <c r="AQ767" s="173"/>
      <c r="AR767" s="173"/>
      <c r="AS767" s="173"/>
      <c r="AT767" s="173"/>
      <c r="AU767" s="173"/>
      <c r="AV767" s="173"/>
    </row>
    <row r="768" spans="1:48" ht="14.25">
      <c r="A768" s="206"/>
      <c r="B768" s="590">
        <v>3</v>
      </c>
      <c r="C768" s="591" t="s">
        <v>1672</v>
      </c>
      <c r="D768" s="590" t="s">
        <v>63</v>
      </c>
      <c r="E768" s="592" t="s">
        <v>73</v>
      </c>
      <c r="F768" s="590" t="s">
        <v>20</v>
      </c>
      <c r="G768" s="603">
        <v>2</v>
      </c>
      <c r="H768" s="604">
        <v>0</v>
      </c>
      <c r="I768" s="593">
        <v>1</v>
      </c>
      <c r="J768" s="593">
        <v>1</v>
      </c>
      <c r="K768" s="590" t="s">
        <v>146</v>
      </c>
      <c r="L768" s="598"/>
      <c r="M768" s="598"/>
      <c r="N768" s="598"/>
      <c r="O768" s="599" t="s">
        <v>1673</v>
      </c>
      <c r="P768" s="600"/>
      <c r="Q768" s="590" t="s">
        <v>148</v>
      </c>
      <c r="R768" s="470"/>
      <c r="S768" s="292">
        <v>2</v>
      </c>
      <c r="T768" s="292">
        <v>9</v>
      </c>
      <c r="U768" s="292">
        <v>6</v>
      </c>
      <c r="V768" s="292">
        <v>2</v>
      </c>
      <c r="W768" s="197">
        <f t="shared" si="1010"/>
        <v>2</v>
      </c>
      <c r="X768" s="197">
        <f t="shared" si="1"/>
        <v>1</v>
      </c>
      <c r="Y768" s="197">
        <f t="shared" si="1052"/>
        <v>0</v>
      </c>
      <c r="Z768" s="197">
        <f t="shared" si="1012"/>
        <v>2</v>
      </c>
      <c r="AA768" s="199" t="b">
        <f t="shared" si="3"/>
        <v>0</v>
      </c>
      <c r="AB768" s="199" t="b">
        <f t="shared" si="4"/>
        <v>0</v>
      </c>
      <c r="AC768" s="200">
        <f t="shared" ref="AC768:AD768" si="1077">1-I768</f>
        <v>0</v>
      </c>
      <c r="AD768" s="200">
        <f t="shared" si="1077"/>
        <v>0</v>
      </c>
      <c r="AE768" s="199">
        <f t="shared" si="6"/>
        <v>2</v>
      </c>
      <c r="AF768" s="201">
        <f t="shared" si="1014"/>
        <v>0</v>
      </c>
      <c r="AG768" s="201">
        <f t="shared" si="8"/>
        <v>1</v>
      </c>
      <c r="AH768" s="202">
        <f t="shared" si="1054"/>
        <v>0</v>
      </c>
      <c r="AI768" s="470"/>
      <c r="AJ768" s="173"/>
      <c r="AK768" s="173"/>
      <c r="AL768" s="173"/>
      <c r="AM768" s="173"/>
      <c r="AN768" s="173"/>
      <c r="AO768" s="173"/>
      <c r="AP768" s="173"/>
      <c r="AQ768" s="173"/>
      <c r="AR768" s="173"/>
      <c r="AS768" s="173"/>
      <c r="AT768" s="173"/>
      <c r="AU768" s="173"/>
      <c r="AV768" s="173"/>
    </row>
    <row r="769" spans="1:48" ht="14.25">
      <c r="A769" s="597"/>
      <c r="B769" s="590">
        <v>3</v>
      </c>
      <c r="C769" s="591" t="s">
        <v>1674</v>
      </c>
      <c r="D769" s="590" t="s">
        <v>63</v>
      </c>
      <c r="E769" s="592" t="s">
        <v>73</v>
      </c>
      <c r="F769" s="590" t="s">
        <v>115</v>
      </c>
      <c r="G769" s="592">
        <v>2</v>
      </c>
      <c r="H769" s="590">
        <v>0</v>
      </c>
      <c r="I769" s="593">
        <v>1</v>
      </c>
      <c r="J769" s="593">
        <v>1</v>
      </c>
      <c r="K769" s="590" t="s">
        <v>182</v>
      </c>
      <c r="L769" s="598"/>
      <c r="M769" s="590">
        <v>2</v>
      </c>
      <c r="N769" s="590">
        <v>2</v>
      </c>
      <c r="O769" s="599" t="s">
        <v>1675</v>
      </c>
      <c r="P769" s="590" t="s">
        <v>1348</v>
      </c>
      <c r="Q769" s="590" t="s">
        <v>148</v>
      </c>
      <c r="R769" s="470"/>
      <c r="S769" s="292">
        <v>2</v>
      </c>
      <c r="T769" s="292">
        <v>9</v>
      </c>
      <c r="U769" s="292">
        <v>10</v>
      </c>
      <c r="V769" s="292">
        <v>3</v>
      </c>
      <c r="W769" s="197">
        <f t="shared" si="1010"/>
        <v>2</v>
      </c>
      <c r="X769" s="197">
        <f t="shared" si="1"/>
        <v>1</v>
      </c>
      <c r="Y769" s="197">
        <f t="shared" si="1052"/>
        <v>0</v>
      </c>
      <c r="Z769" s="197">
        <f t="shared" si="1012"/>
        <v>2</v>
      </c>
      <c r="AA769" s="199" t="b">
        <f t="shared" si="3"/>
        <v>0</v>
      </c>
      <c r="AB769" s="199" t="b">
        <f t="shared" si="4"/>
        <v>0</v>
      </c>
      <c r="AC769" s="200">
        <f t="shared" ref="AC769:AD769" si="1078">1-I769</f>
        <v>0</v>
      </c>
      <c r="AD769" s="200">
        <f t="shared" si="1078"/>
        <v>0</v>
      </c>
      <c r="AE769" s="199">
        <f t="shared" si="6"/>
        <v>2</v>
      </c>
      <c r="AF769" s="201">
        <f t="shared" si="1014"/>
        <v>0</v>
      </c>
      <c r="AG769" s="201">
        <f t="shared" si="8"/>
        <v>1</v>
      </c>
      <c r="AH769" s="202">
        <f t="shared" si="1054"/>
        <v>0</v>
      </c>
      <c r="AI769" s="470"/>
      <c r="AJ769" s="173"/>
      <c r="AK769" s="173"/>
      <c r="AL769" s="173"/>
      <c r="AM769" s="173"/>
      <c r="AN769" s="173"/>
      <c r="AO769" s="173"/>
      <c r="AP769" s="173"/>
      <c r="AQ769" s="173"/>
      <c r="AR769" s="173"/>
      <c r="AS769" s="173"/>
      <c r="AT769" s="173"/>
      <c r="AU769" s="173"/>
      <c r="AV769" s="173"/>
    </row>
    <row r="770" spans="1:48" ht="14.25">
      <c r="A770" s="206"/>
      <c r="B770" s="590">
        <v>3</v>
      </c>
      <c r="C770" s="591" t="s">
        <v>1676</v>
      </c>
      <c r="D770" s="590" t="s">
        <v>63</v>
      </c>
      <c r="E770" s="592" t="s">
        <v>73</v>
      </c>
      <c r="F770" s="590" t="s">
        <v>115</v>
      </c>
      <c r="G770" s="592">
        <v>2</v>
      </c>
      <c r="H770" s="590">
        <v>0</v>
      </c>
      <c r="I770" s="593">
        <v>1</v>
      </c>
      <c r="J770" s="593">
        <v>1</v>
      </c>
      <c r="K770" s="590" t="s">
        <v>182</v>
      </c>
      <c r="L770" s="598"/>
      <c r="M770" s="590">
        <v>2</v>
      </c>
      <c r="N770" s="590">
        <v>4</v>
      </c>
      <c r="O770" s="605" t="s">
        <v>192</v>
      </c>
      <c r="P770" s="590" t="s">
        <v>193</v>
      </c>
      <c r="Q770" s="590" t="s">
        <v>148</v>
      </c>
      <c r="R770" s="470"/>
      <c r="S770" s="292">
        <v>2</v>
      </c>
      <c r="T770" s="292">
        <v>9</v>
      </c>
      <c r="U770" s="292">
        <v>10</v>
      </c>
      <c r="V770" s="292">
        <v>3</v>
      </c>
      <c r="W770" s="197">
        <f t="shared" si="1010"/>
        <v>2</v>
      </c>
      <c r="X770" s="197">
        <f t="shared" si="1"/>
        <v>1</v>
      </c>
      <c r="Y770" s="197">
        <f t="shared" si="1052"/>
        <v>0</v>
      </c>
      <c r="Z770" s="197">
        <f t="shared" si="1012"/>
        <v>2</v>
      </c>
      <c r="AA770" s="199" t="b">
        <f t="shared" si="3"/>
        <v>0</v>
      </c>
      <c r="AB770" s="199" t="b">
        <f t="shared" si="4"/>
        <v>0</v>
      </c>
      <c r="AC770" s="200">
        <f t="shared" ref="AC770:AD770" si="1079">1-I770</f>
        <v>0</v>
      </c>
      <c r="AD770" s="200">
        <f t="shared" si="1079"/>
        <v>0</v>
      </c>
      <c r="AE770" s="199">
        <f t="shared" si="6"/>
        <v>2</v>
      </c>
      <c r="AF770" s="201">
        <f t="shared" si="1014"/>
        <v>0</v>
      </c>
      <c r="AG770" s="201">
        <f t="shared" si="8"/>
        <v>1</v>
      </c>
      <c r="AH770" s="202">
        <f t="shared" si="1054"/>
        <v>0</v>
      </c>
      <c r="AI770" s="470"/>
      <c r="AJ770" s="173"/>
      <c r="AK770" s="173"/>
      <c r="AL770" s="173"/>
      <c r="AM770" s="173"/>
      <c r="AN770" s="173"/>
      <c r="AO770" s="173"/>
      <c r="AP770" s="173"/>
      <c r="AQ770" s="173"/>
      <c r="AR770" s="173"/>
      <c r="AS770" s="173"/>
      <c r="AT770" s="173"/>
      <c r="AU770" s="173"/>
      <c r="AV770" s="173"/>
    </row>
    <row r="771" spans="1:48" ht="14.25">
      <c r="A771" s="606"/>
      <c r="B771" s="590">
        <v>3</v>
      </c>
      <c r="C771" s="591" t="s">
        <v>1677</v>
      </c>
      <c r="D771" s="590" t="s">
        <v>63</v>
      </c>
      <c r="E771" s="592" t="s">
        <v>73</v>
      </c>
      <c r="F771" s="590" t="s">
        <v>115</v>
      </c>
      <c r="G771" s="592">
        <v>2</v>
      </c>
      <c r="H771" s="590">
        <v>0</v>
      </c>
      <c r="I771" s="593">
        <v>1</v>
      </c>
      <c r="J771" s="593">
        <v>1</v>
      </c>
      <c r="K771" s="596" t="s">
        <v>182</v>
      </c>
      <c r="L771" s="598"/>
      <c r="M771" s="596">
        <v>3</v>
      </c>
      <c r="N771" s="596">
        <v>4</v>
      </c>
      <c r="O771" s="599" t="s">
        <v>1678</v>
      </c>
      <c r="P771" s="590" t="s">
        <v>694</v>
      </c>
      <c r="Q771" s="590" t="s">
        <v>148</v>
      </c>
      <c r="R771" s="470"/>
      <c r="S771" s="292">
        <v>2</v>
      </c>
      <c r="T771" s="292">
        <v>9</v>
      </c>
      <c r="U771" s="292">
        <v>10</v>
      </c>
      <c r="V771" s="292">
        <v>3</v>
      </c>
      <c r="W771" s="197">
        <f t="shared" si="1010"/>
        <v>2</v>
      </c>
      <c r="X771" s="197">
        <f t="shared" si="1"/>
        <v>1</v>
      </c>
      <c r="Y771" s="197">
        <f t="shared" si="1052"/>
        <v>0</v>
      </c>
      <c r="Z771" s="197">
        <f t="shared" si="1012"/>
        <v>2</v>
      </c>
      <c r="AA771" s="199" t="b">
        <f t="shared" si="3"/>
        <v>0</v>
      </c>
      <c r="AB771" s="199" t="b">
        <f t="shared" si="4"/>
        <v>0</v>
      </c>
      <c r="AC771" s="200">
        <f t="shared" ref="AC771:AD771" si="1080">1-I771</f>
        <v>0</v>
      </c>
      <c r="AD771" s="200">
        <f t="shared" si="1080"/>
        <v>0</v>
      </c>
      <c r="AE771" s="199">
        <f t="shared" si="6"/>
        <v>2</v>
      </c>
      <c r="AF771" s="201">
        <f t="shared" si="1014"/>
        <v>0</v>
      </c>
      <c r="AG771" s="201">
        <f t="shared" si="8"/>
        <v>1</v>
      </c>
      <c r="AH771" s="202">
        <f t="shared" si="1054"/>
        <v>0</v>
      </c>
      <c r="AI771" s="470"/>
      <c r="AJ771" s="173"/>
      <c r="AK771" s="173"/>
      <c r="AL771" s="173"/>
      <c r="AM771" s="173"/>
      <c r="AN771" s="173"/>
      <c r="AO771" s="173"/>
      <c r="AP771" s="173"/>
      <c r="AQ771" s="173"/>
      <c r="AR771" s="173"/>
      <c r="AS771" s="173"/>
      <c r="AT771" s="173"/>
      <c r="AU771" s="173"/>
      <c r="AV771" s="173"/>
    </row>
    <row r="772" spans="1:48" ht="14.25">
      <c r="A772" s="597"/>
      <c r="B772" s="596">
        <v>3</v>
      </c>
      <c r="C772" s="591" t="s">
        <v>1679</v>
      </c>
      <c r="D772" s="596" t="s">
        <v>63</v>
      </c>
      <c r="E772" s="592" t="s">
        <v>73</v>
      </c>
      <c r="F772" s="596" t="s">
        <v>13</v>
      </c>
      <c r="G772" s="592">
        <v>2</v>
      </c>
      <c r="H772" s="596">
        <v>0</v>
      </c>
      <c r="I772" s="593">
        <v>1</v>
      </c>
      <c r="J772" s="593">
        <v>1</v>
      </c>
      <c r="K772" s="596" t="s">
        <v>182</v>
      </c>
      <c r="L772" s="594"/>
      <c r="M772" s="596">
        <v>2</v>
      </c>
      <c r="N772" s="596">
        <v>2</v>
      </c>
      <c r="O772" s="595" t="s">
        <v>1680</v>
      </c>
      <c r="P772" s="596" t="s">
        <v>184</v>
      </c>
      <c r="Q772" s="596" t="s">
        <v>148</v>
      </c>
      <c r="R772" s="470"/>
      <c r="S772" s="292">
        <v>2</v>
      </c>
      <c r="T772" s="292">
        <v>9</v>
      </c>
      <c r="U772" s="292">
        <v>3</v>
      </c>
      <c r="V772" s="292">
        <v>3</v>
      </c>
      <c r="W772" s="197">
        <f t="shared" si="1010"/>
        <v>2</v>
      </c>
      <c r="X772" s="197">
        <f t="shared" si="1"/>
        <v>1</v>
      </c>
      <c r="Y772" s="197">
        <f t="shared" si="1052"/>
        <v>0</v>
      </c>
      <c r="Z772" s="197">
        <f t="shared" si="1012"/>
        <v>2</v>
      </c>
      <c r="AA772" s="199" t="b">
        <f t="shared" si="3"/>
        <v>0</v>
      </c>
      <c r="AB772" s="199" t="b">
        <f t="shared" si="4"/>
        <v>0</v>
      </c>
      <c r="AC772" s="200">
        <f t="shared" ref="AC772:AD772" si="1081">1-I772</f>
        <v>0</v>
      </c>
      <c r="AD772" s="200">
        <f t="shared" si="1081"/>
        <v>0</v>
      </c>
      <c r="AE772" s="199">
        <f t="shared" si="6"/>
        <v>2</v>
      </c>
      <c r="AF772" s="201">
        <f t="shared" si="1014"/>
        <v>0</v>
      </c>
      <c r="AG772" s="201">
        <f t="shared" si="8"/>
        <v>1</v>
      </c>
      <c r="AH772" s="202">
        <f t="shared" si="1054"/>
        <v>0</v>
      </c>
      <c r="AI772" s="470"/>
      <c r="AJ772" s="173"/>
      <c r="AK772" s="173"/>
      <c r="AL772" s="173"/>
      <c r="AM772" s="173"/>
      <c r="AN772" s="173"/>
      <c r="AO772" s="173"/>
      <c r="AP772" s="173"/>
      <c r="AQ772" s="173"/>
      <c r="AR772" s="173"/>
      <c r="AS772" s="173"/>
      <c r="AT772" s="173"/>
      <c r="AU772" s="173"/>
      <c r="AV772" s="173"/>
    </row>
    <row r="773" spans="1:48" ht="14.25">
      <c r="A773" s="206"/>
      <c r="B773" s="590">
        <v>4</v>
      </c>
      <c r="C773" s="591" t="s">
        <v>1681</v>
      </c>
      <c r="D773" s="590" t="s">
        <v>63</v>
      </c>
      <c r="E773" s="592" t="s">
        <v>73</v>
      </c>
      <c r="F773" s="590" t="s">
        <v>115</v>
      </c>
      <c r="G773" s="592">
        <v>2</v>
      </c>
      <c r="H773" s="590">
        <v>0</v>
      </c>
      <c r="I773" s="593">
        <v>1</v>
      </c>
      <c r="J773" s="593">
        <v>1</v>
      </c>
      <c r="K773" s="590" t="s">
        <v>182</v>
      </c>
      <c r="L773" s="598"/>
      <c r="M773" s="590">
        <v>3</v>
      </c>
      <c r="N773" s="590">
        <v>5</v>
      </c>
      <c r="O773" s="599" t="s">
        <v>1682</v>
      </c>
      <c r="P773" s="590" t="s">
        <v>545</v>
      </c>
      <c r="Q773" s="590" t="s">
        <v>148</v>
      </c>
      <c r="R773" s="470"/>
      <c r="S773" s="292">
        <v>2</v>
      </c>
      <c r="T773" s="292">
        <v>9</v>
      </c>
      <c r="U773" s="292">
        <v>10</v>
      </c>
      <c r="V773" s="292">
        <v>3</v>
      </c>
      <c r="W773" s="197">
        <f t="shared" si="1010"/>
        <v>2</v>
      </c>
      <c r="X773" s="197">
        <f t="shared" si="1"/>
        <v>1</v>
      </c>
      <c r="Y773" s="197">
        <f t="shared" si="1052"/>
        <v>0</v>
      </c>
      <c r="Z773" s="197">
        <f t="shared" si="1012"/>
        <v>2</v>
      </c>
      <c r="AA773" s="199" t="b">
        <f t="shared" si="3"/>
        <v>0</v>
      </c>
      <c r="AB773" s="199" t="b">
        <f t="shared" si="4"/>
        <v>0</v>
      </c>
      <c r="AC773" s="200">
        <f t="shared" ref="AC773:AD773" si="1082">1-I773</f>
        <v>0</v>
      </c>
      <c r="AD773" s="200">
        <f t="shared" si="1082"/>
        <v>0</v>
      </c>
      <c r="AE773" s="199">
        <f t="shared" si="6"/>
        <v>2</v>
      </c>
      <c r="AF773" s="201">
        <f t="shared" si="1014"/>
        <v>0</v>
      </c>
      <c r="AG773" s="201">
        <f t="shared" si="8"/>
        <v>1</v>
      </c>
      <c r="AH773" s="202">
        <f t="shared" si="1054"/>
        <v>0</v>
      </c>
      <c r="AI773" s="470"/>
      <c r="AJ773" s="173"/>
      <c r="AK773" s="173"/>
      <c r="AL773" s="173"/>
      <c r="AM773" s="173"/>
      <c r="AN773" s="173"/>
      <c r="AO773" s="173"/>
      <c r="AP773" s="173"/>
      <c r="AQ773" s="173"/>
      <c r="AR773" s="173"/>
      <c r="AS773" s="173"/>
      <c r="AT773" s="173"/>
      <c r="AU773" s="173"/>
      <c r="AV773" s="173"/>
    </row>
    <row r="774" spans="1:48" ht="14.25">
      <c r="A774" s="597"/>
      <c r="B774" s="590">
        <v>4</v>
      </c>
      <c r="C774" s="591" t="s">
        <v>1683</v>
      </c>
      <c r="D774" s="590" t="s">
        <v>63</v>
      </c>
      <c r="E774" s="592" t="s">
        <v>73</v>
      </c>
      <c r="F774" s="590" t="s">
        <v>26</v>
      </c>
      <c r="G774" s="592">
        <v>2</v>
      </c>
      <c r="H774" s="590">
        <v>0</v>
      </c>
      <c r="I774" s="593">
        <v>1</v>
      </c>
      <c r="J774" s="593">
        <v>1</v>
      </c>
      <c r="K774" s="590" t="s">
        <v>182</v>
      </c>
      <c r="L774" s="598"/>
      <c r="M774" s="590">
        <v>2</v>
      </c>
      <c r="N774" s="590">
        <v>6</v>
      </c>
      <c r="O774" s="599" t="s">
        <v>619</v>
      </c>
      <c r="P774" s="590" t="s">
        <v>1684</v>
      </c>
      <c r="Q774" s="590" t="s">
        <v>148</v>
      </c>
      <c r="R774" s="470"/>
      <c r="S774" s="292">
        <v>2</v>
      </c>
      <c r="T774" s="292">
        <v>9</v>
      </c>
      <c r="U774" s="292">
        <v>9</v>
      </c>
      <c r="V774" s="292">
        <v>3</v>
      </c>
      <c r="W774" s="197">
        <f t="shared" si="1010"/>
        <v>2</v>
      </c>
      <c r="X774" s="197">
        <f t="shared" si="1"/>
        <v>1</v>
      </c>
      <c r="Y774" s="197">
        <f t="shared" si="1052"/>
        <v>0</v>
      </c>
      <c r="Z774" s="197">
        <f t="shared" si="1012"/>
        <v>2</v>
      </c>
      <c r="AA774" s="199" t="b">
        <f t="shared" si="3"/>
        <v>0</v>
      </c>
      <c r="AB774" s="199" t="b">
        <f t="shared" si="4"/>
        <v>0</v>
      </c>
      <c r="AC774" s="200">
        <f t="shared" ref="AC774:AD774" si="1083">1-I774</f>
        <v>0</v>
      </c>
      <c r="AD774" s="200">
        <f t="shared" si="1083"/>
        <v>0</v>
      </c>
      <c r="AE774" s="199">
        <f t="shared" si="6"/>
        <v>2</v>
      </c>
      <c r="AF774" s="201">
        <f t="shared" si="1014"/>
        <v>0</v>
      </c>
      <c r="AG774" s="201">
        <f t="shared" si="8"/>
        <v>1</v>
      </c>
      <c r="AH774" s="202">
        <f t="shared" si="1054"/>
        <v>0</v>
      </c>
      <c r="AI774" s="470"/>
      <c r="AJ774" s="173"/>
      <c r="AK774" s="173"/>
      <c r="AL774" s="173"/>
      <c r="AM774" s="173"/>
      <c r="AN774" s="173"/>
      <c r="AO774" s="173"/>
      <c r="AP774" s="173"/>
      <c r="AQ774" s="173"/>
      <c r="AR774" s="173"/>
      <c r="AS774" s="173"/>
      <c r="AT774" s="173"/>
      <c r="AU774" s="173"/>
      <c r="AV774" s="173"/>
    </row>
    <row r="775" spans="1:48" ht="14.25">
      <c r="A775" s="206"/>
      <c r="B775" s="590">
        <v>4</v>
      </c>
      <c r="C775" s="602" t="s">
        <v>1685</v>
      </c>
      <c r="D775" s="590" t="s">
        <v>63</v>
      </c>
      <c r="E775" s="592" t="s">
        <v>73</v>
      </c>
      <c r="F775" s="590" t="s">
        <v>115</v>
      </c>
      <c r="G775" s="592">
        <v>2</v>
      </c>
      <c r="H775" s="590">
        <v>0</v>
      </c>
      <c r="I775" s="593">
        <v>1</v>
      </c>
      <c r="J775" s="593">
        <v>1</v>
      </c>
      <c r="K775" s="590" t="s">
        <v>182</v>
      </c>
      <c r="L775" s="598"/>
      <c r="M775" s="590">
        <v>4</v>
      </c>
      <c r="N775" s="590">
        <v>2</v>
      </c>
      <c r="O775" s="599" t="s">
        <v>1686</v>
      </c>
      <c r="P775" s="590" t="s">
        <v>1687</v>
      </c>
      <c r="Q775" s="590" t="s">
        <v>148</v>
      </c>
      <c r="R775" s="470"/>
      <c r="S775" s="292">
        <v>2</v>
      </c>
      <c r="T775" s="292">
        <v>9</v>
      </c>
      <c r="U775" s="292">
        <v>10</v>
      </c>
      <c r="V775" s="292">
        <v>3</v>
      </c>
      <c r="W775" s="197">
        <f t="shared" si="1010"/>
        <v>2</v>
      </c>
      <c r="X775" s="197">
        <f t="shared" si="1"/>
        <v>1</v>
      </c>
      <c r="Y775" s="197">
        <f t="shared" si="1052"/>
        <v>0</v>
      </c>
      <c r="Z775" s="197">
        <f t="shared" si="1012"/>
        <v>2</v>
      </c>
      <c r="AA775" s="199" t="b">
        <f t="shared" si="3"/>
        <v>0</v>
      </c>
      <c r="AB775" s="199" t="b">
        <f t="shared" si="4"/>
        <v>0</v>
      </c>
      <c r="AC775" s="200">
        <f t="shared" ref="AC775:AD775" si="1084">1-I775</f>
        <v>0</v>
      </c>
      <c r="AD775" s="200">
        <f t="shared" si="1084"/>
        <v>0</v>
      </c>
      <c r="AE775" s="199">
        <f t="shared" si="6"/>
        <v>2</v>
      </c>
      <c r="AF775" s="201">
        <f t="shared" si="1014"/>
        <v>0</v>
      </c>
      <c r="AG775" s="201">
        <f t="shared" si="8"/>
        <v>1</v>
      </c>
      <c r="AH775" s="202">
        <f t="shared" si="1054"/>
        <v>0</v>
      </c>
      <c r="AI775" s="470"/>
      <c r="AJ775" s="173"/>
      <c r="AK775" s="173"/>
      <c r="AL775" s="173"/>
      <c r="AM775" s="173"/>
      <c r="AN775" s="173"/>
      <c r="AO775" s="173"/>
      <c r="AP775" s="173"/>
      <c r="AQ775" s="173"/>
      <c r="AR775" s="173"/>
      <c r="AS775" s="173"/>
      <c r="AT775" s="173"/>
      <c r="AU775" s="173"/>
      <c r="AV775" s="173"/>
    </row>
    <row r="776" spans="1:48" ht="14.25">
      <c r="A776" s="206"/>
      <c r="B776" s="590">
        <v>4</v>
      </c>
      <c r="C776" s="591" t="s">
        <v>1688</v>
      </c>
      <c r="D776" s="590" t="s">
        <v>63</v>
      </c>
      <c r="E776" s="592" t="s">
        <v>73</v>
      </c>
      <c r="F776" s="590" t="s">
        <v>115</v>
      </c>
      <c r="G776" s="592">
        <v>2</v>
      </c>
      <c r="H776" s="590">
        <v>0</v>
      </c>
      <c r="I776" s="593">
        <v>1</v>
      </c>
      <c r="J776" s="593">
        <v>1</v>
      </c>
      <c r="K776" s="590" t="s">
        <v>182</v>
      </c>
      <c r="L776" s="598"/>
      <c r="M776" s="590">
        <v>2</v>
      </c>
      <c r="N776" s="590">
        <v>2</v>
      </c>
      <c r="O776" s="599" t="s">
        <v>1689</v>
      </c>
      <c r="P776" s="590" t="s">
        <v>268</v>
      </c>
      <c r="Q776" s="590" t="s">
        <v>148</v>
      </c>
      <c r="R776" s="470"/>
      <c r="S776" s="292">
        <v>2</v>
      </c>
      <c r="T776" s="292">
        <v>9</v>
      </c>
      <c r="U776" s="292">
        <v>10</v>
      </c>
      <c r="V776" s="292">
        <v>3</v>
      </c>
      <c r="W776" s="197">
        <f t="shared" si="1010"/>
        <v>2</v>
      </c>
      <c r="X776" s="197">
        <f t="shared" si="1"/>
        <v>1</v>
      </c>
      <c r="Y776" s="197">
        <f t="shared" si="1052"/>
        <v>0</v>
      </c>
      <c r="Z776" s="197">
        <f t="shared" si="1012"/>
        <v>2</v>
      </c>
      <c r="AA776" s="199" t="b">
        <f t="shared" si="3"/>
        <v>0</v>
      </c>
      <c r="AB776" s="199" t="b">
        <f t="shared" si="4"/>
        <v>0</v>
      </c>
      <c r="AC776" s="200">
        <f t="shared" ref="AC776:AD776" si="1085">1-I776</f>
        <v>0</v>
      </c>
      <c r="AD776" s="200">
        <f t="shared" si="1085"/>
        <v>0</v>
      </c>
      <c r="AE776" s="199">
        <f t="shared" si="6"/>
        <v>2</v>
      </c>
      <c r="AF776" s="201">
        <f t="shared" si="1014"/>
        <v>0</v>
      </c>
      <c r="AG776" s="201">
        <f t="shared" si="8"/>
        <v>1</v>
      </c>
      <c r="AH776" s="202">
        <f t="shared" si="1054"/>
        <v>0</v>
      </c>
      <c r="AI776" s="470"/>
      <c r="AJ776" s="173"/>
      <c r="AK776" s="173"/>
      <c r="AL776" s="173"/>
      <c r="AM776" s="173"/>
      <c r="AN776" s="173"/>
      <c r="AO776" s="173"/>
      <c r="AP776" s="173"/>
      <c r="AQ776" s="173"/>
      <c r="AR776" s="173"/>
      <c r="AS776" s="173"/>
      <c r="AT776" s="173"/>
      <c r="AU776" s="173"/>
      <c r="AV776" s="173"/>
    </row>
    <row r="777" spans="1:48" ht="14.25">
      <c r="A777" s="213"/>
      <c r="B777" s="590">
        <v>4</v>
      </c>
      <c r="C777" s="591" t="s">
        <v>1690</v>
      </c>
      <c r="D777" s="590" t="s">
        <v>63</v>
      </c>
      <c r="E777" s="592" t="s">
        <v>73</v>
      </c>
      <c r="F777" s="590" t="s">
        <v>21</v>
      </c>
      <c r="G777" s="592">
        <v>2</v>
      </c>
      <c r="H777" s="592">
        <v>1</v>
      </c>
      <c r="I777" s="593">
        <v>1</v>
      </c>
      <c r="J777" s="593">
        <v>1</v>
      </c>
      <c r="K777" s="590" t="s">
        <v>182</v>
      </c>
      <c r="L777" s="594"/>
      <c r="M777" s="590">
        <v>7</v>
      </c>
      <c r="N777" s="590">
        <v>7</v>
      </c>
      <c r="O777" s="595" t="s">
        <v>1691</v>
      </c>
      <c r="P777" s="596" t="s">
        <v>1407</v>
      </c>
      <c r="Q777" s="590" t="s">
        <v>148</v>
      </c>
      <c r="R777" s="470"/>
      <c r="S777" s="292">
        <v>2</v>
      </c>
      <c r="T777" s="292">
        <v>9</v>
      </c>
      <c r="U777" s="292">
        <v>7</v>
      </c>
      <c r="V777" s="292">
        <v>3</v>
      </c>
      <c r="W777" s="197">
        <f t="shared" si="1010"/>
        <v>2</v>
      </c>
      <c r="X777" s="197">
        <f t="shared" si="1"/>
        <v>1</v>
      </c>
      <c r="Y777" s="197">
        <f t="shared" si="1052"/>
        <v>50</v>
      </c>
      <c r="Z777" s="197">
        <f t="shared" si="1012"/>
        <v>2</v>
      </c>
      <c r="AA777" s="199" t="b">
        <f t="shared" si="3"/>
        <v>0</v>
      </c>
      <c r="AB777" s="199" t="b">
        <f t="shared" si="4"/>
        <v>0</v>
      </c>
      <c r="AC777" s="200">
        <f t="shared" ref="AC777:AD777" si="1086">1-I777</f>
        <v>0</v>
      </c>
      <c r="AD777" s="200">
        <f t="shared" si="1086"/>
        <v>0</v>
      </c>
      <c r="AE777" s="199">
        <f t="shared" si="6"/>
        <v>2</v>
      </c>
      <c r="AF777" s="201">
        <f t="shared" si="1014"/>
        <v>1</v>
      </c>
      <c r="AG777" s="201">
        <f t="shared" si="8"/>
        <v>1</v>
      </c>
      <c r="AH777" s="202">
        <f t="shared" si="1054"/>
        <v>5</v>
      </c>
      <c r="AI777" s="470"/>
      <c r="AJ777" s="173"/>
      <c r="AK777" s="173"/>
      <c r="AL777" s="173"/>
      <c r="AM777" s="173"/>
      <c r="AN777" s="173"/>
      <c r="AO777" s="173"/>
      <c r="AP777" s="173"/>
      <c r="AQ777" s="173"/>
      <c r="AR777" s="173"/>
      <c r="AS777" s="173"/>
      <c r="AT777" s="173"/>
      <c r="AU777" s="173"/>
      <c r="AV777" s="173"/>
    </row>
    <row r="778" spans="1:48" ht="14.25">
      <c r="A778" s="206"/>
      <c r="B778" s="590">
        <v>4</v>
      </c>
      <c r="C778" s="591" t="s">
        <v>1692</v>
      </c>
      <c r="D778" s="590" t="s">
        <v>63</v>
      </c>
      <c r="E778" s="592" t="s">
        <v>73</v>
      </c>
      <c r="F778" s="590" t="s">
        <v>18</v>
      </c>
      <c r="G778" s="592">
        <v>2</v>
      </c>
      <c r="H778" s="590">
        <v>0</v>
      </c>
      <c r="I778" s="593">
        <v>1</v>
      </c>
      <c r="J778" s="593">
        <v>1</v>
      </c>
      <c r="K778" s="590" t="s">
        <v>182</v>
      </c>
      <c r="L778" s="598"/>
      <c r="M778" s="590">
        <v>3</v>
      </c>
      <c r="N778" s="590">
        <v>6</v>
      </c>
      <c r="O778" s="599" t="s">
        <v>1693</v>
      </c>
      <c r="P778" s="600"/>
      <c r="Q778" s="590" t="s">
        <v>148</v>
      </c>
      <c r="R778" s="470"/>
      <c r="S778" s="292">
        <v>2</v>
      </c>
      <c r="T778" s="292">
        <v>9</v>
      </c>
      <c r="U778" s="292">
        <v>5</v>
      </c>
      <c r="V778" s="292">
        <v>3</v>
      </c>
      <c r="W778" s="197">
        <f t="shared" si="1010"/>
        <v>2</v>
      </c>
      <c r="X778" s="197">
        <f t="shared" si="1"/>
        <v>1</v>
      </c>
      <c r="Y778" s="197">
        <f t="shared" si="1052"/>
        <v>0</v>
      </c>
      <c r="Z778" s="197">
        <f t="shared" si="1012"/>
        <v>2</v>
      </c>
      <c r="AA778" s="199" t="b">
        <f t="shared" si="3"/>
        <v>0</v>
      </c>
      <c r="AB778" s="199" t="b">
        <f t="shared" si="4"/>
        <v>0</v>
      </c>
      <c r="AC778" s="200">
        <f t="shared" ref="AC778:AD778" si="1087">1-I778</f>
        <v>0</v>
      </c>
      <c r="AD778" s="200">
        <f t="shared" si="1087"/>
        <v>0</v>
      </c>
      <c r="AE778" s="199">
        <f t="shared" si="6"/>
        <v>2</v>
      </c>
      <c r="AF778" s="201">
        <f t="shared" si="1014"/>
        <v>0</v>
      </c>
      <c r="AG778" s="201">
        <f t="shared" si="8"/>
        <v>1</v>
      </c>
      <c r="AH778" s="202">
        <f t="shared" si="1054"/>
        <v>0</v>
      </c>
      <c r="AI778" s="470"/>
      <c r="AJ778" s="173"/>
      <c r="AK778" s="173"/>
      <c r="AL778" s="173"/>
      <c r="AM778" s="173"/>
      <c r="AN778" s="173"/>
      <c r="AO778" s="173"/>
      <c r="AP778" s="173"/>
      <c r="AQ778" s="173"/>
      <c r="AR778" s="173"/>
      <c r="AS778" s="173"/>
      <c r="AT778" s="173"/>
      <c r="AU778" s="173"/>
      <c r="AV778" s="173"/>
    </row>
    <row r="779" spans="1:48" ht="14.25">
      <c r="A779" s="206"/>
      <c r="B779" s="590">
        <v>4</v>
      </c>
      <c r="C779" s="602" t="s">
        <v>1694</v>
      </c>
      <c r="D779" s="590" t="s">
        <v>63</v>
      </c>
      <c r="E779" s="592" t="s">
        <v>73</v>
      </c>
      <c r="F779" s="590" t="s">
        <v>115</v>
      </c>
      <c r="G779" s="592">
        <v>2</v>
      </c>
      <c r="H779" s="596">
        <v>0</v>
      </c>
      <c r="I779" s="593">
        <v>1</v>
      </c>
      <c r="J779" s="593">
        <v>1</v>
      </c>
      <c r="K779" s="590" t="s">
        <v>182</v>
      </c>
      <c r="L779" s="598"/>
      <c r="M779" s="590">
        <v>2</v>
      </c>
      <c r="N779" s="590">
        <v>3</v>
      </c>
      <c r="O779" s="595" t="s">
        <v>1695</v>
      </c>
      <c r="P779" s="596" t="s">
        <v>1696</v>
      </c>
      <c r="Q779" s="590" t="s">
        <v>148</v>
      </c>
      <c r="R779" s="470"/>
      <c r="S779" s="292">
        <v>2</v>
      </c>
      <c r="T779" s="292">
        <v>9</v>
      </c>
      <c r="U779" s="292">
        <v>10</v>
      </c>
      <c r="V779" s="292">
        <v>3</v>
      </c>
      <c r="W779" s="197">
        <f t="shared" si="1010"/>
        <v>2</v>
      </c>
      <c r="X779" s="197">
        <f t="shared" si="1"/>
        <v>1</v>
      </c>
      <c r="Y779" s="197">
        <f t="shared" si="1052"/>
        <v>0</v>
      </c>
      <c r="Z779" s="197">
        <f t="shared" si="1012"/>
        <v>2</v>
      </c>
      <c r="AA779" s="199" t="b">
        <f t="shared" si="3"/>
        <v>0</v>
      </c>
      <c r="AB779" s="199" t="b">
        <f t="shared" si="4"/>
        <v>0</v>
      </c>
      <c r="AC779" s="200">
        <f t="shared" ref="AC779:AD779" si="1088">1-I779</f>
        <v>0</v>
      </c>
      <c r="AD779" s="200">
        <f t="shared" si="1088"/>
        <v>0</v>
      </c>
      <c r="AE779" s="199">
        <f t="shared" si="6"/>
        <v>2</v>
      </c>
      <c r="AF779" s="201">
        <f t="shared" si="1014"/>
        <v>0</v>
      </c>
      <c r="AG779" s="201">
        <f t="shared" si="8"/>
        <v>1</v>
      </c>
      <c r="AH779" s="202">
        <f t="shared" si="1054"/>
        <v>0</v>
      </c>
      <c r="AI779" s="470"/>
      <c r="AJ779" s="173"/>
      <c r="AK779" s="173"/>
      <c r="AL779" s="173"/>
      <c r="AM779" s="173"/>
      <c r="AN779" s="173"/>
      <c r="AO779" s="173"/>
      <c r="AP779" s="173"/>
      <c r="AQ779" s="173"/>
      <c r="AR779" s="173"/>
      <c r="AS779" s="173"/>
      <c r="AT779" s="173"/>
      <c r="AU779" s="173"/>
      <c r="AV779" s="173"/>
    </row>
    <row r="780" spans="1:48" ht="14.25">
      <c r="A780" s="606"/>
      <c r="B780" s="590">
        <v>4</v>
      </c>
      <c r="C780" s="591" t="s">
        <v>1697</v>
      </c>
      <c r="D780" s="590" t="s">
        <v>63</v>
      </c>
      <c r="E780" s="592" t="s">
        <v>73</v>
      </c>
      <c r="F780" s="590" t="s">
        <v>115</v>
      </c>
      <c r="G780" s="592">
        <v>2</v>
      </c>
      <c r="H780" s="590">
        <v>0</v>
      </c>
      <c r="I780" s="593">
        <v>1</v>
      </c>
      <c r="J780" s="593">
        <v>1</v>
      </c>
      <c r="K780" s="590" t="s">
        <v>182</v>
      </c>
      <c r="L780" s="598"/>
      <c r="M780" s="590">
        <v>4</v>
      </c>
      <c r="N780" s="590">
        <v>2</v>
      </c>
      <c r="O780" s="599" t="s">
        <v>572</v>
      </c>
      <c r="P780" s="590" t="s">
        <v>454</v>
      </c>
      <c r="Q780" s="590" t="s">
        <v>148</v>
      </c>
      <c r="R780" s="470"/>
      <c r="S780" s="292">
        <v>2</v>
      </c>
      <c r="T780" s="292">
        <v>9</v>
      </c>
      <c r="U780" s="292">
        <v>10</v>
      </c>
      <c r="V780" s="292">
        <v>3</v>
      </c>
      <c r="W780" s="197">
        <f t="shared" si="1010"/>
        <v>2</v>
      </c>
      <c r="X780" s="197">
        <f t="shared" si="1"/>
        <v>1</v>
      </c>
      <c r="Y780" s="197">
        <f t="shared" si="1052"/>
        <v>0</v>
      </c>
      <c r="Z780" s="197">
        <f t="shared" si="1012"/>
        <v>2</v>
      </c>
      <c r="AA780" s="199" t="b">
        <f t="shared" si="3"/>
        <v>0</v>
      </c>
      <c r="AB780" s="199" t="b">
        <f t="shared" si="4"/>
        <v>0</v>
      </c>
      <c r="AC780" s="200">
        <f t="shared" ref="AC780:AD780" si="1089">1-I780</f>
        <v>0</v>
      </c>
      <c r="AD780" s="200">
        <f t="shared" si="1089"/>
        <v>0</v>
      </c>
      <c r="AE780" s="199">
        <f t="shared" si="6"/>
        <v>2</v>
      </c>
      <c r="AF780" s="201">
        <f t="shared" si="1014"/>
        <v>0</v>
      </c>
      <c r="AG780" s="201">
        <f t="shared" si="8"/>
        <v>1</v>
      </c>
      <c r="AH780" s="202">
        <f t="shared" si="1054"/>
        <v>0</v>
      </c>
      <c r="AI780" s="470"/>
      <c r="AJ780" s="173"/>
      <c r="AK780" s="173"/>
      <c r="AL780" s="173"/>
      <c r="AM780" s="173"/>
      <c r="AN780" s="173"/>
      <c r="AO780" s="173"/>
      <c r="AP780" s="173"/>
      <c r="AQ780" s="173"/>
      <c r="AR780" s="173"/>
      <c r="AS780" s="173"/>
      <c r="AT780" s="173"/>
      <c r="AU780" s="173"/>
      <c r="AV780" s="173"/>
    </row>
    <row r="781" spans="1:48" ht="14.25">
      <c r="A781" s="213"/>
      <c r="B781" s="590">
        <v>4</v>
      </c>
      <c r="C781" s="591" t="s">
        <v>1698</v>
      </c>
      <c r="D781" s="590" t="s">
        <v>63</v>
      </c>
      <c r="E781" s="592" t="s">
        <v>73</v>
      </c>
      <c r="F781" s="590" t="s">
        <v>20</v>
      </c>
      <c r="G781" s="592">
        <v>2</v>
      </c>
      <c r="H781" s="590">
        <v>0</v>
      </c>
      <c r="I781" s="593">
        <v>1</v>
      </c>
      <c r="J781" s="593">
        <v>1</v>
      </c>
      <c r="K781" s="590" t="s">
        <v>182</v>
      </c>
      <c r="L781" s="590" t="s">
        <v>536</v>
      </c>
      <c r="M781" s="590">
        <v>4</v>
      </c>
      <c r="N781" s="590">
        <v>4</v>
      </c>
      <c r="O781" s="605" t="s">
        <v>1699</v>
      </c>
      <c r="P781" s="590" t="s">
        <v>454</v>
      </c>
      <c r="Q781" s="590" t="s">
        <v>148</v>
      </c>
      <c r="R781" s="470"/>
      <c r="S781" s="292">
        <v>2</v>
      </c>
      <c r="T781" s="292">
        <v>9</v>
      </c>
      <c r="U781" s="292">
        <v>6</v>
      </c>
      <c r="V781" s="292">
        <v>3</v>
      </c>
      <c r="W781" s="197">
        <f t="shared" si="1010"/>
        <v>2</v>
      </c>
      <c r="X781" s="197">
        <f t="shared" si="1"/>
        <v>1</v>
      </c>
      <c r="Y781" s="197">
        <f t="shared" si="1052"/>
        <v>0</v>
      </c>
      <c r="Z781" s="197">
        <f t="shared" si="1012"/>
        <v>2</v>
      </c>
      <c r="AA781" s="199" t="b">
        <f t="shared" si="3"/>
        <v>0</v>
      </c>
      <c r="AB781" s="199" t="b">
        <f t="shared" si="4"/>
        <v>0</v>
      </c>
      <c r="AC781" s="200">
        <f t="shared" ref="AC781:AD781" si="1090">1-I781</f>
        <v>0</v>
      </c>
      <c r="AD781" s="200">
        <f t="shared" si="1090"/>
        <v>0</v>
      </c>
      <c r="AE781" s="199">
        <f t="shared" si="6"/>
        <v>2</v>
      </c>
      <c r="AF781" s="201">
        <f t="shared" si="1014"/>
        <v>0</v>
      </c>
      <c r="AG781" s="201">
        <f t="shared" si="8"/>
        <v>1</v>
      </c>
      <c r="AH781" s="202">
        <f t="shared" si="1054"/>
        <v>0</v>
      </c>
      <c r="AI781" s="470"/>
      <c r="AJ781" s="173"/>
      <c r="AK781" s="173"/>
      <c r="AL781" s="173"/>
      <c r="AM781" s="173"/>
      <c r="AN781" s="173"/>
      <c r="AO781" s="173"/>
      <c r="AP781" s="173"/>
      <c r="AQ781" s="173"/>
      <c r="AR781" s="173"/>
      <c r="AS781" s="173"/>
      <c r="AT781" s="173"/>
      <c r="AU781" s="173"/>
      <c r="AV781" s="173"/>
    </row>
    <row r="782" spans="1:48" ht="14.25">
      <c r="A782" s="206"/>
      <c r="B782" s="590">
        <v>5</v>
      </c>
      <c r="C782" s="591" t="s">
        <v>1700</v>
      </c>
      <c r="D782" s="590" t="s">
        <v>63</v>
      </c>
      <c r="E782" s="592" t="s">
        <v>73</v>
      </c>
      <c r="F782" s="590" t="s">
        <v>115</v>
      </c>
      <c r="G782" s="592">
        <v>2</v>
      </c>
      <c r="H782" s="590">
        <v>0</v>
      </c>
      <c r="I782" s="593">
        <v>1</v>
      </c>
      <c r="J782" s="593">
        <v>1</v>
      </c>
      <c r="K782" s="590" t="s">
        <v>182</v>
      </c>
      <c r="L782" s="598"/>
      <c r="M782" s="590">
        <v>4</v>
      </c>
      <c r="N782" s="590">
        <v>4</v>
      </c>
      <c r="O782" s="599" t="s">
        <v>1701</v>
      </c>
      <c r="P782" s="590" t="s">
        <v>184</v>
      </c>
      <c r="Q782" s="590" t="s">
        <v>148</v>
      </c>
      <c r="R782" s="470"/>
      <c r="S782" s="292">
        <v>2</v>
      </c>
      <c r="T782" s="292">
        <v>9</v>
      </c>
      <c r="U782" s="292">
        <v>10</v>
      </c>
      <c r="V782" s="292">
        <v>3</v>
      </c>
      <c r="W782" s="197">
        <f t="shared" si="1010"/>
        <v>2</v>
      </c>
      <c r="X782" s="197">
        <f t="shared" si="1"/>
        <v>1</v>
      </c>
      <c r="Y782" s="197">
        <f t="shared" si="1052"/>
        <v>0</v>
      </c>
      <c r="Z782" s="197">
        <f t="shared" si="1012"/>
        <v>2</v>
      </c>
      <c r="AA782" s="199" t="b">
        <f t="shared" si="3"/>
        <v>0</v>
      </c>
      <c r="AB782" s="199" t="b">
        <f t="shared" si="4"/>
        <v>0</v>
      </c>
      <c r="AC782" s="200">
        <f t="shared" ref="AC782:AD782" si="1091">1-I782</f>
        <v>0</v>
      </c>
      <c r="AD782" s="200">
        <f t="shared" si="1091"/>
        <v>0</v>
      </c>
      <c r="AE782" s="199">
        <f t="shared" si="6"/>
        <v>2</v>
      </c>
      <c r="AF782" s="201">
        <f t="shared" si="1014"/>
        <v>0</v>
      </c>
      <c r="AG782" s="201">
        <f t="shared" si="8"/>
        <v>1</v>
      </c>
      <c r="AH782" s="202">
        <f t="shared" si="1054"/>
        <v>0</v>
      </c>
      <c r="AI782" s="470"/>
      <c r="AJ782" s="173"/>
      <c r="AK782" s="173"/>
      <c r="AL782" s="173"/>
      <c r="AM782" s="173"/>
      <c r="AN782" s="173"/>
      <c r="AO782" s="173"/>
      <c r="AP782" s="173"/>
      <c r="AQ782" s="173"/>
      <c r="AR782" s="173"/>
      <c r="AS782" s="173"/>
      <c r="AT782" s="173"/>
      <c r="AU782" s="173"/>
      <c r="AV782" s="173"/>
    </row>
    <row r="783" spans="1:48" ht="14.25">
      <c r="A783" s="213"/>
      <c r="B783" s="590">
        <v>5</v>
      </c>
      <c r="C783" s="591" t="s">
        <v>1702</v>
      </c>
      <c r="D783" s="590" t="s">
        <v>63</v>
      </c>
      <c r="E783" s="592" t="s">
        <v>73</v>
      </c>
      <c r="F783" s="590" t="s">
        <v>18</v>
      </c>
      <c r="G783" s="592">
        <v>2</v>
      </c>
      <c r="H783" s="590">
        <v>0</v>
      </c>
      <c r="I783" s="593">
        <v>1</v>
      </c>
      <c r="J783" s="593">
        <v>1</v>
      </c>
      <c r="K783" s="590" t="s">
        <v>182</v>
      </c>
      <c r="L783" s="598"/>
      <c r="M783" s="590">
        <v>4</v>
      </c>
      <c r="N783" s="590">
        <v>5</v>
      </c>
      <c r="O783" s="599" t="s">
        <v>1703</v>
      </c>
      <c r="P783" s="590" t="s">
        <v>184</v>
      </c>
      <c r="Q783" s="590" t="s">
        <v>148</v>
      </c>
      <c r="R783" s="470"/>
      <c r="S783" s="292">
        <v>2</v>
      </c>
      <c r="T783" s="292">
        <v>9</v>
      </c>
      <c r="U783" s="292">
        <v>5</v>
      </c>
      <c r="V783" s="292">
        <v>3</v>
      </c>
      <c r="W783" s="197">
        <f t="shared" si="1010"/>
        <v>2</v>
      </c>
      <c r="X783" s="197">
        <f t="shared" si="1"/>
        <v>1</v>
      </c>
      <c r="Y783" s="197">
        <f t="shared" si="1052"/>
        <v>0</v>
      </c>
      <c r="Z783" s="197">
        <f t="shared" si="1012"/>
        <v>2</v>
      </c>
      <c r="AA783" s="199" t="b">
        <f t="shared" si="3"/>
        <v>0</v>
      </c>
      <c r="AB783" s="199" t="b">
        <f t="shared" si="4"/>
        <v>0</v>
      </c>
      <c r="AC783" s="200">
        <f t="shared" ref="AC783:AD783" si="1092">1-I783</f>
        <v>0</v>
      </c>
      <c r="AD783" s="200">
        <f t="shared" si="1092"/>
        <v>0</v>
      </c>
      <c r="AE783" s="199">
        <f t="shared" si="6"/>
        <v>2</v>
      </c>
      <c r="AF783" s="201">
        <f t="shared" si="1014"/>
        <v>0</v>
      </c>
      <c r="AG783" s="201">
        <f t="shared" si="8"/>
        <v>1</v>
      </c>
      <c r="AH783" s="202">
        <f t="shared" si="1054"/>
        <v>0</v>
      </c>
      <c r="AI783" s="470"/>
      <c r="AJ783" s="173"/>
      <c r="AK783" s="173"/>
      <c r="AL783" s="173"/>
      <c r="AM783" s="173"/>
      <c r="AN783" s="173"/>
      <c r="AO783" s="173"/>
      <c r="AP783" s="173"/>
      <c r="AQ783" s="173"/>
      <c r="AR783" s="173"/>
      <c r="AS783" s="173"/>
      <c r="AT783" s="173"/>
      <c r="AU783" s="173"/>
      <c r="AV783" s="173"/>
    </row>
    <row r="784" spans="1:48" ht="14.25">
      <c r="A784" s="206"/>
      <c r="B784" s="590">
        <v>5</v>
      </c>
      <c r="C784" s="602" t="s">
        <v>1704</v>
      </c>
      <c r="D784" s="590" t="s">
        <v>63</v>
      </c>
      <c r="E784" s="592" t="s">
        <v>73</v>
      </c>
      <c r="F784" s="590" t="s">
        <v>18</v>
      </c>
      <c r="G784" s="592">
        <v>1</v>
      </c>
      <c r="H784" s="590">
        <v>0</v>
      </c>
      <c r="I784" s="593">
        <v>1</v>
      </c>
      <c r="J784" s="593">
        <v>1</v>
      </c>
      <c r="K784" s="590" t="s">
        <v>146</v>
      </c>
      <c r="L784" s="598"/>
      <c r="M784" s="598"/>
      <c r="N784" s="598"/>
      <c r="O784" s="599" t="s">
        <v>1705</v>
      </c>
      <c r="P784" s="600"/>
      <c r="Q784" s="590" t="s">
        <v>148</v>
      </c>
      <c r="R784" s="470"/>
      <c r="S784" s="292">
        <v>2</v>
      </c>
      <c r="T784" s="292">
        <v>9</v>
      </c>
      <c r="U784" s="292">
        <v>5</v>
      </c>
      <c r="V784" s="292">
        <v>2</v>
      </c>
      <c r="W784" s="197">
        <f t="shared" si="1010"/>
        <v>1</v>
      </c>
      <c r="X784" s="197">
        <f t="shared" si="1"/>
        <v>1</v>
      </c>
      <c r="Y784" s="197">
        <f t="shared" si="1052"/>
        <v>0</v>
      </c>
      <c r="Z784" s="197">
        <f t="shared" si="1012"/>
        <v>1</v>
      </c>
      <c r="AA784" s="199" t="b">
        <f t="shared" si="3"/>
        <v>0</v>
      </c>
      <c r="AB784" s="199" t="b">
        <f t="shared" si="4"/>
        <v>1</v>
      </c>
      <c r="AC784" s="200">
        <f t="shared" ref="AC784:AD784" si="1093">1-I784</f>
        <v>0</v>
      </c>
      <c r="AD784" s="200">
        <f t="shared" si="1093"/>
        <v>0</v>
      </c>
      <c r="AE784" s="199">
        <f t="shared" si="6"/>
        <v>1</v>
      </c>
      <c r="AF784" s="201">
        <f t="shared" si="1014"/>
        <v>0</v>
      </c>
      <c r="AG784" s="201">
        <f t="shared" si="8"/>
        <v>1</v>
      </c>
      <c r="AH784" s="202">
        <f t="shared" si="1054"/>
        <v>0</v>
      </c>
      <c r="AI784" s="470"/>
      <c r="AJ784" s="173"/>
      <c r="AK784" s="173"/>
      <c r="AL784" s="173"/>
      <c r="AM784" s="173"/>
      <c r="AN784" s="173"/>
      <c r="AO784" s="173"/>
      <c r="AP784" s="173"/>
      <c r="AQ784" s="173"/>
      <c r="AR784" s="173"/>
      <c r="AS784" s="173"/>
      <c r="AT784" s="173"/>
      <c r="AU784" s="173"/>
      <c r="AV784" s="173"/>
    </row>
    <row r="785" spans="1:48" ht="14.25">
      <c r="A785" s="206"/>
      <c r="B785" s="590">
        <v>5</v>
      </c>
      <c r="C785" s="591" t="s">
        <v>1706</v>
      </c>
      <c r="D785" s="590" t="s">
        <v>63</v>
      </c>
      <c r="E785" s="592" t="s">
        <v>73</v>
      </c>
      <c r="F785" s="590" t="s">
        <v>115</v>
      </c>
      <c r="G785" s="592">
        <v>2</v>
      </c>
      <c r="H785" s="590">
        <v>0</v>
      </c>
      <c r="I785" s="593">
        <v>1</v>
      </c>
      <c r="J785" s="593">
        <v>1</v>
      </c>
      <c r="K785" s="590" t="s">
        <v>182</v>
      </c>
      <c r="L785" s="590" t="s">
        <v>602</v>
      </c>
      <c r="M785" s="590">
        <v>3</v>
      </c>
      <c r="N785" s="590">
        <v>4</v>
      </c>
      <c r="O785" s="599" t="s">
        <v>975</v>
      </c>
      <c r="P785" s="590" t="s">
        <v>1707</v>
      </c>
      <c r="Q785" s="590" t="s">
        <v>148</v>
      </c>
      <c r="R785" s="470"/>
      <c r="S785" s="292">
        <v>2</v>
      </c>
      <c r="T785" s="292">
        <v>9</v>
      </c>
      <c r="U785" s="292">
        <v>10</v>
      </c>
      <c r="V785" s="292">
        <v>3</v>
      </c>
      <c r="W785" s="197">
        <f t="shared" si="1010"/>
        <v>2</v>
      </c>
      <c r="X785" s="197">
        <f t="shared" si="1"/>
        <v>1</v>
      </c>
      <c r="Y785" s="197">
        <f t="shared" si="1052"/>
        <v>0</v>
      </c>
      <c r="Z785" s="197">
        <f t="shared" si="1012"/>
        <v>2</v>
      </c>
      <c r="AA785" s="199" t="b">
        <f t="shared" si="3"/>
        <v>0</v>
      </c>
      <c r="AB785" s="199" t="b">
        <f t="shared" si="4"/>
        <v>0</v>
      </c>
      <c r="AC785" s="200">
        <f t="shared" ref="AC785:AD785" si="1094">1-I785</f>
        <v>0</v>
      </c>
      <c r="AD785" s="200">
        <f t="shared" si="1094"/>
        <v>0</v>
      </c>
      <c r="AE785" s="199">
        <f t="shared" si="6"/>
        <v>2</v>
      </c>
      <c r="AF785" s="201">
        <f t="shared" si="1014"/>
        <v>0</v>
      </c>
      <c r="AG785" s="201">
        <f t="shared" si="8"/>
        <v>1</v>
      </c>
      <c r="AH785" s="202">
        <f t="shared" si="1054"/>
        <v>0</v>
      </c>
      <c r="AI785" s="470"/>
      <c r="AJ785" s="173"/>
      <c r="AK785" s="173"/>
      <c r="AL785" s="173"/>
      <c r="AM785" s="173"/>
      <c r="AN785" s="173"/>
      <c r="AO785" s="173"/>
      <c r="AP785" s="173"/>
      <c r="AQ785" s="173"/>
      <c r="AR785" s="173"/>
      <c r="AS785" s="173"/>
      <c r="AT785" s="173"/>
      <c r="AU785" s="173"/>
      <c r="AV785" s="173"/>
    </row>
    <row r="786" spans="1:48" ht="14.25">
      <c r="A786" s="206"/>
      <c r="B786" s="590">
        <v>5</v>
      </c>
      <c r="C786" s="591" t="s">
        <v>1708</v>
      </c>
      <c r="D786" s="590" t="s">
        <v>63</v>
      </c>
      <c r="E786" s="592" t="s">
        <v>73</v>
      </c>
      <c r="F786" s="590" t="s">
        <v>16</v>
      </c>
      <c r="G786" s="592">
        <v>2</v>
      </c>
      <c r="H786" s="590">
        <v>0</v>
      </c>
      <c r="I786" s="593">
        <v>1</v>
      </c>
      <c r="J786" s="593">
        <v>1</v>
      </c>
      <c r="K786" s="590" t="s">
        <v>146</v>
      </c>
      <c r="L786" s="598"/>
      <c r="M786" s="598"/>
      <c r="N786" s="598"/>
      <c r="O786" s="599" t="s">
        <v>1709</v>
      </c>
      <c r="P786" s="600"/>
      <c r="Q786" s="590" t="s">
        <v>148</v>
      </c>
      <c r="R786" s="470"/>
      <c r="S786" s="292">
        <v>2</v>
      </c>
      <c r="T786" s="292">
        <v>9</v>
      </c>
      <c r="U786" s="292">
        <v>4</v>
      </c>
      <c r="V786" s="292">
        <v>2</v>
      </c>
      <c r="W786" s="197">
        <f t="shared" si="1010"/>
        <v>2</v>
      </c>
      <c r="X786" s="197">
        <f t="shared" si="1"/>
        <v>1</v>
      </c>
      <c r="Y786" s="197">
        <f t="shared" si="1052"/>
        <v>0</v>
      </c>
      <c r="Z786" s="197">
        <f t="shared" si="1012"/>
        <v>2</v>
      </c>
      <c r="AA786" s="199" t="b">
        <f t="shared" si="3"/>
        <v>0</v>
      </c>
      <c r="AB786" s="199" t="b">
        <f t="shared" si="4"/>
        <v>0</v>
      </c>
      <c r="AC786" s="200">
        <f t="shared" ref="AC786:AD786" si="1095">1-I786</f>
        <v>0</v>
      </c>
      <c r="AD786" s="200">
        <f t="shared" si="1095"/>
        <v>0</v>
      </c>
      <c r="AE786" s="199">
        <f t="shared" si="6"/>
        <v>2</v>
      </c>
      <c r="AF786" s="201">
        <f t="shared" si="1014"/>
        <v>0</v>
      </c>
      <c r="AG786" s="201">
        <f t="shared" si="8"/>
        <v>1</v>
      </c>
      <c r="AH786" s="202">
        <f t="shared" si="1054"/>
        <v>0</v>
      </c>
      <c r="AI786" s="470"/>
      <c r="AJ786" s="173"/>
      <c r="AK786" s="173"/>
      <c r="AL786" s="173"/>
      <c r="AM786" s="173"/>
      <c r="AN786" s="173"/>
      <c r="AO786" s="173"/>
      <c r="AP786" s="173"/>
      <c r="AQ786" s="173"/>
      <c r="AR786" s="173"/>
      <c r="AS786" s="173"/>
      <c r="AT786" s="173"/>
      <c r="AU786" s="173"/>
      <c r="AV786" s="173"/>
    </row>
    <row r="787" spans="1:48" ht="14.25">
      <c r="A787" s="206"/>
      <c r="B787" s="590">
        <v>5</v>
      </c>
      <c r="C787" s="591" t="s">
        <v>1710</v>
      </c>
      <c r="D787" s="590" t="s">
        <v>63</v>
      </c>
      <c r="E787" s="592" t="s">
        <v>73</v>
      </c>
      <c r="F787" s="590" t="s">
        <v>25</v>
      </c>
      <c r="G787" s="592">
        <v>2</v>
      </c>
      <c r="H787" s="590">
        <v>0</v>
      </c>
      <c r="I787" s="593">
        <v>1</v>
      </c>
      <c r="J787" s="593">
        <v>1</v>
      </c>
      <c r="K787" s="590" t="s">
        <v>182</v>
      </c>
      <c r="L787" s="598"/>
      <c r="M787" s="590">
        <v>5</v>
      </c>
      <c r="N787" s="590">
        <v>6</v>
      </c>
      <c r="O787" s="599" t="s">
        <v>1711</v>
      </c>
      <c r="P787" s="600"/>
      <c r="Q787" s="590" t="s">
        <v>148</v>
      </c>
      <c r="R787" s="470"/>
      <c r="S787" s="292">
        <v>2</v>
      </c>
      <c r="T787" s="292">
        <v>9</v>
      </c>
      <c r="U787" s="292">
        <v>8</v>
      </c>
      <c r="V787" s="292">
        <v>3</v>
      </c>
      <c r="W787" s="197">
        <f t="shared" si="1010"/>
        <v>2</v>
      </c>
      <c r="X787" s="197">
        <f t="shared" si="1"/>
        <v>1</v>
      </c>
      <c r="Y787" s="197">
        <f t="shared" si="1052"/>
        <v>0</v>
      </c>
      <c r="Z787" s="197">
        <f t="shared" si="1012"/>
        <v>2</v>
      </c>
      <c r="AA787" s="199" t="b">
        <f t="shared" si="3"/>
        <v>0</v>
      </c>
      <c r="AB787" s="199" t="b">
        <f t="shared" si="4"/>
        <v>0</v>
      </c>
      <c r="AC787" s="200">
        <f t="shared" ref="AC787:AD787" si="1096">1-I787</f>
        <v>0</v>
      </c>
      <c r="AD787" s="200">
        <f t="shared" si="1096"/>
        <v>0</v>
      </c>
      <c r="AE787" s="199">
        <f t="shared" si="6"/>
        <v>2</v>
      </c>
      <c r="AF787" s="201">
        <f t="shared" si="1014"/>
        <v>0</v>
      </c>
      <c r="AG787" s="201">
        <f t="shared" si="8"/>
        <v>1</v>
      </c>
      <c r="AH787" s="202">
        <f t="shared" si="1054"/>
        <v>0</v>
      </c>
      <c r="AI787" s="470"/>
      <c r="AJ787" s="173"/>
      <c r="AK787" s="173"/>
      <c r="AL787" s="173"/>
      <c r="AM787" s="173"/>
      <c r="AN787" s="173"/>
      <c r="AO787" s="173"/>
      <c r="AP787" s="173"/>
      <c r="AQ787" s="173"/>
      <c r="AR787" s="173"/>
      <c r="AS787" s="173"/>
      <c r="AT787" s="173"/>
      <c r="AU787" s="173"/>
      <c r="AV787" s="173"/>
    </row>
    <row r="788" spans="1:48" ht="14.25">
      <c r="A788" s="206"/>
      <c r="B788" s="596">
        <v>6</v>
      </c>
      <c r="C788" s="591" t="s">
        <v>1712</v>
      </c>
      <c r="D788" s="596" t="s">
        <v>63</v>
      </c>
      <c r="E788" s="592" t="s">
        <v>73</v>
      </c>
      <c r="F788" s="596" t="s">
        <v>8</v>
      </c>
      <c r="G788" s="592">
        <v>2</v>
      </c>
      <c r="H788" s="596">
        <v>0</v>
      </c>
      <c r="I788" s="593">
        <v>1</v>
      </c>
      <c r="J788" s="593">
        <v>1</v>
      </c>
      <c r="K788" s="596" t="s">
        <v>182</v>
      </c>
      <c r="L788" s="594"/>
      <c r="M788" s="596">
        <v>5</v>
      </c>
      <c r="N788" s="596">
        <v>7</v>
      </c>
      <c r="O788" s="595" t="s">
        <v>1713</v>
      </c>
      <c r="P788" s="596" t="s">
        <v>184</v>
      </c>
      <c r="Q788" s="596" t="s">
        <v>148</v>
      </c>
      <c r="R788" s="470"/>
      <c r="S788" s="292">
        <v>2</v>
      </c>
      <c r="T788" s="292">
        <v>9</v>
      </c>
      <c r="U788" s="292">
        <v>1</v>
      </c>
      <c r="V788" s="292">
        <v>3</v>
      </c>
      <c r="W788" s="197">
        <f t="shared" si="1010"/>
        <v>2</v>
      </c>
      <c r="X788" s="197">
        <f t="shared" si="1"/>
        <v>1</v>
      </c>
      <c r="Y788" s="197">
        <f t="shared" si="1052"/>
        <v>0</v>
      </c>
      <c r="Z788" s="197">
        <f t="shared" si="1012"/>
        <v>2</v>
      </c>
      <c r="AA788" s="199" t="b">
        <f t="shared" si="3"/>
        <v>0</v>
      </c>
      <c r="AB788" s="199" t="b">
        <f t="shared" si="4"/>
        <v>0</v>
      </c>
      <c r="AC788" s="200">
        <f t="shared" ref="AC788:AD788" si="1097">1-I788</f>
        <v>0</v>
      </c>
      <c r="AD788" s="200">
        <f t="shared" si="1097"/>
        <v>0</v>
      </c>
      <c r="AE788" s="199">
        <f t="shared" si="6"/>
        <v>2</v>
      </c>
      <c r="AF788" s="201">
        <f t="shared" si="1014"/>
        <v>0</v>
      </c>
      <c r="AG788" s="201">
        <f t="shared" si="8"/>
        <v>1</v>
      </c>
      <c r="AH788" s="202">
        <f t="shared" si="1054"/>
        <v>0</v>
      </c>
      <c r="AI788" s="470"/>
      <c r="AJ788" s="173"/>
      <c r="AK788" s="173"/>
      <c r="AL788" s="173"/>
      <c r="AM788" s="173"/>
      <c r="AN788" s="173"/>
      <c r="AO788" s="173"/>
      <c r="AP788" s="173"/>
      <c r="AQ788" s="173"/>
      <c r="AR788" s="173"/>
      <c r="AS788" s="173"/>
      <c r="AT788" s="173"/>
      <c r="AU788" s="173"/>
      <c r="AV788" s="173"/>
    </row>
    <row r="789" spans="1:48" ht="14.25">
      <c r="A789" s="206"/>
      <c r="B789" s="590">
        <v>6</v>
      </c>
      <c r="C789" s="591" t="s">
        <v>1714</v>
      </c>
      <c r="D789" s="590" t="s">
        <v>63</v>
      </c>
      <c r="E789" s="592" t="s">
        <v>73</v>
      </c>
      <c r="F789" s="590" t="s">
        <v>13</v>
      </c>
      <c r="G789" s="592">
        <v>2</v>
      </c>
      <c r="H789" s="590">
        <v>0</v>
      </c>
      <c r="I789" s="593">
        <v>1</v>
      </c>
      <c r="J789" s="593">
        <v>1</v>
      </c>
      <c r="K789" s="590" t="s">
        <v>182</v>
      </c>
      <c r="L789" s="598"/>
      <c r="M789" s="590">
        <v>5</v>
      </c>
      <c r="N789" s="590">
        <v>5</v>
      </c>
      <c r="O789" s="599" t="s">
        <v>1715</v>
      </c>
      <c r="P789" s="590" t="s">
        <v>184</v>
      </c>
      <c r="Q789" s="590" t="s">
        <v>148</v>
      </c>
      <c r="R789" s="470"/>
      <c r="S789" s="292">
        <v>2</v>
      </c>
      <c r="T789" s="292">
        <v>9</v>
      </c>
      <c r="U789" s="292">
        <v>3</v>
      </c>
      <c r="V789" s="292">
        <v>3</v>
      </c>
      <c r="W789" s="197">
        <f t="shared" si="1010"/>
        <v>2</v>
      </c>
      <c r="X789" s="197">
        <f t="shared" si="1"/>
        <v>1</v>
      </c>
      <c r="Y789" s="197">
        <f t="shared" si="1052"/>
        <v>0</v>
      </c>
      <c r="Z789" s="197">
        <f t="shared" si="1012"/>
        <v>2</v>
      </c>
      <c r="AA789" s="199" t="b">
        <f t="shared" si="3"/>
        <v>0</v>
      </c>
      <c r="AB789" s="199" t="b">
        <f t="shared" si="4"/>
        <v>0</v>
      </c>
      <c r="AC789" s="200">
        <f t="shared" ref="AC789:AD789" si="1098">1-I789</f>
        <v>0</v>
      </c>
      <c r="AD789" s="200">
        <f t="shared" si="1098"/>
        <v>0</v>
      </c>
      <c r="AE789" s="199">
        <f t="shared" si="6"/>
        <v>2</v>
      </c>
      <c r="AF789" s="201">
        <f t="shared" si="1014"/>
        <v>0</v>
      </c>
      <c r="AG789" s="201">
        <f t="shared" si="8"/>
        <v>1</v>
      </c>
      <c r="AH789" s="202">
        <f t="shared" si="1054"/>
        <v>0</v>
      </c>
      <c r="AI789" s="470"/>
      <c r="AJ789" s="173"/>
      <c r="AK789" s="173"/>
      <c r="AL789" s="173"/>
      <c r="AM789" s="173"/>
      <c r="AN789" s="173"/>
      <c r="AO789" s="173"/>
      <c r="AP789" s="173"/>
      <c r="AQ789" s="173"/>
      <c r="AR789" s="173"/>
      <c r="AS789" s="173"/>
      <c r="AT789" s="173"/>
      <c r="AU789" s="173"/>
      <c r="AV789" s="173"/>
    </row>
    <row r="790" spans="1:48" ht="14.25">
      <c r="A790" s="206"/>
      <c r="B790" s="590">
        <v>6</v>
      </c>
      <c r="C790" s="591" t="s">
        <v>1716</v>
      </c>
      <c r="D790" s="590" t="s">
        <v>63</v>
      </c>
      <c r="E790" s="592" t="s">
        <v>73</v>
      </c>
      <c r="F790" s="590" t="s">
        <v>115</v>
      </c>
      <c r="G790" s="592">
        <v>2</v>
      </c>
      <c r="H790" s="590">
        <v>0</v>
      </c>
      <c r="I790" s="593">
        <v>1</v>
      </c>
      <c r="J790" s="593">
        <v>1</v>
      </c>
      <c r="K790" s="590" t="s">
        <v>182</v>
      </c>
      <c r="L790" s="598"/>
      <c r="M790" s="590">
        <v>4</v>
      </c>
      <c r="N790" s="590">
        <v>4</v>
      </c>
      <c r="O790" s="599" t="s">
        <v>1717</v>
      </c>
      <c r="P790" s="600"/>
      <c r="Q790" s="590" t="s">
        <v>148</v>
      </c>
      <c r="R790" s="470"/>
      <c r="S790" s="292">
        <v>2</v>
      </c>
      <c r="T790" s="292">
        <v>9</v>
      </c>
      <c r="U790" s="292">
        <v>10</v>
      </c>
      <c r="V790" s="292">
        <v>3</v>
      </c>
      <c r="W790" s="197">
        <f t="shared" si="1010"/>
        <v>2</v>
      </c>
      <c r="X790" s="197">
        <f t="shared" si="1"/>
        <v>1</v>
      </c>
      <c r="Y790" s="197">
        <f t="shared" si="1052"/>
        <v>0</v>
      </c>
      <c r="Z790" s="197">
        <f t="shared" si="1012"/>
        <v>2</v>
      </c>
      <c r="AA790" s="199" t="b">
        <f t="shared" si="3"/>
        <v>0</v>
      </c>
      <c r="AB790" s="199" t="b">
        <f t="shared" si="4"/>
        <v>0</v>
      </c>
      <c r="AC790" s="200">
        <f t="shared" ref="AC790:AD790" si="1099">1-I790</f>
        <v>0</v>
      </c>
      <c r="AD790" s="200">
        <f t="shared" si="1099"/>
        <v>0</v>
      </c>
      <c r="AE790" s="199">
        <f t="shared" si="6"/>
        <v>2</v>
      </c>
      <c r="AF790" s="201">
        <f t="shared" si="1014"/>
        <v>0</v>
      </c>
      <c r="AG790" s="201">
        <f t="shared" si="8"/>
        <v>1</v>
      </c>
      <c r="AH790" s="202">
        <f t="shared" si="1054"/>
        <v>0</v>
      </c>
      <c r="AI790" s="470"/>
      <c r="AJ790" s="173"/>
      <c r="AK790" s="173"/>
      <c r="AL790" s="173"/>
      <c r="AM790" s="173"/>
      <c r="AN790" s="173"/>
      <c r="AO790" s="173"/>
      <c r="AP790" s="173"/>
      <c r="AQ790" s="173"/>
      <c r="AR790" s="173"/>
      <c r="AS790" s="173"/>
      <c r="AT790" s="173"/>
      <c r="AU790" s="173"/>
      <c r="AV790" s="173"/>
    </row>
    <row r="791" spans="1:48" ht="14.25">
      <c r="A791" s="206"/>
      <c r="B791" s="590">
        <v>7</v>
      </c>
      <c r="C791" s="591" t="s">
        <v>1718</v>
      </c>
      <c r="D791" s="590" t="s">
        <v>63</v>
      </c>
      <c r="E791" s="592" t="s">
        <v>73</v>
      </c>
      <c r="F791" s="590" t="s">
        <v>115</v>
      </c>
      <c r="G791" s="592">
        <v>2</v>
      </c>
      <c r="H791" s="590">
        <v>0</v>
      </c>
      <c r="I791" s="593">
        <v>1</v>
      </c>
      <c r="J791" s="593">
        <v>1</v>
      </c>
      <c r="K791" s="590" t="s">
        <v>182</v>
      </c>
      <c r="L791" s="598"/>
      <c r="M791" s="590">
        <v>6</v>
      </c>
      <c r="N791" s="590">
        <v>8</v>
      </c>
      <c r="O791" s="599" t="s">
        <v>192</v>
      </c>
      <c r="P791" s="590" t="s">
        <v>193</v>
      </c>
      <c r="Q791" s="590" t="s">
        <v>148</v>
      </c>
      <c r="R791" s="470"/>
      <c r="S791" s="292">
        <v>2</v>
      </c>
      <c r="T791" s="292">
        <v>9</v>
      </c>
      <c r="U791" s="292">
        <v>10</v>
      </c>
      <c r="V791" s="292">
        <v>3</v>
      </c>
      <c r="W791" s="197">
        <f t="shared" si="1010"/>
        <v>2</v>
      </c>
      <c r="X791" s="197">
        <f t="shared" si="1"/>
        <v>1</v>
      </c>
      <c r="Y791" s="197">
        <f t="shared" si="1052"/>
        <v>0</v>
      </c>
      <c r="Z791" s="197">
        <f t="shared" si="1012"/>
        <v>2</v>
      </c>
      <c r="AA791" s="199" t="b">
        <f t="shared" si="3"/>
        <v>0</v>
      </c>
      <c r="AB791" s="199" t="b">
        <f t="shared" si="4"/>
        <v>0</v>
      </c>
      <c r="AC791" s="200">
        <f t="shared" ref="AC791:AD791" si="1100">1-I791</f>
        <v>0</v>
      </c>
      <c r="AD791" s="200">
        <f t="shared" si="1100"/>
        <v>0</v>
      </c>
      <c r="AE791" s="199">
        <f t="shared" si="6"/>
        <v>2</v>
      </c>
      <c r="AF791" s="201">
        <f t="shared" si="1014"/>
        <v>0</v>
      </c>
      <c r="AG791" s="201">
        <f t="shared" si="8"/>
        <v>1</v>
      </c>
      <c r="AH791" s="202">
        <f t="shared" si="1054"/>
        <v>0</v>
      </c>
      <c r="AI791" s="470"/>
      <c r="AJ791" s="173"/>
      <c r="AK791" s="173"/>
      <c r="AL791" s="173"/>
      <c r="AM791" s="173"/>
      <c r="AN791" s="173"/>
      <c r="AO791" s="173"/>
      <c r="AP791" s="173"/>
      <c r="AQ791" s="173"/>
      <c r="AR791" s="173"/>
      <c r="AS791" s="173"/>
      <c r="AT791" s="173"/>
      <c r="AU791" s="173"/>
      <c r="AV791" s="173"/>
    </row>
    <row r="792" spans="1:48" ht="14.25">
      <c r="A792" s="213"/>
      <c r="B792" s="590">
        <v>7</v>
      </c>
      <c r="C792" s="591" t="s">
        <v>1719</v>
      </c>
      <c r="D792" s="590" t="s">
        <v>63</v>
      </c>
      <c r="E792" s="592" t="s">
        <v>73</v>
      </c>
      <c r="F792" s="590" t="s">
        <v>115</v>
      </c>
      <c r="G792" s="592">
        <v>2</v>
      </c>
      <c r="H792" s="590">
        <v>0</v>
      </c>
      <c r="I792" s="593">
        <v>1</v>
      </c>
      <c r="J792" s="593">
        <v>1</v>
      </c>
      <c r="K792" s="590" t="s">
        <v>182</v>
      </c>
      <c r="L792" s="590" t="s">
        <v>230</v>
      </c>
      <c r="M792" s="590">
        <v>5</v>
      </c>
      <c r="N792" s="590">
        <v>5</v>
      </c>
      <c r="O792" s="599" t="s">
        <v>541</v>
      </c>
      <c r="P792" s="590" t="s">
        <v>542</v>
      </c>
      <c r="Q792" s="590" t="s">
        <v>148</v>
      </c>
      <c r="R792" s="470"/>
      <c r="S792" s="292">
        <v>2</v>
      </c>
      <c r="T792" s="292">
        <v>9</v>
      </c>
      <c r="U792" s="292">
        <v>10</v>
      </c>
      <c r="V792" s="292">
        <v>3</v>
      </c>
      <c r="W792" s="197">
        <f t="shared" si="1010"/>
        <v>2</v>
      </c>
      <c r="X792" s="197">
        <f t="shared" si="1"/>
        <v>1</v>
      </c>
      <c r="Y792" s="197">
        <f t="shared" si="1052"/>
        <v>0</v>
      </c>
      <c r="Z792" s="197">
        <f t="shared" si="1012"/>
        <v>2</v>
      </c>
      <c r="AA792" s="199" t="b">
        <f t="shared" si="3"/>
        <v>0</v>
      </c>
      <c r="AB792" s="199" t="b">
        <f t="shared" si="4"/>
        <v>0</v>
      </c>
      <c r="AC792" s="200">
        <f t="shared" ref="AC792:AD792" si="1101">1-I792</f>
        <v>0</v>
      </c>
      <c r="AD792" s="200">
        <f t="shared" si="1101"/>
        <v>0</v>
      </c>
      <c r="AE792" s="199">
        <f t="shared" si="6"/>
        <v>2</v>
      </c>
      <c r="AF792" s="201">
        <f t="shared" si="1014"/>
        <v>0</v>
      </c>
      <c r="AG792" s="201">
        <f t="shared" si="8"/>
        <v>1</v>
      </c>
      <c r="AH792" s="202">
        <f t="shared" si="1054"/>
        <v>0</v>
      </c>
      <c r="AI792" s="470"/>
      <c r="AJ792" s="173"/>
      <c r="AK792" s="173"/>
      <c r="AL792" s="173"/>
      <c r="AM792" s="173"/>
      <c r="AN792" s="173"/>
      <c r="AO792" s="173"/>
      <c r="AP792" s="173"/>
      <c r="AQ792" s="173"/>
      <c r="AR792" s="173"/>
      <c r="AS792" s="173"/>
      <c r="AT792" s="173"/>
      <c r="AU792" s="173"/>
      <c r="AV792" s="173"/>
    </row>
    <row r="793" spans="1:48" ht="14.25">
      <c r="A793" s="213"/>
      <c r="B793" s="590">
        <v>8</v>
      </c>
      <c r="C793" s="591" t="s">
        <v>1720</v>
      </c>
      <c r="D793" s="590" t="s">
        <v>63</v>
      </c>
      <c r="E793" s="592" t="s">
        <v>73</v>
      </c>
      <c r="F793" s="590" t="s">
        <v>115</v>
      </c>
      <c r="G793" s="592">
        <v>2</v>
      </c>
      <c r="H793" s="590">
        <v>0</v>
      </c>
      <c r="I793" s="593">
        <v>1</v>
      </c>
      <c r="J793" s="593">
        <v>1</v>
      </c>
      <c r="K793" s="590" t="s">
        <v>182</v>
      </c>
      <c r="L793" s="598"/>
      <c r="M793" s="590">
        <v>6</v>
      </c>
      <c r="N793" s="590">
        <v>10</v>
      </c>
      <c r="O793" s="598"/>
      <c r="P793" s="600"/>
      <c r="Q793" s="590" t="s">
        <v>148</v>
      </c>
      <c r="R793" s="470"/>
      <c r="S793" s="292">
        <v>2</v>
      </c>
      <c r="T793" s="292">
        <v>9</v>
      </c>
      <c r="U793" s="292">
        <v>10</v>
      </c>
      <c r="V793" s="292">
        <v>3</v>
      </c>
      <c r="W793" s="197">
        <f t="shared" si="1010"/>
        <v>2</v>
      </c>
      <c r="X793" s="197">
        <f t="shared" si="1"/>
        <v>1</v>
      </c>
      <c r="Y793" s="197">
        <f t="shared" si="1052"/>
        <v>0</v>
      </c>
      <c r="Z793" s="197">
        <f t="shared" si="1012"/>
        <v>2</v>
      </c>
      <c r="AA793" s="199" t="b">
        <f t="shared" si="3"/>
        <v>0</v>
      </c>
      <c r="AB793" s="199" t="b">
        <f t="shared" si="4"/>
        <v>0</v>
      </c>
      <c r="AC793" s="200">
        <f t="shared" ref="AC793:AD793" si="1102">1-I793</f>
        <v>0</v>
      </c>
      <c r="AD793" s="200">
        <f t="shared" si="1102"/>
        <v>0</v>
      </c>
      <c r="AE793" s="199">
        <f t="shared" si="6"/>
        <v>2</v>
      </c>
      <c r="AF793" s="201">
        <f t="shared" si="1014"/>
        <v>0</v>
      </c>
      <c r="AG793" s="201">
        <f t="shared" si="8"/>
        <v>1</v>
      </c>
      <c r="AH793" s="202">
        <f t="shared" si="1054"/>
        <v>0</v>
      </c>
      <c r="AI793" s="470"/>
      <c r="AJ793" s="173"/>
      <c r="AK793" s="173"/>
      <c r="AL793" s="173"/>
      <c r="AM793" s="173"/>
      <c r="AN793" s="173"/>
      <c r="AO793" s="173"/>
      <c r="AP793" s="173"/>
      <c r="AQ793" s="173"/>
      <c r="AR793" s="173"/>
      <c r="AS793" s="173"/>
      <c r="AT793" s="173"/>
      <c r="AU793" s="173"/>
      <c r="AV793" s="173"/>
    </row>
    <row r="794" spans="1:48" ht="14.25">
      <c r="A794" s="213"/>
      <c r="B794" s="590">
        <v>10</v>
      </c>
      <c r="C794" s="591" t="s">
        <v>1721</v>
      </c>
      <c r="D794" s="590" t="s">
        <v>63</v>
      </c>
      <c r="E794" s="592" t="s">
        <v>73</v>
      </c>
      <c r="F794" s="590" t="s">
        <v>115</v>
      </c>
      <c r="G794" s="592">
        <v>2</v>
      </c>
      <c r="H794" s="590">
        <v>0</v>
      </c>
      <c r="I794" s="593">
        <v>1</v>
      </c>
      <c r="J794" s="593">
        <v>1</v>
      </c>
      <c r="K794" s="590" t="s">
        <v>182</v>
      </c>
      <c r="L794" s="598"/>
      <c r="M794" s="590">
        <v>10</v>
      </c>
      <c r="N794" s="590">
        <v>10</v>
      </c>
      <c r="O794" s="598"/>
      <c r="P794" s="600"/>
      <c r="Q794" s="590" t="s">
        <v>148</v>
      </c>
      <c r="R794" s="470"/>
      <c r="S794" s="292">
        <v>2</v>
      </c>
      <c r="T794" s="292">
        <v>9</v>
      </c>
      <c r="U794" s="292">
        <v>10</v>
      </c>
      <c r="V794" s="292">
        <v>3</v>
      </c>
      <c r="W794" s="197">
        <f t="shared" si="1010"/>
        <v>2</v>
      </c>
      <c r="X794" s="197">
        <f t="shared" si="1"/>
        <v>1</v>
      </c>
      <c r="Y794" s="197">
        <f t="shared" si="1052"/>
        <v>0</v>
      </c>
      <c r="Z794" s="197">
        <f t="shared" si="1012"/>
        <v>2</v>
      </c>
      <c r="AA794" s="199" t="b">
        <f t="shared" si="3"/>
        <v>0</v>
      </c>
      <c r="AB794" s="199" t="b">
        <f t="shared" si="4"/>
        <v>0</v>
      </c>
      <c r="AC794" s="200">
        <f t="shared" ref="AC794:AD794" si="1103">1-I794</f>
        <v>0</v>
      </c>
      <c r="AD794" s="200">
        <f t="shared" si="1103"/>
        <v>0</v>
      </c>
      <c r="AE794" s="199">
        <f t="shared" si="6"/>
        <v>2</v>
      </c>
      <c r="AF794" s="201">
        <f t="shared" si="1014"/>
        <v>0</v>
      </c>
      <c r="AG794" s="201">
        <f t="shared" si="8"/>
        <v>1</v>
      </c>
      <c r="AH794" s="202">
        <f t="shared" si="1054"/>
        <v>0</v>
      </c>
      <c r="AI794" s="470"/>
      <c r="AJ794" s="173"/>
      <c r="AK794" s="173"/>
      <c r="AL794" s="173"/>
      <c r="AM794" s="173"/>
      <c r="AN794" s="173"/>
      <c r="AO794" s="173"/>
      <c r="AP794" s="173"/>
      <c r="AQ794" s="173"/>
      <c r="AR794" s="173"/>
      <c r="AS794" s="173"/>
      <c r="AT794" s="173"/>
      <c r="AU794" s="173"/>
      <c r="AV794" s="173"/>
    </row>
    <row r="795" spans="1:48" ht="14.25">
      <c r="A795" s="206"/>
      <c r="B795" s="604">
        <v>0</v>
      </c>
      <c r="C795" s="607" t="s">
        <v>1722</v>
      </c>
      <c r="D795" s="604" t="s">
        <v>69</v>
      </c>
      <c r="E795" s="603" t="s">
        <v>73</v>
      </c>
      <c r="F795" s="604" t="s">
        <v>13</v>
      </c>
      <c r="G795" s="608">
        <v>0</v>
      </c>
      <c r="H795" s="604">
        <v>0</v>
      </c>
      <c r="I795" s="609">
        <v>1</v>
      </c>
      <c r="J795" s="609">
        <v>1</v>
      </c>
      <c r="K795" s="604" t="s">
        <v>146</v>
      </c>
      <c r="L795" s="610"/>
      <c r="M795" s="610"/>
      <c r="N795" s="610"/>
      <c r="O795" s="611" t="s">
        <v>1723</v>
      </c>
      <c r="P795" s="612"/>
      <c r="Q795" s="604" t="s">
        <v>148</v>
      </c>
      <c r="R795" s="470"/>
      <c r="S795" s="292">
        <v>4</v>
      </c>
      <c r="T795" s="292">
        <v>9</v>
      </c>
      <c r="U795" s="292">
        <v>3</v>
      </c>
      <c r="V795" s="292">
        <v>2</v>
      </c>
      <c r="W795" s="197">
        <f t="shared" si="1010"/>
        <v>0</v>
      </c>
      <c r="X795" s="197">
        <f t="shared" si="1"/>
        <v>0</v>
      </c>
      <c r="Y795" s="197">
        <f t="shared" ref="Y795:Y821" si="1104">(MIN(G795,2)+H795-W795)*400</f>
        <v>0</v>
      </c>
      <c r="Z795" s="197">
        <f t="shared" si="1012"/>
        <v>0</v>
      </c>
      <c r="AA795" s="199" t="b">
        <f t="shared" si="3"/>
        <v>1</v>
      </c>
      <c r="AB795" s="199" t="b">
        <f t="shared" si="4"/>
        <v>1</v>
      </c>
      <c r="AC795" s="200">
        <f t="shared" ref="AC795:AD795" si="1105">1-I795</f>
        <v>0</v>
      </c>
      <c r="AD795" s="200">
        <f t="shared" si="1105"/>
        <v>0</v>
      </c>
      <c r="AE795" s="199">
        <f t="shared" si="6"/>
        <v>0</v>
      </c>
      <c r="AF795" s="201">
        <f t="shared" si="1014"/>
        <v>0</v>
      </c>
      <c r="AG795" s="201">
        <f t="shared" si="8"/>
        <v>0</v>
      </c>
      <c r="AH795" s="202">
        <f t="shared" ref="AH795:AH821" si="1106">(MIN(H795,2)+G795-W795)*100</f>
        <v>0</v>
      </c>
      <c r="AI795" s="470"/>
      <c r="AJ795" s="173"/>
      <c r="AK795" s="173"/>
      <c r="AL795" s="173"/>
      <c r="AM795" s="173"/>
      <c r="AN795" s="173"/>
      <c r="AO795" s="173"/>
      <c r="AP795" s="173"/>
      <c r="AQ795" s="173"/>
      <c r="AR795" s="173"/>
      <c r="AS795" s="173"/>
      <c r="AT795" s="173"/>
      <c r="AU795" s="173"/>
      <c r="AV795" s="173"/>
    </row>
    <row r="796" spans="1:48" ht="14.25">
      <c r="A796" s="206"/>
      <c r="B796" s="608">
        <v>0</v>
      </c>
      <c r="C796" s="607" t="s">
        <v>1724</v>
      </c>
      <c r="D796" s="608" t="s">
        <v>69</v>
      </c>
      <c r="E796" s="603" t="s">
        <v>73</v>
      </c>
      <c r="F796" s="608" t="s">
        <v>16</v>
      </c>
      <c r="G796" s="608">
        <v>0</v>
      </c>
      <c r="H796" s="603">
        <v>1</v>
      </c>
      <c r="I796" s="609">
        <v>1</v>
      </c>
      <c r="J796" s="609">
        <v>1</v>
      </c>
      <c r="K796" s="608" t="s">
        <v>146</v>
      </c>
      <c r="L796" s="613"/>
      <c r="M796" s="613"/>
      <c r="N796" s="613"/>
      <c r="O796" s="614" t="s">
        <v>1725</v>
      </c>
      <c r="P796" s="615"/>
      <c r="Q796" s="608" t="s">
        <v>148</v>
      </c>
      <c r="R796" s="470"/>
      <c r="S796" s="292">
        <v>4</v>
      </c>
      <c r="T796" s="292">
        <v>9</v>
      </c>
      <c r="U796" s="292">
        <v>4</v>
      </c>
      <c r="V796" s="292">
        <v>2</v>
      </c>
      <c r="W796" s="197">
        <f t="shared" si="1010"/>
        <v>1</v>
      </c>
      <c r="X796" s="197">
        <f t="shared" si="1"/>
        <v>1</v>
      </c>
      <c r="Y796" s="197">
        <f t="shared" si="1104"/>
        <v>0</v>
      </c>
      <c r="Z796" s="197">
        <f t="shared" si="1012"/>
        <v>1</v>
      </c>
      <c r="AA796" s="199" t="b">
        <f t="shared" si="3"/>
        <v>0</v>
      </c>
      <c r="AB796" s="199" t="b">
        <f t="shared" si="4"/>
        <v>1</v>
      </c>
      <c r="AC796" s="200">
        <f t="shared" ref="AC796:AD796" si="1107">1-I796</f>
        <v>0</v>
      </c>
      <c r="AD796" s="200">
        <f t="shared" si="1107"/>
        <v>0</v>
      </c>
      <c r="AE796" s="199">
        <f t="shared" si="6"/>
        <v>1</v>
      </c>
      <c r="AF796" s="201">
        <f t="shared" si="1014"/>
        <v>1</v>
      </c>
      <c r="AG796" s="201">
        <f t="shared" si="8"/>
        <v>1</v>
      </c>
      <c r="AH796" s="202">
        <f t="shared" si="1106"/>
        <v>0</v>
      </c>
      <c r="AI796" s="470"/>
      <c r="AJ796" s="173"/>
      <c r="AK796" s="173"/>
      <c r="AL796" s="173"/>
      <c r="AM796" s="173"/>
      <c r="AN796" s="173"/>
      <c r="AO796" s="173"/>
      <c r="AP796" s="173"/>
      <c r="AQ796" s="173"/>
      <c r="AR796" s="173"/>
      <c r="AS796" s="173"/>
      <c r="AT796" s="173"/>
      <c r="AU796" s="173"/>
      <c r="AV796" s="173"/>
    </row>
    <row r="797" spans="1:48" ht="14.25">
      <c r="A797" s="213"/>
      <c r="B797" s="616">
        <v>0</v>
      </c>
      <c r="C797" s="617" t="s">
        <v>1726</v>
      </c>
      <c r="D797" s="616" t="s">
        <v>69</v>
      </c>
      <c r="E797" s="603" t="s">
        <v>73</v>
      </c>
      <c r="F797" s="616" t="s">
        <v>18</v>
      </c>
      <c r="G797" s="608">
        <v>0</v>
      </c>
      <c r="H797" s="618">
        <v>0</v>
      </c>
      <c r="I797" s="609">
        <v>1</v>
      </c>
      <c r="J797" s="609">
        <v>1</v>
      </c>
      <c r="K797" s="616" t="s">
        <v>146</v>
      </c>
      <c r="L797" s="610"/>
      <c r="M797" s="610"/>
      <c r="N797" s="610"/>
      <c r="O797" s="619" t="s">
        <v>1727</v>
      </c>
      <c r="P797" s="612"/>
      <c r="Q797" s="604" t="s">
        <v>148</v>
      </c>
      <c r="R797" s="470"/>
      <c r="S797" s="292">
        <v>4</v>
      </c>
      <c r="T797" s="292">
        <v>9</v>
      </c>
      <c r="U797" s="292">
        <v>5</v>
      </c>
      <c r="V797" s="292">
        <v>2</v>
      </c>
      <c r="W797" s="197">
        <f t="shared" si="1010"/>
        <v>0</v>
      </c>
      <c r="X797" s="197">
        <f t="shared" si="1"/>
        <v>0</v>
      </c>
      <c r="Y797" s="197">
        <f t="shared" si="1104"/>
        <v>0</v>
      </c>
      <c r="Z797" s="197">
        <f t="shared" si="1012"/>
        <v>0</v>
      </c>
      <c r="AA797" s="199" t="b">
        <f t="shared" si="3"/>
        <v>1</v>
      </c>
      <c r="AB797" s="199" t="b">
        <f t="shared" si="4"/>
        <v>1</v>
      </c>
      <c r="AC797" s="200">
        <f t="shared" ref="AC797:AD797" si="1108">1-I797</f>
        <v>0</v>
      </c>
      <c r="AD797" s="200">
        <f t="shared" si="1108"/>
        <v>0</v>
      </c>
      <c r="AE797" s="199">
        <f t="shared" si="6"/>
        <v>0</v>
      </c>
      <c r="AF797" s="201">
        <f t="shared" si="1014"/>
        <v>0</v>
      </c>
      <c r="AG797" s="201">
        <f t="shared" si="8"/>
        <v>0</v>
      </c>
      <c r="AH797" s="202">
        <f t="shared" si="1106"/>
        <v>0</v>
      </c>
      <c r="AI797" s="470"/>
      <c r="AJ797" s="173"/>
      <c r="AK797" s="173"/>
      <c r="AL797" s="173"/>
      <c r="AM797" s="173"/>
      <c r="AN797" s="173"/>
      <c r="AO797" s="173"/>
      <c r="AP797" s="173"/>
      <c r="AQ797" s="173"/>
      <c r="AR797" s="173"/>
      <c r="AS797" s="173"/>
      <c r="AT797" s="173"/>
      <c r="AU797" s="173"/>
      <c r="AV797" s="173"/>
    </row>
    <row r="798" spans="1:48" ht="14.25">
      <c r="A798" s="213"/>
      <c r="B798" s="608">
        <v>1</v>
      </c>
      <c r="C798" s="607" t="s">
        <v>1728</v>
      </c>
      <c r="D798" s="608" t="s">
        <v>69</v>
      </c>
      <c r="E798" s="603" t="s">
        <v>73</v>
      </c>
      <c r="F798" s="608" t="s">
        <v>8</v>
      </c>
      <c r="G798" s="608">
        <v>0</v>
      </c>
      <c r="H798" s="608">
        <v>0</v>
      </c>
      <c r="I798" s="609">
        <v>1</v>
      </c>
      <c r="J798" s="609">
        <v>1</v>
      </c>
      <c r="K798" s="608" t="s">
        <v>182</v>
      </c>
      <c r="L798" s="613"/>
      <c r="M798" s="608">
        <v>1</v>
      </c>
      <c r="N798" s="608">
        <v>1</v>
      </c>
      <c r="O798" s="614" t="s">
        <v>1729</v>
      </c>
      <c r="P798" s="608" t="s">
        <v>184</v>
      </c>
      <c r="Q798" s="608" t="s">
        <v>148</v>
      </c>
      <c r="R798" s="470"/>
      <c r="S798" s="292">
        <v>4</v>
      </c>
      <c r="T798" s="292">
        <v>9</v>
      </c>
      <c r="U798" s="292">
        <v>1</v>
      </c>
      <c r="V798" s="292">
        <v>3</v>
      </c>
      <c r="W798" s="197">
        <f t="shared" si="1010"/>
        <v>0</v>
      </c>
      <c r="X798" s="197">
        <f t="shared" si="1"/>
        <v>0</v>
      </c>
      <c r="Y798" s="197">
        <f t="shared" si="1104"/>
        <v>0</v>
      </c>
      <c r="Z798" s="197">
        <f t="shared" si="1012"/>
        <v>0</v>
      </c>
      <c r="AA798" s="199" t="b">
        <f t="shared" si="3"/>
        <v>1</v>
      </c>
      <c r="AB798" s="199" t="b">
        <f t="shared" si="4"/>
        <v>1</v>
      </c>
      <c r="AC798" s="200">
        <f t="shared" ref="AC798:AD798" si="1109">1-I798</f>
        <v>0</v>
      </c>
      <c r="AD798" s="200">
        <f t="shared" si="1109"/>
        <v>0</v>
      </c>
      <c r="AE798" s="199">
        <f t="shared" si="6"/>
        <v>0</v>
      </c>
      <c r="AF798" s="201">
        <f t="shared" si="1014"/>
        <v>0</v>
      </c>
      <c r="AG798" s="201">
        <f t="shared" si="8"/>
        <v>0</v>
      </c>
      <c r="AH798" s="202">
        <f t="shared" si="1106"/>
        <v>0</v>
      </c>
      <c r="AI798" s="470"/>
      <c r="AJ798" s="173"/>
      <c r="AK798" s="173"/>
      <c r="AL798" s="173"/>
      <c r="AM798" s="173"/>
      <c r="AN798" s="173"/>
      <c r="AO798" s="173"/>
      <c r="AP798" s="173"/>
      <c r="AQ798" s="173"/>
      <c r="AR798" s="173"/>
      <c r="AS798" s="173"/>
      <c r="AT798" s="173"/>
      <c r="AU798" s="173"/>
      <c r="AV798" s="173"/>
    </row>
    <row r="799" spans="1:48" ht="14.25">
      <c r="A799" s="206"/>
      <c r="B799" s="604">
        <v>1</v>
      </c>
      <c r="C799" s="607" t="s">
        <v>1730</v>
      </c>
      <c r="D799" s="604" t="s">
        <v>69</v>
      </c>
      <c r="E799" s="603" t="s">
        <v>73</v>
      </c>
      <c r="F799" s="604" t="s">
        <v>16</v>
      </c>
      <c r="G799" s="608">
        <v>0</v>
      </c>
      <c r="H799" s="604">
        <v>0</v>
      </c>
      <c r="I799" s="609">
        <v>1</v>
      </c>
      <c r="J799" s="609">
        <v>1</v>
      </c>
      <c r="K799" s="604" t="s">
        <v>182</v>
      </c>
      <c r="L799" s="604" t="s">
        <v>195</v>
      </c>
      <c r="M799" s="604">
        <v>1</v>
      </c>
      <c r="N799" s="604">
        <v>3</v>
      </c>
      <c r="O799" s="611" t="s">
        <v>1731</v>
      </c>
      <c r="P799" s="604" t="s">
        <v>184</v>
      </c>
      <c r="Q799" s="604" t="s">
        <v>148</v>
      </c>
      <c r="R799" s="470"/>
      <c r="S799" s="292">
        <v>4</v>
      </c>
      <c r="T799" s="292">
        <v>9</v>
      </c>
      <c r="U799" s="292">
        <v>4</v>
      </c>
      <c r="V799" s="292">
        <v>3</v>
      </c>
      <c r="W799" s="197">
        <f t="shared" si="1010"/>
        <v>0</v>
      </c>
      <c r="X799" s="197">
        <f t="shared" si="1"/>
        <v>0</v>
      </c>
      <c r="Y799" s="197">
        <f t="shared" si="1104"/>
        <v>0</v>
      </c>
      <c r="Z799" s="197">
        <f t="shared" si="1012"/>
        <v>0</v>
      </c>
      <c r="AA799" s="199" t="b">
        <f t="shared" si="3"/>
        <v>1</v>
      </c>
      <c r="AB799" s="199" t="b">
        <f t="shared" si="4"/>
        <v>1</v>
      </c>
      <c r="AC799" s="200">
        <f t="shared" ref="AC799:AD799" si="1110">1-I799</f>
        <v>0</v>
      </c>
      <c r="AD799" s="200">
        <f t="shared" si="1110"/>
        <v>0</v>
      </c>
      <c r="AE799" s="199">
        <f t="shared" si="6"/>
        <v>0</v>
      </c>
      <c r="AF799" s="201">
        <f t="shared" si="1014"/>
        <v>0</v>
      </c>
      <c r="AG799" s="201">
        <f t="shared" si="8"/>
        <v>0</v>
      </c>
      <c r="AH799" s="202">
        <f t="shared" si="1106"/>
        <v>0</v>
      </c>
      <c r="AI799" s="470"/>
      <c r="AJ799" s="173"/>
      <c r="AK799" s="173"/>
      <c r="AL799" s="173"/>
      <c r="AM799" s="173"/>
      <c r="AN799" s="173"/>
      <c r="AO799" s="173"/>
      <c r="AP799" s="173"/>
      <c r="AQ799" s="173"/>
      <c r="AR799" s="173"/>
      <c r="AS799" s="173"/>
      <c r="AT799" s="173"/>
      <c r="AU799" s="173"/>
      <c r="AV799" s="173"/>
    </row>
    <row r="800" spans="1:48" ht="14.25">
      <c r="A800" s="206"/>
      <c r="B800" s="604">
        <v>2</v>
      </c>
      <c r="C800" s="607" t="s">
        <v>1732</v>
      </c>
      <c r="D800" s="604" t="s">
        <v>69</v>
      </c>
      <c r="E800" s="603" t="s">
        <v>73</v>
      </c>
      <c r="F800" s="604" t="s">
        <v>18</v>
      </c>
      <c r="G800" s="603">
        <v>1</v>
      </c>
      <c r="H800" s="604">
        <v>0</v>
      </c>
      <c r="I800" s="609">
        <v>1</v>
      </c>
      <c r="J800" s="609">
        <v>1</v>
      </c>
      <c r="K800" s="604" t="s">
        <v>146</v>
      </c>
      <c r="L800" s="610"/>
      <c r="M800" s="610"/>
      <c r="N800" s="610"/>
      <c r="O800" s="614" t="s">
        <v>1733</v>
      </c>
      <c r="P800" s="615"/>
      <c r="Q800" s="604" t="s">
        <v>148</v>
      </c>
      <c r="R800" s="470"/>
      <c r="S800" s="292">
        <v>4</v>
      </c>
      <c r="T800" s="292">
        <v>9</v>
      </c>
      <c r="U800" s="292">
        <v>5</v>
      </c>
      <c r="V800" s="292">
        <v>2</v>
      </c>
      <c r="W800" s="197">
        <f t="shared" si="1010"/>
        <v>1</v>
      </c>
      <c r="X800" s="197">
        <f t="shared" si="1"/>
        <v>1</v>
      </c>
      <c r="Y800" s="197">
        <f t="shared" si="1104"/>
        <v>0</v>
      </c>
      <c r="Z800" s="197">
        <f t="shared" si="1012"/>
        <v>1</v>
      </c>
      <c r="AA800" s="199" t="b">
        <f t="shared" si="3"/>
        <v>0</v>
      </c>
      <c r="AB800" s="199" t="b">
        <f t="shared" si="4"/>
        <v>1</v>
      </c>
      <c r="AC800" s="200">
        <f t="shared" ref="AC800:AD800" si="1111">1-I800</f>
        <v>0</v>
      </c>
      <c r="AD800" s="200">
        <f t="shared" si="1111"/>
        <v>0</v>
      </c>
      <c r="AE800" s="199">
        <f t="shared" si="6"/>
        <v>1</v>
      </c>
      <c r="AF800" s="201">
        <f t="shared" si="1014"/>
        <v>0</v>
      </c>
      <c r="AG800" s="201">
        <f t="shared" si="8"/>
        <v>1</v>
      </c>
      <c r="AH800" s="202">
        <f t="shared" si="1106"/>
        <v>0</v>
      </c>
      <c r="AI800" s="470"/>
      <c r="AJ800" s="173"/>
      <c r="AK800" s="173"/>
      <c r="AL800" s="173"/>
      <c r="AM800" s="173"/>
      <c r="AN800" s="173"/>
      <c r="AO800" s="173"/>
      <c r="AP800" s="173"/>
      <c r="AQ800" s="173"/>
      <c r="AR800" s="173"/>
      <c r="AS800" s="173"/>
      <c r="AT800" s="173"/>
      <c r="AU800" s="173"/>
      <c r="AV800" s="173"/>
    </row>
    <row r="801" spans="1:48" ht="14.25">
      <c r="A801" s="597"/>
      <c r="B801" s="604">
        <v>2</v>
      </c>
      <c r="C801" s="607" t="s">
        <v>1734</v>
      </c>
      <c r="D801" s="604" t="s">
        <v>69</v>
      </c>
      <c r="E801" s="603" t="s">
        <v>73</v>
      </c>
      <c r="F801" s="604" t="s">
        <v>21</v>
      </c>
      <c r="G801" s="603">
        <v>2</v>
      </c>
      <c r="H801" s="604">
        <v>0</v>
      </c>
      <c r="I801" s="609">
        <v>1</v>
      </c>
      <c r="J801" s="609">
        <v>1</v>
      </c>
      <c r="K801" s="604" t="s">
        <v>182</v>
      </c>
      <c r="L801" s="610"/>
      <c r="M801" s="604">
        <v>3</v>
      </c>
      <c r="N801" s="604">
        <v>2</v>
      </c>
      <c r="O801" s="611" t="s">
        <v>1735</v>
      </c>
      <c r="P801" s="604" t="s">
        <v>184</v>
      </c>
      <c r="Q801" s="604" t="s">
        <v>148</v>
      </c>
      <c r="R801" s="470"/>
      <c r="S801" s="292">
        <v>4</v>
      </c>
      <c r="T801" s="292">
        <v>9</v>
      </c>
      <c r="U801" s="292">
        <v>7</v>
      </c>
      <c r="V801" s="292">
        <v>3</v>
      </c>
      <c r="W801" s="197">
        <f t="shared" si="1010"/>
        <v>2</v>
      </c>
      <c r="X801" s="197">
        <f t="shared" si="1"/>
        <v>1</v>
      </c>
      <c r="Y801" s="197">
        <f t="shared" si="1104"/>
        <v>0</v>
      </c>
      <c r="Z801" s="197">
        <f t="shared" si="1012"/>
        <v>2</v>
      </c>
      <c r="AA801" s="199" t="b">
        <f t="shared" si="3"/>
        <v>0</v>
      </c>
      <c r="AB801" s="199" t="b">
        <f t="shared" si="4"/>
        <v>0</v>
      </c>
      <c r="AC801" s="200">
        <f t="shared" ref="AC801:AD801" si="1112">1-I801</f>
        <v>0</v>
      </c>
      <c r="AD801" s="200">
        <f t="shared" si="1112"/>
        <v>0</v>
      </c>
      <c r="AE801" s="199">
        <f t="shared" si="6"/>
        <v>2</v>
      </c>
      <c r="AF801" s="201">
        <f t="shared" si="1014"/>
        <v>0</v>
      </c>
      <c r="AG801" s="201">
        <f t="shared" si="8"/>
        <v>1</v>
      </c>
      <c r="AH801" s="202">
        <f t="shared" si="1106"/>
        <v>0</v>
      </c>
      <c r="AI801" s="470"/>
      <c r="AJ801" s="173"/>
      <c r="AK801" s="173"/>
      <c r="AL801" s="173"/>
      <c r="AM801" s="173"/>
      <c r="AN801" s="173"/>
      <c r="AO801" s="173"/>
      <c r="AP801" s="173"/>
      <c r="AQ801" s="173"/>
      <c r="AR801" s="173"/>
      <c r="AS801" s="173"/>
      <c r="AT801" s="173"/>
      <c r="AU801" s="173"/>
      <c r="AV801" s="173"/>
    </row>
    <row r="802" spans="1:48" ht="14.25">
      <c r="A802" s="597"/>
      <c r="B802" s="604">
        <v>2</v>
      </c>
      <c r="C802" s="607" t="s">
        <v>1736</v>
      </c>
      <c r="D802" s="604" t="s">
        <v>69</v>
      </c>
      <c r="E802" s="603" t="s">
        <v>73</v>
      </c>
      <c r="F802" s="604" t="s">
        <v>25</v>
      </c>
      <c r="G802" s="603">
        <v>1</v>
      </c>
      <c r="H802" s="604">
        <v>0</v>
      </c>
      <c r="I802" s="609">
        <v>1</v>
      </c>
      <c r="J802" s="609">
        <v>1</v>
      </c>
      <c r="K802" s="604" t="s">
        <v>146</v>
      </c>
      <c r="L802" s="610"/>
      <c r="M802" s="610"/>
      <c r="N802" s="610"/>
      <c r="O802" s="611" t="s">
        <v>1737</v>
      </c>
      <c r="P802" s="612"/>
      <c r="Q802" s="604" t="s">
        <v>148</v>
      </c>
      <c r="R802" s="470"/>
      <c r="S802" s="292">
        <v>4</v>
      </c>
      <c r="T802" s="292">
        <v>9</v>
      </c>
      <c r="U802" s="292">
        <v>8</v>
      </c>
      <c r="V802" s="292">
        <v>2</v>
      </c>
      <c r="W802" s="197">
        <f t="shared" si="1010"/>
        <v>1</v>
      </c>
      <c r="X802" s="197">
        <f t="shared" si="1"/>
        <v>1</v>
      </c>
      <c r="Y802" s="197">
        <f t="shared" si="1104"/>
        <v>0</v>
      </c>
      <c r="Z802" s="197">
        <f t="shared" si="1012"/>
        <v>1</v>
      </c>
      <c r="AA802" s="199" t="b">
        <f t="shared" si="3"/>
        <v>0</v>
      </c>
      <c r="AB802" s="199" t="b">
        <f t="shared" si="4"/>
        <v>1</v>
      </c>
      <c r="AC802" s="200">
        <f t="shared" ref="AC802:AD802" si="1113">1-I802</f>
        <v>0</v>
      </c>
      <c r="AD802" s="200">
        <f t="shared" si="1113"/>
        <v>0</v>
      </c>
      <c r="AE802" s="199">
        <f t="shared" si="6"/>
        <v>1</v>
      </c>
      <c r="AF802" s="201">
        <f t="shared" si="1014"/>
        <v>0</v>
      </c>
      <c r="AG802" s="201">
        <f t="shared" si="8"/>
        <v>1</v>
      </c>
      <c r="AH802" s="202">
        <f t="shared" si="1106"/>
        <v>0</v>
      </c>
      <c r="AI802" s="470"/>
      <c r="AJ802" s="173"/>
      <c r="AK802" s="173"/>
      <c r="AL802" s="173"/>
      <c r="AM802" s="173"/>
      <c r="AN802" s="173"/>
      <c r="AO802" s="173"/>
      <c r="AP802" s="173"/>
      <c r="AQ802" s="173"/>
      <c r="AR802" s="173"/>
      <c r="AS802" s="173"/>
      <c r="AT802" s="173"/>
      <c r="AU802" s="173"/>
      <c r="AV802" s="173"/>
    </row>
    <row r="803" spans="1:48" ht="14.25">
      <c r="A803" s="597"/>
      <c r="B803" s="604">
        <v>3</v>
      </c>
      <c r="C803" s="607" t="s">
        <v>1738</v>
      </c>
      <c r="D803" s="604" t="s">
        <v>69</v>
      </c>
      <c r="E803" s="603" t="s">
        <v>73</v>
      </c>
      <c r="F803" s="604" t="s">
        <v>26</v>
      </c>
      <c r="G803" s="603">
        <v>1</v>
      </c>
      <c r="H803" s="604">
        <v>0</v>
      </c>
      <c r="I803" s="609">
        <v>1</v>
      </c>
      <c r="J803" s="609">
        <v>1</v>
      </c>
      <c r="K803" s="608" t="s">
        <v>146</v>
      </c>
      <c r="L803" s="610"/>
      <c r="M803" s="613"/>
      <c r="N803" s="613"/>
      <c r="O803" s="611" t="s">
        <v>1739</v>
      </c>
      <c r="P803" s="612"/>
      <c r="Q803" s="604" t="s">
        <v>148</v>
      </c>
      <c r="R803" s="470"/>
      <c r="S803" s="292">
        <v>4</v>
      </c>
      <c r="T803" s="292">
        <v>9</v>
      </c>
      <c r="U803" s="292">
        <v>9</v>
      </c>
      <c r="V803" s="292">
        <v>2</v>
      </c>
      <c r="W803" s="197">
        <f t="shared" si="1010"/>
        <v>1</v>
      </c>
      <c r="X803" s="197">
        <f t="shared" si="1"/>
        <v>1</v>
      </c>
      <c r="Y803" s="197">
        <f t="shared" si="1104"/>
        <v>0</v>
      </c>
      <c r="Z803" s="197">
        <f t="shared" si="1012"/>
        <v>1</v>
      </c>
      <c r="AA803" s="199" t="b">
        <f t="shared" si="3"/>
        <v>0</v>
      </c>
      <c r="AB803" s="199" t="b">
        <f t="shared" si="4"/>
        <v>1</v>
      </c>
      <c r="AC803" s="200">
        <f t="shared" ref="AC803:AD803" si="1114">1-I803</f>
        <v>0</v>
      </c>
      <c r="AD803" s="200">
        <f t="shared" si="1114"/>
        <v>0</v>
      </c>
      <c r="AE803" s="199">
        <f t="shared" si="6"/>
        <v>1</v>
      </c>
      <c r="AF803" s="201">
        <f t="shared" si="1014"/>
        <v>0</v>
      </c>
      <c r="AG803" s="201">
        <f t="shared" si="8"/>
        <v>1</v>
      </c>
      <c r="AH803" s="202">
        <f t="shared" si="1106"/>
        <v>0</v>
      </c>
      <c r="AI803" s="470"/>
      <c r="AJ803" s="173"/>
      <c r="AK803" s="173"/>
      <c r="AL803" s="173"/>
      <c r="AM803" s="173"/>
      <c r="AN803" s="173"/>
      <c r="AO803" s="173"/>
      <c r="AP803" s="173"/>
      <c r="AQ803" s="173"/>
      <c r="AR803" s="173"/>
      <c r="AS803" s="173"/>
      <c r="AT803" s="173"/>
      <c r="AU803" s="173"/>
      <c r="AV803" s="173"/>
    </row>
    <row r="804" spans="1:48" ht="14.25">
      <c r="A804" s="213"/>
      <c r="B804" s="604">
        <v>4</v>
      </c>
      <c r="C804" s="607" t="s">
        <v>1740</v>
      </c>
      <c r="D804" s="604" t="s">
        <v>69</v>
      </c>
      <c r="E804" s="603" t="s">
        <v>73</v>
      </c>
      <c r="F804" s="604" t="s">
        <v>115</v>
      </c>
      <c r="G804" s="603">
        <v>2</v>
      </c>
      <c r="H804" s="604">
        <v>0</v>
      </c>
      <c r="I804" s="609">
        <v>1</v>
      </c>
      <c r="J804" s="609">
        <v>1</v>
      </c>
      <c r="K804" s="604" t="s">
        <v>182</v>
      </c>
      <c r="L804" s="610"/>
      <c r="M804" s="604">
        <v>3</v>
      </c>
      <c r="N804" s="604">
        <v>3</v>
      </c>
      <c r="O804" s="611" t="s">
        <v>1741</v>
      </c>
      <c r="P804" s="604" t="s">
        <v>1662</v>
      </c>
      <c r="Q804" s="604" t="s">
        <v>148</v>
      </c>
      <c r="R804" s="470"/>
      <c r="S804" s="292">
        <v>4</v>
      </c>
      <c r="T804" s="292">
        <v>9</v>
      </c>
      <c r="U804" s="292">
        <v>10</v>
      </c>
      <c r="V804" s="292">
        <v>3</v>
      </c>
      <c r="W804" s="197">
        <f t="shared" si="1010"/>
        <v>2</v>
      </c>
      <c r="X804" s="197">
        <f t="shared" si="1"/>
        <v>1</v>
      </c>
      <c r="Y804" s="197">
        <f t="shared" si="1104"/>
        <v>0</v>
      </c>
      <c r="Z804" s="197">
        <f t="shared" si="1012"/>
        <v>2</v>
      </c>
      <c r="AA804" s="199" t="b">
        <f t="shared" si="3"/>
        <v>0</v>
      </c>
      <c r="AB804" s="199" t="b">
        <f t="shared" si="4"/>
        <v>0</v>
      </c>
      <c r="AC804" s="200">
        <f t="shared" ref="AC804:AD804" si="1115">1-I804</f>
        <v>0</v>
      </c>
      <c r="AD804" s="200">
        <f t="shared" si="1115"/>
        <v>0</v>
      </c>
      <c r="AE804" s="199">
        <f t="shared" si="6"/>
        <v>2</v>
      </c>
      <c r="AF804" s="201">
        <f t="shared" si="1014"/>
        <v>0</v>
      </c>
      <c r="AG804" s="201">
        <f t="shared" si="8"/>
        <v>1</v>
      </c>
      <c r="AH804" s="202">
        <f t="shared" si="1106"/>
        <v>0</v>
      </c>
      <c r="AI804" s="470"/>
      <c r="AJ804" s="173"/>
      <c r="AK804" s="173"/>
      <c r="AL804" s="173"/>
      <c r="AM804" s="173"/>
      <c r="AN804" s="173"/>
      <c r="AO804" s="173"/>
      <c r="AP804" s="173"/>
      <c r="AQ804" s="173"/>
      <c r="AR804" s="173"/>
      <c r="AS804" s="173"/>
      <c r="AT804" s="173"/>
      <c r="AU804" s="173"/>
      <c r="AV804" s="173"/>
    </row>
    <row r="805" spans="1:48" ht="14.25">
      <c r="A805" s="206"/>
      <c r="B805" s="604">
        <v>4</v>
      </c>
      <c r="C805" s="607" t="s">
        <v>1742</v>
      </c>
      <c r="D805" s="604" t="s">
        <v>69</v>
      </c>
      <c r="E805" s="603" t="s">
        <v>73</v>
      </c>
      <c r="F805" s="604" t="s">
        <v>115</v>
      </c>
      <c r="G805" s="608">
        <v>0</v>
      </c>
      <c r="H805" s="604">
        <v>0</v>
      </c>
      <c r="I805" s="609">
        <v>1</v>
      </c>
      <c r="J805" s="609">
        <v>1</v>
      </c>
      <c r="K805" s="604" t="s">
        <v>182</v>
      </c>
      <c r="L805" s="610"/>
      <c r="M805" s="604">
        <v>1</v>
      </c>
      <c r="N805" s="604">
        <v>1</v>
      </c>
      <c r="O805" s="611" t="s">
        <v>1743</v>
      </c>
      <c r="P805" s="604" t="s">
        <v>1662</v>
      </c>
      <c r="Q805" s="604" t="s">
        <v>148</v>
      </c>
      <c r="R805" s="470"/>
      <c r="S805" s="292">
        <v>4</v>
      </c>
      <c r="T805" s="292">
        <v>9</v>
      </c>
      <c r="U805" s="292">
        <v>10</v>
      </c>
      <c r="V805" s="292">
        <v>3</v>
      </c>
      <c r="W805" s="197">
        <f t="shared" si="1010"/>
        <v>0</v>
      </c>
      <c r="X805" s="197">
        <f t="shared" si="1"/>
        <v>0</v>
      </c>
      <c r="Y805" s="197">
        <f t="shared" si="1104"/>
        <v>0</v>
      </c>
      <c r="Z805" s="197">
        <f t="shared" si="1012"/>
        <v>0</v>
      </c>
      <c r="AA805" s="199" t="b">
        <f t="shared" si="3"/>
        <v>1</v>
      </c>
      <c r="AB805" s="199" t="b">
        <f t="shared" si="4"/>
        <v>1</v>
      </c>
      <c r="AC805" s="200">
        <f t="shared" ref="AC805:AD805" si="1116">1-I805</f>
        <v>0</v>
      </c>
      <c r="AD805" s="200">
        <f t="shared" si="1116"/>
        <v>0</v>
      </c>
      <c r="AE805" s="199">
        <f t="shared" si="6"/>
        <v>0</v>
      </c>
      <c r="AF805" s="201">
        <f t="shared" si="1014"/>
        <v>0</v>
      </c>
      <c r="AG805" s="201">
        <f t="shared" si="8"/>
        <v>0</v>
      </c>
      <c r="AH805" s="202">
        <f t="shared" si="1106"/>
        <v>0</v>
      </c>
      <c r="AI805" s="470"/>
      <c r="AJ805" s="173"/>
      <c r="AK805" s="173"/>
      <c r="AL805" s="173"/>
      <c r="AM805" s="173"/>
      <c r="AN805" s="173"/>
      <c r="AO805" s="173"/>
      <c r="AP805" s="173"/>
      <c r="AQ805" s="173"/>
      <c r="AR805" s="173"/>
      <c r="AS805" s="173"/>
      <c r="AT805" s="173"/>
      <c r="AU805" s="173"/>
      <c r="AV805" s="173"/>
    </row>
    <row r="806" spans="1:48" ht="14.25">
      <c r="A806" s="206"/>
      <c r="B806" s="604">
        <v>4</v>
      </c>
      <c r="C806" s="607" t="s">
        <v>1744</v>
      </c>
      <c r="D806" s="604" t="s">
        <v>69</v>
      </c>
      <c r="E806" s="603" t="s">
        <v>73</v>
      </c>
      <c r="F806" s="604" t="s">
        <v>115</v>
      </c>
      <c r="G806" s="608">
        <v>0</v>
      </c>
      <c r="H806" s="604">
        <v>0</v>
      </c>
      <c r="I806" s="609">
        <v>1</v>
      </c>
      <c r="J806" s="609">
        <v>1</v>
      </c>
      <c r="K806" s="604" t="s">
        <v>182</v>
      </c>
      <c r="L806" s="610"/>
      <c r="M806" s="604">
        <v>1</v>
      </c>
      <c r="N806" s="604">
        <v>1</v>
      </c>
      <c r="O806" s="611" t="s">
        <v>1745</v>
      </c>
      <c r="P806" s="604" t="s">
        <v>1348</v>
      </c>
      <c r="Q806" s="604" t="s">
        <v>148</v>
      </c>
      <c r="R806" s="470"/>
      <c r="S806" s="292">
        <v>4</v>
      </c>
      <c r="T806" s="292">
        <v>9</v>
      </c>
      <c r="U806" s="292">
        <v>10</v>
      </c>
      <c r="V806" s="292">
        <v>3</v>
      </c>
      <c r="W806" s="197">
        <f t="shared" si="1010"/>
        <v>0</v>
      </c>
      <c r="X806" s="197">
        <f t="shared" si="1"/>
        <v>0</v>
      </c>
      <c r="Y806" s="197">
        <f t="shared" si="1104"/>
        <v>0</v>
      </c>
      <c r="Z806" s="197">
        <f t="shared" si="1012"/>
        <v>0</v>
      </c>
      <c r="AA806" s="199" t="b">
        <f t="shared" si="3"/>
        <v>1</v>
      </c>
      <c r="AB806" s="199" t="b">
        <f t="shared" si="4"/>
        <v>1</v>
      </c>
      <c r="AC806" s="200">
        <f t="shared" ref="AC806:AD806" si="1117">1-I806</f>
        <v>0</v>
      </c>
      <c r="AD806" s="200">
        <f t="shared" si="1117"/>
        <v>0</v>
      </c>
      <c r="AE806" s="199">
        <f t="shared" si="6"/>
        <v>0</v>
      </c>
      <c r="AF806" s="201">
        <f t="shared" si="1014"/>
        <v>0</v>
      </c>
      <c r="AG806" s="201">
        <f t="shared" si="8"/>
        <v>0</v>
      </c>
      <c r="AH806" s="202">
        <f t="shared" si="1106"/>
        <v>0</v>
      </c>
      <c r="AI806" s="470"/>
      <c r="AJ806" s="173"/>
      <c r="AK806" s="173"/>
      <c r="AL806" s="173"/>
      <c r="AM806" s="173"/>
      <c r="AN806" s="173"/>
      <c r="AO806" s="173"/>
      <c r="AP806" s="173"/>
      <c r="AQ806" s="173"/>
      <c r="AR806" s="173"/>
      <c r="AS806" s="173"/>
      <c r="AT806" s="173"/>
      <c r="AU806" s="173"/>
      <c r="AV806" s="173"/>
    </row>
    <row r="807" spans="1:48" ht="14.25">
      <c r="A807" s="206"/>
      <c r="B807" s="608">
        <v>5</v>
      </c>
      <c r="C807" s="607" t="s">
        <v>1746</v>
      </c>
      <c r="D807" s="608" t="s">
        <v>69</v>
      </c>
      <c r="E807" s="603" t="s">
        <v>73</v>
      </c>
      <c r="F807" s="608" t="s">
        <v>13</v>
      </c>
      <c r="G807" s="608">
        <v>0</v>
      </c>
      <c r="H807" s="608">
        <v>0</v>
      </c>
      <c r="I807" s="609">
        <v>1</v>
      </c>
      <c r="J807" s="609">
        <v>1</v>
      </c>
      <c r="K807" s="608" t="s">
        <v>146</v>
      </c>
      <c r="L807" s="613"/>
      <c r="M807" s="613"/>
      <c r="N807" s="613"/>
      <c r="O807" s="614" t="s">
        <v>1747</v>
      </c>
      <c r="P807" s="615"/>
      <c r="Q807" s="608" t="s">
        <v>148</v>
      </c>
      <c r="R807" s="470"/>
      <c r="S807" s="292">
        <v>4</v>
      </c>
      <c r="T807" s="292">
        <v>9</v>
      </c>
      <c r="U807" s="292">
        <v>3</v>
      </c>
      <c r="V807" s="292">
        <v>2</v>
      </c>
      <c r="W807" s="197">
        <f t="shared" si="1010"/>
        <v>0</v>
      </c>
      <c r="X807" s="197">
        <f t="shared" si="1"/>
        <v>0</v>
      </c>
      <c r="Y807" s="197">
        <f t="shared" si="1104"/>
        <v>0</v>
      </c>
      <c r="Z807" s="197">
        <f t="shared" si="1012"/>
        <v>0</v>
      </c>
      <c r="AA807" s="199" t="b">
        <f t="shared" si="3"/>
        <v>1</v>
      </c>
      <c r="AB807" s="199" t="b">
        <f t="shared" si="4"/>
        <v>1</v>
      </c>
      <c r="AC807" s="200">
        <f t="shared" ref="AC807:AD807" si="1118">1-I807</f>
        <v>0</v>
      </c>
      <c r="AD807" s="200">
        <f t="shared" si="1118"/>
        <v>0</v>
      </c>
      <c r="AE807" s="199">
        <f t="shared" si="6"/>
        <v>0</v>
      </c>
      <c r="AF807" s="201">
        <f t="shared" si="1014"/>
        <v>0</v>
      </c>
      <c r="AG807" s="201">
        <f t="shared" si="8"/>
        <v>0</v>
      </c>
      <c r="AH807" s="202">
        <f t="shared" si="1106"/>
        <v>0</v>
      </c>
      <c r="AI807" s="470"/>
      <c r="AJ807" s="173"/>
      <c r="AK807" s="173"/>
      <c r="AL807" s="173"/>
      <c r="AM807" s="173"/>
      <c r="AN807" s="173"/>
      <c r="AO807" s="173"/>
      <c r="AP807" s="173"/>
      <c r="AQ807" s="173"/>
      <c r="AR807" s="173"/>
      <c r="AS807" s="173"/>
      <c r="AT807" s="173"/>
      <c r="AU807" s="173"/>
      <c r="AV807" s="173"/>
    </row>
    <row r="808" spans="1:48" ht="14.25">
      <c r="A808" s="206"/>
      <c r="B808" s="604">
        <v>5</v>
      </c>
      <c r="C808" s="607" t="s">
        <v>1748</v>
      </c>
      <c r="D808" s="604" t="s">
        <v>69</v>
      </c>
      <c r="E808" s="603" t="s">
        <v>73</v>
      </c>
      <c r="F808" s="604" t="s">
        <v>115</v>
      </c>
      <c r="G808" s="608">
        <v>0</v>
      </c>
      <c r="H808" s="604">
        <v>0</v>
      </c>
      <c r="I808" s="609">
        <v>1</v>
      </c>
      <c r="J808" s="609">
        <v>1</v>
      </c>
      <c r="K808" s="604" t="s">
        <v>182</v>
      </c>
      <c r="L808" s="610"/>
      <c r="M808" s="604">
        <v>3</v>
      </c>
      <c r="N808" s="604">
        <v>6</v>
      </c>
      <c r="O808" s="611" t="s">
        <v>1749</v>
      </c>
      <c r="P808" s="604" t="s">
        <v>1750</v>
      </c>
      <c r="Q808" s="604" t="s">
        <v>148</v>
      </c>
      <c r="R808" s="470"/>
      <c r="S808" s="292">
        <v>4</v>
      </c>
      <c r="T808" s="292">
        <v>9</v>
      </c>
      <c r="U808" s="292">
        <v>10</v>
      </c>
      <c r="V808" s="292">
        <v>3</v>
      </c>
      <c r="W808" s="197">
        <f t="shared" si="1010"/>
        <v>0</v>
      </c>
      <c r="X808" s="197">
        <f t="shared" si="1"/>
        <v>0</v>
      </c>
      <c r="Y808" s="197">
        <f t="shared" si="1104"/>
        <v>0</v>
      </c>
      <c r="Z808" s="197">
        <f t="shared" si="1012"/>
        <v>0</v>
      </c>
      <c r="AA808" s="199" t="b">
        <f t="shared" si="3"/>
        <v>1</v>
      </c>
      <c r="AB808" s="199" t="b">
        <f t="shared" si="4"/>
        <v>1</v>
      </c>
      <c r="AC808" s="200">
        <f t="shared" ref="AC808:AD808" si="1119">1-I808</f>
        <v>0</v>
      </c>
      <c r="AD808" s="200">
        <f t="shared" si="1119"/>
        <v>0</v>
      </c>
      <c r="AE808" s="199">
        <f t="shared" si="6"/>
        <v>0</v>
      </c>
      <c r="AF808" s="201">
        <f t="shared" si="1014"/>
        <v>0</v>
      </c>
      <c r="AG808" s="201">
        <f t="shared" si="8"/>
        <v>0</v>
      </c>
      <c r="AH808" s="202">
        <f t="shared" si="1106"/>
        <v>0</v>
      </c>
      <c r="AI808" s="470"/>
      <c r="AJ808" s="173"/>
      <c r="AK808" s="173"/>
      <c r="AL808" s="173"/>
      <c r="AM808" s="173"/>
      <c r="AN808" s="173"/>
      <c r="AO808" s="173"/>
      <c r="AP808" s="173"/>
      <c r="AQ808" s="173"/>
      <c r="AR808" s="173"/>
      <c r="AS808" s="173"/>
      <c r="AT808" s="173"/>
      <c r="AU808" s="173"/>
      <c r="AV808" s="173"/>
    </row>
    <row r="809" spans="1:48" ht="14.25">
      <c r="A809" s="206"/>
      <c r="B809" s="604">
        <v>5</v>
      </c>
      <c r="C809" s="607" t="s">
        <v>1751</v>
      </c>
      <c r="D809" s="604" t="s">
        <v>69</v>
      </c>
      <c r="E809" s="603" t="s">
        <v>73</v>
      </c>
      <c r="F809" s="604" t="s">
        <v>115</v>
      </c>
      <c r="G809" s="603">
        <v>1</v>
      </c>
      <c r="H809" s="604">
        <v>0</v>
      </c>
      <c r="I809" s="609">
        <v>1</v>
      </c>
      <c r="J809" s="609">
        <v>1</v>
      </c>
      <c r="K809" s="604" t="s">
        <v>182</v>
      </c>
      <c r="L809" s="610"/>
      <c r="M809" s="604">
        <v>3</v>
      </c>
      <c r="N809" s="604">
        <v>6</v>
      </c>
      <c r="O809" s="611" t="s">
        <v>1752</v>
      </c>
      <c r="P809" s="604" t="s">
        <v>275</v>
      </c>
      <c r="Q809" s="604" t="s">
        <v>148</v>
      </c>
      <c r="R809" s="470"/>
      <c r="S809" s="292">
        <v>4</v>
      </c>
      <c r="T809" s="292">
        <v>9</v>
      </c>
      <c r="U809" s="292">
        <v>10</v>
      </c>
      <c r="V809" s="292">
        <v>3</v>
      </c>
      <c r="W809" s="197">
        <f t="shared" si="1010"/>
        <v>1</v>
      </c>
      <c r="X809" s="197">
        <f t="shared" si="1"/>
        <v>1</v>
      </c>
      <c r="Y809" s="197">
        <f t="shared" si="1104"/>
        <v>0</v>
      </c>
      <c r="Z809" s="197">
        <f t="shared" si="1012"/>
        <v>1</v>
      </c>
      <c r="AA809" s="199" t="b">
        <f t="shared" si="3"/>
        <v>0</v>
      </c>
      <c r="AB809" s="199" t="b">
        <f t="shared" si="4"/>
        <v>1</v>
      </c>
      <c r="AC809" s="200">
        <f t="shared" ref="AC809:AD809" si="1120">1-I809</f>
        <v>0</v>
      </c>
      <c r="AD809" s="200">
        <f t="shared" si="1120"/>
        <v>0</v>
      </c>
      <c r="AE809" s="199">
        <f t="shared" si="6"/>
        <v>1</v>
      </c>
      <c r="AF809" s="201">
        <f t="shared" si="1014"/>
        <v>0</v>
      </c>
      <c r="AG809" s="201">
        <f t="shared" si="8"/>
        <v>1</v>
      </c>
      <c r="AH809" s="202">
        <f t="shared" si="1106"/>
        <v>0</v>
      </c>
      <c r="AI809" s="470"/>
      <c r="AJ809" s="173"/>
      <c r="AK809" s="173"/>
      <c r="AL809" s="173"/>
      <c r="AM809" s="173"/>
      <c r="AN809" s="173"/>
      <c r="AO809" s="173"/>
      <c r="AP809" s="173"/>
      <c r="AQ809" s="173"/>
      <c r="AR809" s="173"/>
      <c r="AS809" s="173"/>
      <c r="AT809" s="173"/>
      <c r="AU809" s="173"/>
      <c r="AV809" s="173"/>
    </row>
    <row r="810" spans="1:48" ht="14.25">
      <c r="A810" s="206"/>
      <c r="B810" s="604">
        <v>5</v>
      </c>
      <c r="C810" s="620" t="s">
        <v>1753</v>
      </c>
      <c r="D810" s="604" t="s">
        <v>69</v>
      </c>
      <c r="E810" s="603" t="s">
        <v>73</v>
      </c>
      <c r="F810" s="604" t="s">
        <v>21</v>
      </c>
      <c r="G810" s="603">
        <v>2</v>
      </c>
      <c r="H810" s="604">
        <v>0</v>
      </c>
      <c r="I810" s="609">
        <v>1</v>
      </c>
      <c r="J810" s="609">
        <v>1</v>
      </c>
      <c r="K810" s="604" t="s">
        <v>207</v>
      </c>
      <c r="L810" s="610"/>
      <c r="M810" s="604">
        <v>4</v>
      </c>
      <c r="N810" s="604">
        <v>2</v>
      </c>
      <c r="O810" s="611" t="s">
        <v>1754</v>
      </c>
      <c r="P810" s="604" t="s">
        <v>454</v>
      </c>
      <c r="Q810" s="604" t="s">
        <v>148</v>
      </c>
      <c r="R810" s="470"/>
      <c r="S810" s="292">
        <v>4</v>
      </c>
      <c r="T810" s="292">
        <v>9</v>
      </c>
      <c r="U810" s="292">
        <v>7</v>
      </c>
      <c r="V810" s="292">
        <v>1</v>
      </c>
      <c r="W810" s="197">
        <f t="shared" si="1010"/>
        <v>2</v>
      </c>
      <c r="X810" s="197">
        <f t="shared" si="1"/>
        <v>1</v>
      </c>
      <c r="Y810" s="197">
        <f t="shared" si="1104"/>
        <v>0</v>
      </c>
      <c r="Z810" s="197">
        <f t="shared" si="1012"/>
        <v>2</v>
      </c>
      <c r="AA810" s="199" t="b">
        <f t="shared" si="3"/>
        <v>0</v>
      </c>
      <c r="AB810" s="199" t="b">
        <f t="shared" si="4"/>
        <v>0</v>
      </c>
      <c r="AC810" s="200">
        <f t="shared" ref="AC810:AD810" si="1121">1-I810</f>
        <v>0</v>
      </c>
      <c r="AD810" s="200">
        <f t="shared" si="1121"/>
        <v>0</v>
      </c>
      <c r="AE810" s="199">
        <f t="shared" si="6"/>
        <v>2</v>
      </c>
      <c r="AF810" s="201">
        <f t="shared" si="1014"/>
        <v>0</v>
      </c>
      <c r="AG810" s="201">
        <f t="shared" si="8"/>
        <v>1</v>
      </c>
      <c r="AH810" s="202">
        <f t="shared" si="1106"/>
        <v>0</v>
      </c>
      <c r="AI810" s="470"/>
      <c r="AJ810" s="173"/>
      <c r="AK810" s="173"/>
      <c r="AL810" s="173"/>
      <c r="AM810" s="173"/>
      <c r="AN810" s="173"/>
      <c r="AO810" s="173"/>
      <c r="AP810" s="173"/>
      <c r="AQ810" s="173"/>
      <c r="AR810" s="173"/>
      <c r="AS810" s="173"/>
      <c r="AT810" s="173"/>
      <c r="AU810" s="173"/>
      <c r="AV810" s="173"/>
    </row>
    <row r="811" spans="1:48" ht="14.25">
      <c r="A811" s="213"/>
      <c r="B811" s="604">
        <v>5</v>
      </c>
      <c r="C811" s="620" t="s">
        <v>1755</v>
      </c>
      <c r="D811" s="604" t="s">
        <v>69</v>
      </c>
      <c r="E811" s="603" t="s">
        <v>73</v>
      </c>
      <c r="F811" s="604" t="s">
        <v>20</v>
      </c>
      <c r="G811" s="621">
        <v>1</v>
      </c>
      <c r="H811" s="622">
        <v>0</v>
      </c>
      <c r="I811" s="609">
        <v>1</v>
      </c>
      <c r="J811" s="609">
        <v>1</v>
      </c>
      <c r="K811" s="604" t="s">
        <v>182</v>
      </c>
      <c r="L811" s="610"/>
      <c r="M811" s="604">
        <v>4</v>
      </c>
      <c r="N811" s="604">
        <v>4</v>
      </c>
      <c r="O811" s="611" t="s">
        <v>1756</v>
      </c>
      <c r="P811" s="604" t="s">
        <v>184</v>
      </c>
      <c r="Q811" s="604" t="s">
        <v>148</v>
      </c>
      <c r="R811" s="470"/>
      <c r="S811" s="292">
        <v>4</v>
      </c>
      <c r="T811" s="292">
        <v>9</v>
      </c>
      <c r="U811" s="292">
        <v>6</v>
      </c>
      <c r="V811" s="292">
        <v>3</v>
      </c>
      <c r="W811" s="197">
        <f t="shared" si="1010"/>
        <v>1</v>
      </c>
      <c r="X811" s="197">
        <f t="shared" si="1"/>
        <v>1</v>
      </c>
      <c r="Y811" s="197">
        <f t="shared" si="1104"/>
        <v>0</v>
      </c>
      <c r="Z811" s="197">
        <f t="shared" si="1012"/>
        <v>1</v>
      </c>
      <c r="AA811" s="199" t="b">
        <f t="shared" si="3"/>
        <v>0</v>
      </c>
      <c r="AB811" s="199" t="b">
        <f t="shared" si="4"/>
        <v>1</v>
      </c>
      <c r="AC811" s="200">
        <f t="shared" ref="AC811:AD811" si="1122">1-I811</f>
        <v>0</v>
      </c>
      <c r="AD811" s="200">
        <f t="shared" si="1122"/>
        <v>0</v>
      </c>
      <c r="AE811" s="199">
        <f t="shared" si="6"/>
        <v>1</v>
      </c>
      <c r="AF811" s="201">
        <f t="shared" si="1014"/>
        <v>0</v>
      </c>
      <c r="AG811" s="201">
        <f t="shared" si="8"/>
        <v>1</v>
      </c>
      <c r="AH811" s="202">
        <f t="shared" si="1106"/>
        <v>0</v>
      </c>
      <c r="AI811" s="470"/>
      <c r="AJ811" s="173"/>
      <c r="AK811" s="173"/>
      <c r="AL811" s="173"/>
      <c r="AM811" s="173"/>
      <c r="AN811" s="173"/>
      <c r="AO811" s="173"/>
      <c r="AP811" s="173"/>
      <c r="AQ811" s="173"/>
      <c r="AR811" s="173"/>
      <c r="AS811" s="173"/>
      <c r="AT811" s="173"/>
      <c r="AU811" s="173"/>
      <c r="AV811" s="173"/>
    </row>
    <row r="812" spans="1:48" ht="14.25">
      <c r="A812" s="213"/>
      <c r="B812" s="604">
        <v>5</v>
      </c>
      <c r="C812" s="607" t="s">
        <v>1757</v>
      </c>
      <c r="D812" s="604" t="s">
        <v>69</v>
      </c>
      <c r="E812" s="603" t="s">
        <v>73</v>
      </c>
      <c r="F812" s="604" t="s">
        <v>26</v>
      </c>
      <c r="G812" s="608">
        <v>0</v>
      </c>
      <c r="H812" s="608">
        <v>0</v>
      </c>
      <c r="I812" s="609">
        <v>1</v>
      </c>
      <c r="J812" s="609">
        <v>1</v>
      </c>
      <c r="K812" s="604" t="s">
        <v>207</v>
      </c>
      <c r="L812" s="610"/>
      <c r="M812" s="604">
        <v>2</v>
      </c>
      <c r="N812" s="604">
        <v>2</v>
      </c>
      <c r="O812" s="611" t="s">
        <v>1758</v>
      </c>
      <c r="P812" s="612"/>
      <c r="Q812" s="604" t="s">
        <v>148</v>
      </c>
      <c r="R812" s="470"/>
      <c r="S812" s="292">
        <v>4</v>
      </c>
      <c r="T812" s="292">
        <v>9</v>
      </c>
      <c r="U812" s="292">
        <v>9</v>
      </c>
      <c r="V812" s="292">
        <v>1</v>
      </c>
      <c r="W812" s="197">
        <f t="shared" si="1010"/>
        <v>0</v>
      </c>
      <c r="X812" s="197">
        <f t="shared" si="1"/>
        <v>0</v>
      </c>
      <c r="Y812" s="197">
        <f t="shared" si="1104"/>
        <v>0</v>
      </c>
      <c r="Z812" s="197">
        <f t="shared" si="1012"/>
        <v>0</v>
      </c>
      <c r="AA812" s="199" t="b">
        <f t="shared" si="3"/>
        <v>1</v>
      </c>
      <c r="AB812" s="199" t="b">
        <f t="shared" si="4"/>
        <v>1</v>
      </c>
      <c r="AC812" s="200">
        <f t="shared" ref="AC812:AD812" si="1123">1-I812</f>
        <v>0</v>
      </c>
      <c r="AD812" s="200">
        <f t="shared" si="1123"/>
        <v>0</v>
      </c>
      <c r="AE812" s="199">
        <f t="shared" si="6"/>
        <v>0</v>
      </c>
      <c r="AF812" s="201">
        <f t="shared" si="1014"/>
        <v>0</v>
      </c>
      <c r="AG812" s="201">
        <f t="shared" si="8"/>
        <v>0</v>
      </c>
      <c r="AH812" s="202">
        <f t="shared" si="1106"/>
        <v>0</v>
      </c>
      <c r="AI812" s="470"/>
      <c r="AJ812" s="173"/>
      <c r="AK812" s="173"/>
      <c r="AL812" s="173"/>
      <c r="AM812" s="173"/>
      <c r="AN812" s="173"/>
      <c r="AO812" s="173"/>
      <c r="AP812" s="173"/>
      <c r="AQ812" s="173"/>
      <c r="AR812" s="173"/>
      <c r="AS812" s="173"/>
      <c r="AT812" s="173"/>
      <c r="AU812" s="173"/>
      <c r="AV812" s="173"/>
    </row>
    <row r="813" spans="1:48" ht="14.25">
      <c r="A813" s="206"/>
      <c r="B813" s="604">
        <v>5</v>
      </c>
      <c r="C813" s="607" t="s">
        <v>1759</v>
      </c>
      <c r="D813" s="604" t="s">
        <v>69</v>
      </c>
      <c r="E813" s="603" t="s">
        <v>73</v>
      </c>
      <c r="F813" s="604" t="s">
        <v>115</v>
      </c>
      <c r="G813" s="603">
        <v>1</v>
      </c>
      <c r="H813" s="603">
        <v>1</v>
      </c>
      <c r="I813" s="609">
        <v>1</v>
      </c>
      <c r="J813" s="609">
        <v>1</v>
      </c>
      <c r="K813" s="608" t="s">
        <v>182</v>
      </c>
      <c r="L813" s="610"/>
      <c r="M813" s="608">
        <v>0</v>
      </c>
      <c r="N813" s="608">
        <v>7</v>
      </c>
      <c r="O813" s="611" t="s">
        <v>1760</v>
      </c>
      <c r="P813" s="612"/>
      <c r="Q813" s="604" t="s">
        <v>148</v>
      </c>
      <c r="R813" s="470"/>
      <c r="S813" s="292">
        <v>4</v>
      </c>
      <c r="T813" s="292">
        <v>9</v>
      </c>
      <c r="U813" s="292">
        <v>10</v>
      </c>
      <c r="V813" s="292">
        <v>3</v>
      </c>
      <c r="W813" s="197">
        <f t="shared" si="1010"/>
        <v>2</v>
      </c>
      <c r="X813" s="197">
        <f t="shared" si="1"/>
        <v>1</v>
      </c>
      <c r="Y813" s="197">
        <f t="shared" si="1104"/>
        <v>0</v>
      </c>
      <c r="Z813" s="197">
        <f t="shared" si="1012"/>
        <v>2</v>
      </c>
      <c r="AA813" s="199" t="b">
        <f t="shared" si="3"/>
        <v>0</v>
      </c>
      <c r="AB813" s="199" t="b">
        <f t="shared" si="4"/>
        <v>0</v>
      </c>
      <c r="AC813" s="200">
        <f t="shared" ref="AC813:AD813" si="1124">1-I813</f>
        <v>0</v>
      </c>
      <c r="AD813" s="200">
        <f t="shared" si="1124"/>
        <v>0</v>
      </c>
      <c r="AE813" s="199">
        <f t="shared" si="6"/>
        <v>2</v>
      </c>
      <c r="AF813" s="201">
        <f t="shared" si="1014"/>
        <v>1</v>
      </c>
      <c r="AG813" s="201">
        <f t="shared" si="8"/>
        <v>1</v>
      </c>
      <c r="AH813" s="202">
        <f t="shared" si="1106"/>
        <v>0</v>
      </c>
      <c r="AI813" s="470"/>
      <c r="AJ813" s="173"/>
      <c r="AK813" s="173"/>
      <c r="AL813" s="173"/>
      <c r="AM813" s="173"/>
      <c r="AN813" s="173"/>
      <c r="AO813" s="173"/>
      <c r="AP813" s="173"/>
      <c r="AQ813" s="173"/>
      <c r="AR813" s="173"/>
      <c r="AS813" s="173"/>
      <c r="AT813" s="173"/>
      <c r="AU813" s="173"/>
      <c r="AV813" s="173"/>
    </row>
    <row r="814" spans="1:48" ht="14.25">
      <c r="A814" s="206"/>
      <c r="B814" s="604">
        <v>6</v>
      </c>
      <c r="C814" s="607" t="s">
        <v>1761</v>
      </c>
      <c r="D814" s="604" t="s">
        <v>69</v>
      </c>
      <c r="E814" s="603" t="s">
        <v>73</v>
      </c>
      <c r="F814" s="604" t="s">
        <v>115</v>
      </c>
      <c r="G814" s="608">
        <v>0</v>
      </c>
      <c r="H814" s="604">
        <v>0</v>
      </c>
      <c r="I814" s="609">
        <v>1</v>
      </c>
      <c r="J814" s="609">
        <v>1</v>
      </c>
      <c r="K814" s="604" t="s">
        <v>182</v>
      </c>
      <c r="L814" s="610"/>
      <c r="M814" s="604">
        <v>4</v>
      </c>
      <c r="N814" s="604">
        <v>6</v>
      </c>
      <c r="O814" s="611" t="s">
        <v>1762</v>
      </c>
      <c r="P814" s="612"/>
      <c r="Q814" s="604" t="s">
        <v>148</v>
      </c>
      <c r="R814" s="470"/>
      <c r="S814" s="292">
        <v>4</v>
      </c>
      <c r="T814" s="292">
        <v>9</v>
      </c>
      <c r="U814" s="292">
        <v>10</v>
      </c>
      <c r="V814" s="292">
        <v>3</v>
      </c>
      <c r="W814" s="197">
        <f t="shared" si="1010"/>
        <v>0</v>
      </c>
      <c r="X814" s="197">
        <f t="shared" si="1"/>
        <v>0</v>
      </c>
      <c r="Y814" s="197">
        <f t="shared" si="1104"/>
        <v>0</v>
      </c>
      <c r="Z814" s="197">
        <f t="shared" si="1012"/>
        <v>0</v>
      </c>
      <c r="AA814" s="199" t="b">
        <f t="shared" si="3"/>
        <v>1</v>
      </c>
      <c r="AB814" s="199" t="b">
        <f t="shared" si="4"/>
        <v>1</v>
      </c>
      <c r="AC814" s="200">
        <f t="shared" ref="AC814:AD814" si="1125">1-I814</f>
        <v>0</v>
      </c>
      <c r="AD814" s="200">
        <f t="shared" si="1125"/>
        <v>0</v>
      </c>
      <c r="AE814" s="199">
        <f t="shared" si="6"/>
        <v>0</v>
      </c>
      <c r="AF814" s="201">
        <f t="shared" si="1014"/>
        <v>0</v>
      </c>
      <c r="AG814" s="201">
        <f t="shared" si="8"/>
        <v>0</v>
      </c>
      <c r="AH814" s="202">
        <f t="shared" si="1106"/>
        <v>0</v>
      </c>
      <c r="AI814" s="470"/>
      <c r="AJ814" s="173"/>
      <c r="AK814" s="173"/>
      <c r="AL814" s="173"/>
      <c r="AM814" s="173"/>
      <c r="AN814" s="173"/>
      <c r="AO814" s="173"/>
      <c r="AP814" s="173"/>
      <c r="AQ814" s="173"/>
      <c r="AR814" s="173"/>
      <c r="AS814" s="173"/>
      <c r="AT814" s="173"/>
      <c r="AU814" s="173"/>
      <c r="AV814" s="173"/>
    </row>
    <row r="815" spans="1:48" ht="14.25">
      <c r="A815" s="206"/>
      <c r="B815" s="604">
        <v>6</v>
      </c>
      <c r="C815" s="607" t="s">
        <v>1763</v>
      </c>
      <c r="D815" s="604" t="s">
        <v>69</v>
      </c>
      <c r="E815" s="603" t="s">
        <v>73</v>
      </c>
      <c r="F815" s="604" t="s">
        <v>115</v>
      </c>
      <c r="G815" s="608">
        <v>0</v>
      </c>
      <c r="H815" s="604">
        <v>0</v>
      </c>
      <c r="I815" s="609">
        <v>1</v>
      </c>
      <c r="J815" s="609">
        <v>1</v>
      </c>
      <c r="K815" s="604" t="s">
        <v>182</v>
      </c>
      <c r="L815" s="604" t="s">
        <v>415</v>
      </c>
      <c r="M815" s="604">
        <v>2</v>
      </c>
      <c r="N815" s="604">
        <v>8</v>
      </c>
      <c r="O815" s="611" t="s">
        <v>1764</v>
      </c>
      <c r="P815" s="612"/>
      <c r="Q815" s="604" t="s">
        <v>148</v>
      </c>
      <c r="R815" s="470"/>
      <c r="S815" s="292">
        <v>4</v>
      </c>
      <c r="T815" s="292">
        <v>9</v>
      </c>
      <c r="U815" s="292">
        <v>10</v>
      </c>
      <c r="V815" s="292">
        <v>3</v>
      </c>
      <c r="W815" s="197">
        <f t="shared" si="1010"/>
        <v>0</v>
      </c>
      <c r="X815" s="197">
        <f t="shared" si="1"/>
        <v>0</v>
      </c>
      <c r="Y815" s="197">
        <f t="shared" si="1104"/>
        <v>0</v>
      </c>
      <c r="Z815" s="197">
        <f t="shared" si="1012"/>
        <v>0</v>
      </c>
      <c r="AA815" s="199" t="b">
        <f t="shared" si="3"/>
        <v>1</v>
      </c>
      <c r="AB815" s="199" t="b">
        <f t="shared" si="4"/>
        <v>1</v>
      </c>
      <c r="AC815" s="200">
        <f t="shared" ref="AC815:AD815" si="1126">1-I815</f>
        <v>0</v>
      </c>
      <c r="AD815" s="200">
        <f t="shared" si="1126"/>
        <v>0</v>
      </c>
      <c r="AE815" s="199">
        <f t="shared" si="6"/>
        <v>0</v>
      </c>
      <c r="AF815" s="201">
        <f t="shared" si="1014"/>
        <v>0</v>
      </c>
      <c r="AG815" s="201">
        <f t="shared" si="8"/>
        <v>0</v>
      </c>
      <c r="AH815" s="202">
        <f t="shared" si="1106"/>
        <v>0</v>
      </c>
      <c r="AI815" s="470"/>
      <c r="AJ815" s="173"/>
      <c r="AK815" s="173"/>
      <c r="AL815" s="173"/>
      <c r="AM815" s="173"/>
      <c r="AN815" s="173"/>
      <c r="AO815" s="173"/>
      <c r="AP815" s="173"/>
      <c r="AQ815" s="173"/>
      <c r="AR815" s="173"/>
      <c r="AS815" s="173"/>
      <c r="AT815" s="173"/>
      <c r="AU815" s="173"/>
      <c r="AV815" s="173"/>
    </row>
    <row r="816" spans="1:48" ht="14.25">
      <c r="A816" s="206"/>
      <c r="B816" s="604">
        <v>7</v>
      </c>
      <c r="C816" s="607" t="s">
        <v>1765</v>
      </c>
      <c r="D816" s="604" t="s">
        <v>69</v>
      </c>
      <c r="E816" s="603" t="s">
        <v>73</v>
      </c>
      <c r="F816" s="604" t="s">
        <v>8</v>
      </c>
      <c r="G816" s="608">
        <v>0</v>
      </c>
      <c r="H816" s="604">
        <v>0</v>
      </c>
      <c r="I816" s="609">
        <v>1</v>
      </c>
      <c r="J816" s="609">
        <v>1</v>
      </c>
      <c r="K816" s="604" t="s">
        <v>146</v>
      </c>
      <c r="L816" s="610"/>
      <c r="M816" s="610"/>
      <c r="N816" s="610"/>
      <c r="O816" s="611" t="s">
        <v>1766</v>
      </c>
      <c r="P816" s="604" t="s">
        <v>651</v>
      </c>
      <c r="Q816" s="604" t="s">
        <v>148</v>
      </c>
      <c r="R816" s="470"/>
      <c r="S816" s="292">
        <v>4</v>
      </c>
      <c r="T816" s="292">
        <v>9</v>
      </c>
      <c r="U816" s="292">
        <v>1</v>
      </c>
      <c r="V816" s="292">
        <v>2</v>
      </c>
      <c r="W816" s="197">
        <f t="shared" si="1010"/>
        <v>0</v>
      </c>
      <c r="X816" s="197">
        <f t="shared" si="1"/>
        <v>0</v>
      </c>
      <c r="Y816" s="197">
        <f t="shared" si="1104"/>
        <v>0</v>
      </c>
      <c r="Z816" s="197">
        <f t="shared" si="1012"/>
        <v>0</v>
      </c>
      <c r="AA816" s="199" t="b">
        <f t="shared" si="3"/>
        <v>1</v>
      </c>
      <c r="AB816" s="199" t="b">
        <f t="shared" si="4"/>
        <v>1</v>
      </c>
      <c r="AC816" s="200">
        <f t="shared" ref="AC816:AD816" si="1127">1-I816</f>
        <v>0</v>
      </c>
      <c r="AD816" s="200">
        <f t="shared" si="1127"/>
        <v>0</v>
      </c>
      <c r="AE816" s="199">
        <f t="shared" si="6"/>
        <v>0</v>
      </c>
      <c r="AF816" s="201">
        <f t="shared" si="1014"/>
        <v>0</v>
      </c>
      <c r="AG816" s="201">
        <f t="shared" si="8"/>
        <v>0</v>
      </c>
      <c r="AH816" s="202">
        <f t="shared" si="1106"/>
        <v>0</v>
      </c>
      <c r="AI816" s="470"/>
      <c r="AJ816" s="173"/>
      <c r="AK816" s="173"/>
      <c r="AL816" s="173"/>
      <c r="AM816" s="173"/>
      <c r="AN816" s="173"/>
      <c r="AO816" s="173"/>
      <c r="AP816" s="173"/>
      <c r="AQ816" s="173"/>
      <c r="AR816" s="173"/>
      <c r="AS816" s="173"/>
      <c r="AT816" s="173"/>
      <c r="AU816" s="173"/>
      <c r="AV816" s="173"/>
    </row>
    <row r="817" spans="1:48" ht="14.25">
      <c r="A817" s="206"/>
      <c r="B817" s="608">
        <v>8</v>
      </c>
      <c r="C817" s="607" t="s">
        <v>1767</v>
      </c>
      <c r="D817" s="608" t="s">
        <v>69</v>
      </c>
      <c r="E817" s="603" t="s">
        <v>73</v>
      </c>
      <c r="F817" s="608" t="s">
        <v>11</v>
      </c>
      <c r="G817" s="608">
        <v>0</v>
      </c>
      <c r="H817" s="608">
        <v>0</v>
      </c>
      <c r="I817" s="609">
        <v>1</v>
      </c>
      <c r="J817" s="609">
        <v>1</v>
      </c>
      <c r="K817" s="608" t="s">
        <v>146</v>
      </c>
      <c r="L817" s="613"/>
      <c r="M817" s="613"/>
      <c r="N817" s="613"/>
      <c r="O817" s="614" t="s">
        <v>1768</v>
      </c>
      <c r="P817" s="615"/>
      <c r="Q817" s="608" t="s">
        <v>148</v>
      </c>
      <c r="R817" s="470"/>
      <c r="S817" s="292">
        <v>4</v>
      </c>
      <c r="T817" s="292">
        <v>9</v>
      </c>
      <c r="U817" s="292">
        <v>2</v>
      </c>
      <c r="V817" s="292">
        <v>2</v>
      </c>
      <c r="W817" s="197">
        <f t="shared" si="1010"/>
        <v>0</v>
      </c>
      <c r="X817" s="197">
        <f t="shared" si="1"/>
        <v>0</v>
      </c>
      <c r="Y817" s="197">
        <f t="shared" si="1104"/>
        <v>0</v>
      </c>
      <c r="Z817" s="197">
        <f t="shared" si="1012"/>
        <v>0</v>
      </c>
      <c r="AA817" s="199" t="b">
        <f t="shared" si="3"/>
        <v>1</v>
      </c>
      <c r="AB817" s="199" t="b">
        <f t="shared" si="4"/>
        <v>1</v>
      </c>
      <c r="AC817" s="200">
        <f t="shared" ref="AC817:AD817" si="1128">1-I817</f>
        <v>0</v>
      </c>
      <c r="AD817" s="200">
        <f t="shared" si="1128"/>
        <v>0</v>
      </c>
      <c r="AE817" s="199">
        <f t="shared" si="6"/>
        <v>0</v>
      </c>
      <c r="AF817" s="201">
        <f t="shared" si="1014"/>
        <v>0</v>
      </c>
      <c r="AG817" s="201">
        <f t="shared" si="8"/>
        <v>0</v>
      </c>
      <c r="AH817" s="202">
        <f t="shared" si="1106"/>
        <v>0</v>
      </c>
      <c r="AI817" s="470"/>
      <c r="AJ817" s="173"/>
      <c r="AK817" s="173"/>
      <c r="AL817" s="173"/>
      <c r="AM817" s="173"/>
      <c r="AN817" s="173"/>
      <c r="AO817" s="173"/>
      <c r="AP817" s="173"/>
      <c r="AQ817" s="173"/>
      <c r="AR817" s="173"/>
      <c r="AS817" s="173"/>
      <c r="AT817" s="173"/>
      <c r="AU817" s="173"/>
      <c r="AV817" s="173"/>
    </row>
    <row r="818" spans="1:48" ht="14.25">
      <c r="A818" s="597"/>
      <c r="B818" s="604">
        <v>8</v>
      </c>
      <c r="C818" s="620" t="s">
        <v>1769</v>
      </c>
      <c r="D818" s="604" t="s">
        <v>69</v>
      </c>
      <c r="E818" s="603" t="s">
        <v>73</v>
      </c>
      <c r="F818" s="604" t="s">
        <v>11</v>
      </c>
      <c r="G818" s="603">
        <v>1</v>
      </c>
      <c r="H818" s="604">
        <v>0</v>
      </c>
      <c r="I818" s="609">
        <v>1</v>
      </c>
      <c r="J818" s="609">
        <v>1</v>
      </c>
      <c r="K818" s="604" t="s">
        <v>182</v>
      </c>
      <c r="L818" s="604" t="s">
        <v>230</v>
      </c>
      <c r="M818" s="604">
        <v>8</v>
      </c>
      <c r="N818" s="604">
        <v>8</v>
      </c>
      <c r="O818" s="611" t="s">
        <v>1770</v>
      </c>
      <c r="P818" s="612"/>
      <c r="Q818" s="604" t="s">
        <v>148</v>
      </c>
      <c r="R818" s="470"/>
      <c r="S818" s="292">
        <v>4</v>
      </c>
      <c r="T818" s="292">
        <v>9</v>
      </c>
      <c r="U818" s="292">
        <v>2</v>
      </c>
      <c r="V818" s="292">
        <v>3</v>
      </c>
      <c r="W818" s="197">
        <f t="shared" si="1010"/>
        <v>1</v>
      </c>
      <c r="X818" s="197">
        <f t="shared" si="1"/>
        <v>1</v>
      </c>
      <c r="Y818" s="197">
        <f t="shared" si="1104"/>
        <v>0</v>
      </c>
      <c r="Z818" s="197">
        <f t="shared" si="1012"/>
        <v>1</v>
      </c>
      <c r="AA818" s="199" t="b">
        <f t="shared" si="3"/>
        <v>0</v>
      </c>
      <c r="AB818" s="199" t="b">
        <f t="shared" si="4"/>
        <v>1</v>
      </c>
      <c r="AC818" s="200">
        <f t="shared" ref="AC818:AD818" si="1129">1-I818</f>
        <v>0</v>
      </c>
      <c r="AD818" s="200">
        <f t="shared" si="1129"/>
        <v>0</v>
      </c>
      <c r="AE818" s="199">
        <f t="shared" si="6"/>
        <v>1</v>
      </c>
      <c r="AF818" s="201">
        <f t="shared" si="1014"/>
        <v>0</v>
      </c>
      <c r="AG818" s="201">
        <f t="shared" si="8"/>
        <v>1</v>
      </c>
      <c r="AH818" s="202">
        <f t="shared" si="1106"/>
        <v>0</v>
      </c>
      <c r="AI818" s="470"/>
      <c r="AJ818" s="173"/>
      <c r="AK818" s="173"/>
      <c r="AL818" s="173"/>
      <c r="AM818" s="173"/>
      <c r="AN818" s="173"/>
      <c r="AO818" s="173"/>
      <c r="AP818" s="173"/>
      <c r="AQ818" s="173"/>
      <c r="AR818" s="173"/>
      <c r="AS818" s="173"/>
      <c r="AT818" s="173"/>
      <c r="AU818" s="173"/>
      <c r="AV818" s="173"/>
    </row>
    <row r="819" spans="1:48" ht="14.25">
      <c r="A819" s="597"/>
      <c r="B819" s="604">
        <v>9</v>
      </c>
      <c r="C819" s="607" t="s">
        <v>1771</v>
      </c>
      <c r="D819" s="604" t="s">
        <v>69</v>
      </c>
      <c r="E819" s="603" t="s">
        <v>73</v>
      </c>
      <c r="F819" s="604" t="s">
        <v>20</v>
      </c>
      <c r="G819" s="603">
        <v>1</v>
      </c>
      <c r="H819" s="604">
        <v>0</v>
      </c>
      <c r="I819" s="609">
        <v>1</v>
      </c>
      <c r="J819" s="609">
        <v>1</v>
      </c>
      <c r="K819" s="604" t="s">
        <v>182</v>
      </c>
      <c r="L819" s="610"/>
      <c r="M819" s="604">
        <v>4</v>
      </c>
      <c r="N819" s="604">
        <v>4</v>
      </c>
      <c r="O819" s="611" t="s">
        <v>1772</v>
      </c>
      <c r="P819" s="604" t="s">
        <v>184</v>
      </c>
      <c r="Q819" s="604" t="s">
        <v>148</v>
      </c>
      <c r="R819" s="470"/>
      <c r="S819" s="292">
        <v>4</v>
      </c>
      <c r="T819" s="292">
        <v>9</v>
      </c>
      <c r="U819" s="292">
        <v>6</v>
      </c>
      <c r="V819" s="292">
        <v>3</v>
      </c>
      <c r="W819" s="197">
        <f t="shared" si="1010"/>
        <v>1</v>
      </c>
      <c r="X819" s="197">
        <f t="shared" si="1"/>
        <v>1</v>
      </c>
      <c r="Y819" s="197">
        <f t="shared" si="1104"/>
        <v>0</v>
      </c>
      <c r="Z819" s="197">
        <f t="shared" si="1012"/>
        <v>1</v>
      </c>
      <c r="AA819" s="199" t="b">
        <f t="shared" si="3"/>
        <v>0</v>
      </c>
      <c r="AB819" s="199" t="b">
        <f t="shared" si="4"/>
        <v>1</v>
      </c>
      <c r="AC819" s="200">
        <f t="shared" ref="AC819:AD819" si="1130">1-I819</f>
        <v>0</v>
      </c>
      <c r="AD819" s="200">
        <f t="shared" si="1130"/>
        <v>0</v>
      </c>
      <c r="AE819" s="199">
        <f t="shared" si="6"/>
        <v>1</v>
      </c>
      <c r="AF819" s="201">
        <f t="shared" si="1014"/>
        <v>0</v>
      </c>
      <c r="AG819" s="201">
        <f t="shared" si="8"/>
        <v>1</v>
      </c>
      <c r="AH819" s="202">
        <f t="shared" si="1106"/>
        <v>0</v>
      </c>
      <c r="AI819" s="470"/>
      <c r="AJ819" s="173"/>
      <c r="AK819" s="173"/>
      <c r="AL819" s="173"/>
      <c r="AM819" s="173"/>
      <c r="AN819" s="173"/>
      <c r="AO819" s="173"/>
      <c r="AP819" s="173"/>
      <c r="AQ819" s="173"/>
      <c r="AR819" s="173"/>
      <c r="AS819" s="173"/>
      <c r="AT819" s="173"/>
      <c r="AU819" s="173"/>
      <c r="AV819" s="173"/>
    </row>
    <row r="820" spans="1:48" ht="14.25">
      <c r="A820" s="597"/>
      <c r="B820" s="604">
        <v>9</v>
      </c>
      <c r="C820" s="607" t="s">
        <v>1773</v>
      </c>
      <c r="D820" s="604" t="s">
        <v>69</v>
      </c>
      <c r="E820" s="603" t="s">
        <v>73</v>
      </c>
      <c r="F820" s="604" t="s">
        <v>115</v>
      </c>
      <c r="G820" s="608">
        <v>0</v>
      </c>
      <c r="H820" s="604">
        <v>0</v>
      </c>
      <c r="I820" s="609">
        <v>1</v>
      </c>
      <c r="J820" s="609">
        <v>1</v>
      </c>
      <c r="K820" s="604" t="s">
        <v>182</v>
      </c>
      <c r="L820" s="610"/>
      <c r="M820" s="604">
        <v>9</v>
      </c>
      <c r="N820" s="608">
        <v>9</v>
      </c>
      <c r="O820" s="611" t="s">
        <v>1774</v>
      </c>
      <c r="P820" s="612"/>
      <c r="Q820" s="604" t="s">
        <v>148</v>
      </c>
      <c r="R820" s="470"/>
      <c r="S820" s="292">
        <v>4</v>
      </c>
      <c r="T820" s="292">
        <v>9</v>
      </c>
      <c r="U820" s="292">
        <v>10</v>
      </c>
      <c r="V820" s="292">
        <v>3</v>
      </c>
      <c r="W820" s="197">
        <f t="shared" si="1010"/>
        <v>0</v>
      </c>
      <c r="X820" s="197">
        <f t="shared" si="1"/>
        <v>0</v>
      </c>
      <c r="Y820" s="197">
        <f t="shared" si="1104"/>
        <v>0</v>
      </c>
      <c r="Z820" s="197">
        <f t="shared" si="1012"/>
        <v>0</v>
      </c>
      <c r="AA820" s="199" t="b">
        <f t="shared" si="3"/>
        <v>1</v>
      </c>
      <c r="AB820" s="199" t="b">
        <f t="shared" si="4"/>
        <v>1</v>
      </c>
      <c r="AC820" s="200">
        <f t="shared" ref="AC820:AD820" si="1131">1-I820</f>
        <v>0</v>
      </c>
      <c r="AD820" s="200">
        <f t="shared" si="1131"/>
        <v>0</v>
      </c>
      <c r="AE820" s="199">
        <f t="shared" si="6"/>
        <v>0</v>
      </c>
      <c r="AF820" s="201">
        <f t="shared" si="1014"/>
        <v>0</v>
      </c>
      <c r="AG820" s="201">
        <f t="shared" si="8"/>
        <v>0</v>
      </c>
      <c r="AH820" s="202">
        <f t="shared" si="1106"/>
        <v>0</v>
      </c>
      <c r="AI820" s="470"/>
      <c r="AJ820" s="173"/>
      <c r="AK820" s="173"/>
      <c r="AL820" s="173"/>
      <c r="AM820" s="173"/>
      <c r="AN820" s="173"/>
      <c r="AO820" s="173"/>
      <c r="AP820" s="173"/>
      <c r="AQ820" s="173"/>
      <c r="AR820" s="173"/>
      <c r="AS820" s="173"/>
      <c r="AT820" s="173"/>
      <c r="AU820" s="173"/>
      <c r="AV820" s="173"/>
    </row>
    <row r="821" spans="1:48" ht="14.25">
      <c r="A821" s="206"/>
      <c r="B821" s="604">
        <v>10</v>
      </c>
      <c r="C821" s="607" t="s">
        <v>1775</v>
      </c>
      <c r="D821" s="604" t="s">
        <v>69</v>
      </c>
      <c r="E821" s="603" t="s">
        <v>73</v>
      </c>
      <c r="F821" s="604" t="s">
        <v>25</v>
      </c>
      <c r="G821" s="608">
        <v>0</v>
      </c>
      <c r="H821" s="604">
        <v>0</v>
      </c>
      <c r="I821" s="609">
        <v>1</v>
      </c>
      <c r="J821" s="609">
        <v>1</v>
      </c>
      <c r="K821" s="604" t="s">
        <v>146</v>
      </c>
      <c r="L821" s="610"/>
      <c r="M821" s="610"/>
      <c r="N821" s="610"/>
      <c r="O821" s="611" t="s">
        <v>1776</v>
      </c>
      <c r="P821" s="612"/>
      <c r="Q821" s="604" t="s">
        <v>148</v>
      </c>
      <c r="R821" s="623"/>
      <c r="S821" s="292">
        <v>4</v>
      </c>
      <c r="T821" s="292">
        <v>9</v>
      </c>
      <c r="U821" s="292">
        <v>8</v>
      </c>
      <c r="V821" s="292">
        <v>2</v>
      </c>
      <c r="W821" s="197">
        <f t="shared" si="1010"/>
        <v>0</v>
      </c>
      <c r="X821" s="197">
        <f t="shared" si="1"/>
        <v>0</v>
      </c>
      <c r="Y821" s="197">
        <f t="shared" si="1104"/>
        <v>0</v>
      </c>
      <c r="Z821" s="197">
        <f t="shared" si="1012"/>
        <v>0</v>
      </c>
      <c r="AA821" s="199" t="b">
        <f t="shared" si="3"/>
        <v>1</v>
      </c>
      <c r="AB821" s="199" t="b">
        <f t="shared" si="4"/>
        <v>1</v>
      </c>
      <c r="AC821" s="200">
        <f t="shared" ref="AC821:AD821" si="1132">1-I821</f>
        <v>0</v>
      </c>
      <c r="AD821" s="200">
        <f t="shared" si="1132"/>
        <v>0</v>
      </c>
      <c r="AE821" s="199">
        <f t="shared" si="6"/>
        <v>0</v>
      </c>
      <c r="AF821" s="201">
        <f t="shared" si="1014"/>
        <v>0</v>
      </c>
      <c r="AG821" s="201">
        <f t="shared" si="8"/>
        <v>0</v>
      </c>
      <c r="AH821" s="202">
        <f t="shared" si="1106"/>
        <v>0</v>
      </c>
      <c r="AI821" s="470"/>
      <c r="AJ821" s="173"/>
      <c r="AK821" s="173"/>
      <c r="AL821" s="173"/>
      <c r="AM821" s="173"/>
      <c r="AN821" s="173"/>
      <c r="AO821" s="173"/>
      <c r="AP821" s="173"/>
      <c r="AQ821" s="173"/>
      <c r="AR821" s="173"/>
      <c r="AS821" s="173"/>
      <c r="AT821" s="173"/>
      <c r="AU821" s="173"/>
      <c r="AV821" s="173"/>
    </row>
    <row r="822" spans="1:48" ht="14.25">
      <c r="A822" s="206"/>
      <c r="B822" s="624">
        <v>1</v>
      </c>
      <c r="C822" s="625" t="s">
        <v>1777</v>
      </c>
      <c r="D822" s="624" t="s">
        <v>70</v>
      </c>
      <c r="E822" s="626" t="s">
        <v>73</v>
      </c>
      <c r="F822" s="624" t="s">
        <v>115</v>
      </c>
      <c r="G822" s="626">
        <v>1</v>
      </c>
      <c r="H822" s="624">
        <v>0</v>
      </c>
      <c r="I822" s="627">
        <v>1</v>
      </c>
      <c r="J822" s="627">
        <v>1</v>
      </c>
      <c r="K822" s="624" t="s">
        <v>182</v>
      </c>
      <c r="L822" s="628"/>
      <c r="M822" s="624">
        <v>1</v>
      </c>
      <c r="N822" s="624">
        <v>1</v>
      </c>
      <c r="O822" s="629" t="s">
        <v>1778</v>
      </c>
      <c r="P822" s="630"/>
      <c r="Q822" s="624" t="s">
        <v>148</v>
      </c>
      <c r="R822" s="470"/>
      <c r="S822" s="292">
        <v>5</v>
      </c>
      <c r="T822" s="292">
        <v>9</v>
      </c>
      <c r="U822" s="292">
        <v>10</v>
      </c>
      <c r="V822" s="292">
        <v>3</v>
      </c>
      <c r="W822" s="197">
        <f t="shared" si="1010"/>
        <v>1</v>
      </c>
      <c r="X822" s="197">
        <f t="shared" si="1"/>
        <v>1</v>
      </c>
      <c r="Y822" s="197">
        <f t="shared" ref="Y822:Y842" si="1133">(MIN(G822,2)+H822-W822)*1600</f>
        <v>0</v>
      </c>
      <c r="Z822" s="197">
        <f t="shared" si="1012"/>
        <v>1</v>
      </c>
      <c r="AA822" s="199" t="b">
        <f t="shared" si="3"/>
        <v>0</v>
      </c>
      <c r="AB822" s="199" t="b">
        <f t="shared" si="4"/>
        <v>0</v>
      </c>
      <c r="AC822" s="200">
        <f t="shared" ref="AC822:AD822" si="1134">1-I822</f>
        <v>0</v>
      </c>
      <c r="AD822" s="200">
        <f t="shared" si="1134"/>
        <v>0</v>
      </c>
      <c r="AE822" s="199">
        <f t="shared" si="6"/>
        <v>1</v>
      </c>
      <c r="AF822" s="201">
        <f t="shared" ref="AF822:AF842" si="1135">MIN((H822),1)</f>
        <v>0</v>
      </c>
      <c r="AG822" s="201">
        <f t="shared" si="8"/>
        <v>1</v>
      </c>
      <c r="AH822" s="202">
        <f t="shared" ref="AH822:AH842" si="1136">(MIN(H822,2)+G822-W822)*400</f>
        <v>0</v>
      </c>
      <c r="AI822" s="470"/>
      <c r="AJ822" s="173"/>
      <c r="AK822" s="173"/>
      <c r="AL822" s="173"/>
      <c r="AM822" s="173"/>
      <c r="AN822" s="173"/>
      <c r="AO822" s="173"/>
      <c r="AP822" s="173"/>
      <c r="AQ822" s="173"/>
      <c r="AR822" s="173"/>
      <c r="AS822" s="173"/>
      <c r="AT822" s="173"/>
      <c r="AU822" s="173"/>
      <c r="AV822" s="173"/>
    </row>
    <row r="823" spans="1:48" ht="14.25">
      <c r="A823" s="213"/>
      <c r="B823" s="624">
        <v>2</v>
      </c>
      <c r="C823" s="625" t="s">
        <v>1779</v>
      </c>
      <c r="D823" s="624" t="s">
        <v>70</v>
      </c>
      <c r="E823" s="626" t="s">
        <v>73</v>
      </c>
      <c r="F823" s="624" t="s">
        <v>115</v>
      </c>
      <c r="G823" s="631">
        <v>0</v>
      </c>
      <c r="H823" s="624">
        <v>0</v>
      </c>
      <c r="I823" s="627">
        <v>1</v>
      </c>
      <c r="J823" s="627">
        <v>1</v>
      </c>
      <c r="K823" s="631" t="s">
        <v>182</v>
      </c>
      <c r="L823" s="632"/>
      <c r="M823" s="631">
        <v>2</v>
      </c>
      <c r="N823" s="631">
        <v>4</v>
      </c>
      <c r="O823" s="633" t="s">
        <v>1780</v>
      </c>
      <c r="P823" s="634"/>
      <c r="Q823" s="624" t="s">
        <v>148</v>
      </c>
      <c r="R823" s="470"/>
      <c r="S823" s="292">
        <v>5</v>
      </c>
      <c r="T823" s="292">
        <v>9</v>
      </c>
      <c r="U823" s="292">
        <v>10</v>
      </c>
      <c r="V823" s="292">
        <v>3</v>
      </c>
      <c r="W823" s="197">
        <f t="shared" si="1010"/>
        <v>0</v>
      </c>
      <c r="X823" s="197">
        <f t="shared" si="1"/>
        <v>0</v>
      </c>
      <c r="Y823" s="197">
        <f t="shared" si="1133"/>
        <v>0</v>
      </c>
      <c r="Z823" s="197">
        <f t="shared" si="1012"/>
        <v>0</v>
      </c>
      <c r="AA823" s="199" t="b">
        <f t="shared" si="3"/>
        <v>1</v>
      </c>
      <c r="AB823" s="199" t="b">
        <f t="shared" si="4"/>
        <v>0</v>
      </c>
      <c r="AC823" s="200">
        <f t="shared" ref="AC823:AD823" si="1137">1-I823</f>
        <v>0</v>
      </c>
      <c r="AD823" s="200">
        <f t="shared" si="1137"/>
        <v>0</v>
      </c>
      <c r="AE823" s="199">
        <f t="shared" si="6"/>
        <v>0</v>
      </c>
      <c r="AF823" s="201">
        <f t="shared" si="1135"/>
        <v>0</v>
      </c>
      <c r="AG823" s="201">
        <f t="shared" si="8"/>
        <v>0</v>
      </c>
      <c r="AH823" s="202">
        <f t="shared" si="1136"/>
        <v>0</v>
      </c>
      <c r="AI823" s="470"/>
      <c r="AJ823" s="173"/>
      <c r="AK823" s="173"/>
      <c r="AL823" s="173"/>
      <c r="AM823" s="173"/>
      <c r="AN823" s="173"/>
      <c r="AO823" s="173"/>
      <c r="AP823" s="173"/>
      <c r="AQ823" s="173"/>
      <c r="AR823" s="173"/>
      <c r="AS823" s="173"/>
      <c r="AT823" s="173"/>
      <c r="AU823" s="173"/>
      <c r="AV823" s="173"/>
    </row>
    <row r="824" spans="1:48" ht="14.25">
      <c r="A824" s="213"/>
      <c r="B824" s="631">
        <v>4</v>
      </c>
      <c r="C824" s="625" t="s">
        <v>1781</v>
      </c>
      <c r="D824" s="631" t="s">
        <v>70</v>
      </c>
      <c r="E824" s="626" t="s">
        <v>73</v>
      </c>
      <c r="F824" s="631" t="s">
        <v>8</v>
      </c>
      <c r="G824" s="631">
        <v>0</v>
      </c>
      <c r="H824" s="631">
        <v>0</v>
      </c>
      <c r="I824" s="627">
        <v>1</v>
      </c>
      <c r="J824" s="627">
        <v>1</v>
      </c>
      <c r="K824" s="631" t="s">
        <v>182</v>
      </c>
      <c r="L824" s="632"/>
      <c r="M824" s="631">
        <v>3</v>
      </c>
      <c r="N824" s="631">
        <v>5</v>
      </c>
      <c r="O824" s="633" t="s">
        <v>1782</v>
      </c>
      <c r="P824" s="634"/>
      <c r="Q824" s="631" t="s">
        <v>148</v>
      </c>
      <c r="R824" s="470"/>
      <c r="S824" s="292">
        <v>5</v>
      </c>
      <c r="T824" s="292">
        <v>9</v>
      </c>
      <c r="U824" s="292">
        <v>1</v>
      </c>
      <c r="V824" s="292">
        <v>3</v>
      </c>
      <c r="W824" s="197">
        <f t="shared" si="1010"/>
        <v>0</v>
      </c>
      <c r="X824" s="197">
        <f t="shared" si="1"/>
        <v>0</v>
      </c>
      <c r="Y824" s="197">
        <f t="shared" si="1133"/>
        <v>0</v>
      </c>
      <c r="Z824" s="197">
        <f t="shared" si="1012"/>
        <v>0</v>
      </c>
      <c r="AA824" s="199" t="b">
        <f t="shared" si="3"/>
        <v>1</v>
      </c>
      <c r="AB824" s="199" t="b">
        <f t="shared" si="4"/>
        <v>0</v>
      </c>
      <c r="AC824" s="200">
        <f t="shared" ref="AC824:AD824" si="1138">1-I824</f>
        <v>0</v>
      </c>
      <c r="AD824" s="200">
        <f t="shared" si="1138"/>
        <v>0</v>
      </c>
      <c r="AE824" s="199">
        <f t="shared" si="6"/>
        <v>0</v>
      </c>
      <c r="AF824" s="201">
        <f t="shared" si="1135"/>
        <v>0</v>
      </c>
      <c r="AG824" s="201">
        <f t="shared" si="8"/>
        <v>0</v>
      </c>
      <c r="AH824" s="202">
        <f t="shared" si="1136"/>
        <v>0</v>
      </c>
      <c r="AI824" s="470"/>
      <c r="AJ824" s="173"/>
      <c r="AK824" s="173"/>
      <c r="AL824" s="173"/>
      <c r="AM824" s="173"/>
      <c r="AN824" s="173"/>
      <c r="AO824" s="173"/>
      <c r="AP824" s="173"/>
      <c r="AQ824" s="173"/>
      <c r="AR824" s="173"/>
      <c r="AS824" s="173"/>
      <c r="AT824" s="173"/>
      <c r="AU824" s="173"/>
      <c r="AV824" s="173"/>
    </row>
    <row r="825" spans="1:48" ht="14.25">
      <c r="A825" s="606"/>
      <c r="B825" s="624">
        <v>4</v>
      </c>
      <c r="C825" s="635" t="s">
        <v>1783</v>
      </c>
      <c r="D825" s="624" t="s">
        <v>70</v>
      </c>
      <c r="E825" s="626" t="s">
        <v>73</v>
      </c>
      <c r="F825" s="624" t="s">
        <v>20</v>
      </c>
      <c r="G825" s="631">
        <v>0</v>
      </c>
      <c r="H825" s="624">
        <v>0</v>
      </c>
      <c r="I825" s="627">
        <v>1</v>
      </c>
      <c r="J825" s="627">
        <v>1</v>
      </c>
      <c r="K825" s="624" t="s">
        <v>182</v>
      </c>
      <c r="L825" s="628"/>
      <c r="M825" s="624">
        <v>3</v>
      </c>
      <c r="N825" s="624">
        <v>4</v>
      </c>
      <c r="O825" s="629" t="s">
        <v>1784</v>
      </c>
      <c r="P825" s="624" t="s">
        <v>1785</v>
      </c>
      <c r="Q825" s="624" t="s">
        <v>148</v>
      </c>
      <c r="R825" s="470"/>
      <c r="S825" s="292">
        <v>5</v>
      </c>
      <c r="T825" s="292">
        <v>9</v>
      </c>
      <c r="U825" s="292">
        <v>6</v>
      </c>
      <c r="V825" s="292">
        <v>3</v>
      </c>
      <c r="W825" s="197">
        <f t="shared" si="1010"/>
        <v>0</v>
      </c>
      <c r="X825" s="197">
        <f t="shared" si="1"/>
        <v>0</v>
      </c>
      <c r="Y825" s="197">
        <f t="shared" si="1133"/>
        <v>0</v>
      </c>
      <c r="Z825" s="197">
        <f t="shared" si="1012"/>
        <v>0</v>
      </c>
      <c r="AA825" s="199" t="b">
        <f t="shared" si="3"/>
        <v>1</v>
      </c>
      <c r="AB825" s="199" t="b">
        <f t="shared" si="4"/>
        <v>0</v>
      </c>
      <c r="AC825" s="200">
        <f t="shared" ref="AC825:AD825" si="1139">1-I825</f>
        <v>0</v>
      </c>
      <c r="AD825" s="200">
        <f t="shared" si="1139"/>
        <v>0</v>
      </c>
      <c r="AE825" s="199">
        <f t="shared" si="6"/>
        <v>0</v>
      </c>
      <c r="AF825" s="201">
        <f t="shared" si="1135"/>
        <v>0</v>
      </c>
      <c r="AG825" s="201">
        <f t="shared" si="8"/>
        <v>0</v>
      </c>
      <c r="AH825" s="202">
        <f t="shared" si="1136"/>
        <v>0</v>
      </c>
      <c r="AI825" s="470"/>
      <c r="AJ825" s="173"/>
      <c r="AK825" s="173"/>
      <c r="AL825" s="173"/>
      <c r="AM825" s="173"/>
      <c r="AN825" s="173"/>
      <c r="AO825" s="173"/>
      <c r="AP825" s="173"/>
      <c r="AQ825" s="173"/>
      <c r="AR825" s="173"/>
      <c r="AS825" s="173"/>
      <c r="AT825" s="173"/>
      <c r="AU825" s="173"/>
      <c r="AV825" s="173"/>
    </row>
    <row r="826" spans="1:48" ht="14.25">
      <c r="A826" s="597"/>
      <c r="B826" s="624">
        <v>5</v>
      </c>
      <c r="C826" s="625" t="s">
        <v>1786</v>
      </c>
      <c r="D826" s="624" t="s">
        <v>70</v>
      </c>
      <c r="E826" s="626" t="s">
        <v>73</v>
      </c>
      <c r="F826" s="624" t="s">
        <v>21</v>
      </c>
      <c r="G826" s="631">
        <v>0</v>
      </c>
      <c r="H826" s="624">
        <v>0</v>
      </c>
      <c r="I826" s="627">
        <v>1</v>
      </c>
      <c r="J826" s="627">
        <v>1</v>
      </c>
      <c r="K826" s="624" t="s">
        <v>182</v>
      </c>
      <c r="L826" s="628"/>
      <c r="M826" s="624">
        <v>4</v>
      </c>
      <c r="N826" s="624">
        <v>6</v>
      </c>
      <c r="O826" s="629" t="s">
        <v>1787</v>
      </c>
      <c r="P826" s="630"/>
      <c r="Q826" s="624" t="s">
        <v>148</v>
      </c>
      <c r="R826" s="470"/>
      <c r="S826" s="292">
        <v>5</v>
      </c>
      <c r="T826" s="292">
        <v>9</v>
      </c>
      <c r="U826" s="292">
        <v>7</v>
      </c>
      <c r="V826" s="292">
        <v>3</v>
      </c>
      <c r="W826" s="197">
        <f t="shared" si="1010"/>
        <v>0</v>
      </c>
      <c r="X826" s="197">
        <f t="shared" si="1"/>
        <v>0</v>
      </c>
      <c r="Y826" s="197">
        <f t="shared" si="1133"/>
        <v>0</v>
      </c>
      <c r="Z826" s="197">
        <f t="shared" si="1012"/>
        <v>0</v>
      </c>
      <c r="AA826" s="199" t="b">
        <f t="shared" si="3"/>
        <v>1</v>
      </c>
      <c r="AB826" s="199" t="b">
        <f t="shared" si="4"/>
        <v>0</v>
      </c>
      <c r="AC826" s="200">
        <f t="shared" ref="AC826:AD826" si="1140">1-I826</f>
        <v>0</v>
      </c>
      <c r="AD826" s="200">
        <f t="shared" si="1140"/>
        <v>0</v>
      </c>
      <c r="AE826" s="199">
        <f t="shared" si="6"/>
        <v>0</v>
      </c>
      <c r="AF826" s="201">
        <f t="shared" si="1135"/>
        <v>0</v>
      </c>
      <c r="AG826" s="201">
        <f t="shared" si="8"/>
        <v>0</v>
      </c>
      <c r="AH826" s="202">
        <f t="shared" si="1136"/>
        <v>0</v>
      </c>
      <c r="AI826" s="470"/>
      <c r="AJ826" s="173"/>
      <c r="AK826" s="173"/>
      <c r="AL826" s="173"/>
      <c r="AM826" s="173"/>
      <c r="AN826" s="173"/>
      <c r="AO826" s="173"/>
      <c r="AP826" s="173"/>
      <c r="AQ826" s="173"/>
      <c r="AR826" s="173"/>
      <c r="AS826" s="173"/>
      <c r="AT826" s="173"/>
      <c r="AU826" s="173"/>
      <c r="AV826" s="173"/>
    </row>
    <row r="827" spans="1:48" ht="14.25">
      <c r="A827" s="597"/>
      <c r="B827" s="624">
        <v>5</v>
      </c>
      <c r="C827" s="625" t="s">
        <v>1788</v>
      </c>
      <c r="D827" s="624" t="s">
        <v>70</v>
      </c>
      <c r="E827" s="626" t="s">
        <v>73</v>
      </c>
      <c r="F827" s="624" t="s">
        <v>11</v>
      </c>
      <c r="G827" s="626">
        <v>1</v>
      </c>
      <c r="H827" s="624">
        <v>0</v>
      </c>
      <c r="I827" s="627">
        <v>1</v>
      </c>
      <c r="J827" s="627">
        <v>1</v>
      </c>
      <c r="K827" s="624" t="s">
        <v>182</v>
      </c>
      <c r="L827" s="628"/>
      <c r="M827" s="624">
        <v>6</v>
      </c>
      <c r="N827" s="624">
        <v>5</v>
      </c>
      <c r="O827" s="629" t="s">
        <v>1789</v>
      </c>
      <c r="P827" s="624" t="s">
        <v>184</v>
      </c>
      <c r="Q827" s="624" t="s">
        <v>148</v>
      </c>
      <c r="R827" s="470"/>
      <c r="S827" s="292">
        <v>5</v>
      </c>
      <c r="T827" s="292">
        <v>9</v>
      </c>
      <c r="U827" s="292">
        <v>2</v>
      </c>
      <c r="V827" s="292">
        <v>3</v>
      </c>
      <c r="W827" s="197">
        <f t="shared" si="1010"/>
        <v>1</v>
      </c>
      <c r="X827" s="197">
        <f t="shared" si="1"/>
        <v>1</v>
      </c>
      <c r="Y827" s="197">
        <f t="shared" si="1133"/>
        <v>0</v>
      </c>
      <c r="Z827" s="197">
        <f t="shared" si="1012"/>
        <v>1</v>
      </c>
      <c r="AA827" s="199" t="b">
        <f t="shared" si="3"/>
        <v>0</v>
      </c>
      <c r="AB827" s="199" t="b">
        <f t="shared" si="4"/>
        <v>0</v>
      </c>
      <c r="AC827" s="200">
        <f t="shared" ref="AC827:AD827" si="1141">1-I827</f>
        <v>0</v>
      </c>
      <c r="AD827" s="200">
        <f t="shared" si="1141"/>
        <v>0</v>
      </c>
      <c r="AE827" s="199">
        <f t="shared" si="6"/>
        <v>1</v>
      </c>
      <c r="AF827" s="201">
        <f t="shared" si="1135"/>
        <v>0</v>
      </c>
      <c r="AG827" s="201">
        <f t="shared" si="8"/>
        <v>1</v>
      </c>
      <c r="AH827" s="202">
        <f t="shared" si="1136"/>
        <v>0</v>
      </c>
      <c r="AI827" s="470"/>
      <c r="AJ827" s="173"/>
      <c r="AK827" s="173"/>
      <c r="AL827" s="173"/>
      <c r="AM827" s="173"/>
      <c r="AN827" s="173"/>
      <c r="AO827" s="173"/>
      <c r="AP827" s="173"/>
      <c r="AQ827" s="173"/>
      <c r="AR827" s="173"/>
      <c r="AS827" s="173"/>
      <c r="AT827" s="173"/>
      <c r="AU827" s="173"/>
      <c r="AV827" s="173"/>
    </row>
    <row r="828" spans="1:48" ht="14.25">
      <c r="A828" s="213"/>
      <c r="B828" s="624">
        <v>6</v>
      </c>
      <c r="C828" s="625" t="s">
        <v>1790</v>
      </c>
      <c r="D828" s="624" t="s">
        <v>70</v>
      </c>
      <c r="E828" s="626" t="s">
        <v>73</v>
      </c>
      <c r="F828" s="624" t="s">
        <v>18</v>
      </c>
      <c r="G828" s="631">
        <v>0</v>
      </c>
      <c r="H828" s="624">
        <v>0</v>
      </c>
      <c r="I828" s="627">
        <v>1</v>
      </c>
      <c r="J828" s="627">
        <v>1</v>
      </c>
      <c r="K828" s="624" t="s">
        <v>182</v>
      </c>
      <c r="L828" s="628"/>
      <c r="M828" s="624">
        <v>5</v>
      </c>
      <c r="N828" s="624">
        <v>5</v>
      </c>
      <c r="O828" s="629" t="s">
        <v>1791</v>
      </c>
      <c r="P828" s="624" t="s">
        <v>184</v>
      </c>
      <c r="Q828" s="624" t="s">
        <v>148</v>
      </c>
      <c r="R828" s="470"/>
      <c r="S828" s="292">
        <v>5</v>
      </c>
      <c r="T828" s="292">
        <v>9</v>
      </c>
      <c r="U828" s="292">
        <v>5</v>
      </c>
      <c r="V828" s="292">
        <v>3</v>
      </c>
      <c r="W828" s="197">
        <f t="shared" si="1010"/>
        <v>0</v>
      </c>
      <c r="X828" s="197">
        <f t="shared" si="1"/>
        <v>0</v>
      </c>
      <c r="Y828" s="197">
        <f t="shared" si="1133"/>
        <v>0</v>
      </c>
      <c r="Z828" s="197">
        <f t="shared" si="1012"/>
        <v>0</v>
      </c>
      <c r="AA828" s="199" t="b">
        <f t="shared" si="3"/>
        <v>1</v>
      </c>
      <c r="AB828" s="199" t="b">
        <f t="shared" si="4"/>
        <v>0</v>
      </c>
      <c r="AC828" s="200">
        <f t="shared" ref="AC828:AD828" si="1142">1-I828</f>
        <v>0</v>
      </c>
      <c r="AD828" s="200">
        <f t="shared" si="1142"/>
        <v>0</v>
      </c>
      <c r="AE828" s="199">
        <f t="shared" si="6"/>
        <v>0</v>
      </c>
      <c r="AF828" s="201">
        <f t="shared" si="1135"/>
        <v>0</v>
      </c>
      <c r="AG828" s="201">
        <f t="shared" si="8"/>
        <v>0</v>
      </c>
      <c r="AH828" s="202">
        <f t="shared" si="1136"/>
        <v>0</v>
      </c>
      <c r="AI828" s="470"/>
      <c r="AJ828" s="173"/>
      <c r="AK828" s="173"/>
      <c r="AL828" s="173"/>
      <c r="AM828" s="173"/>
      <c r="AN828" s="173"/>
      <c r="AO828" s="173"/>
      <c r="AP828" s="173"/>
      <c r="AQ828" s="173"/>
      <c r="AR828" s="173"/>
      <c r="AS828" s="173"/>
      <c r="AT828" s="173"/>
      <c r="AU828" s="173"/>
      <c r="AV828" s="173"/>
    </row>
    <row r="829" spans="1:48" ht="14.25">
      <c r="A829" s="213"/>
      <c r="B829" s="624">
        <v>6</v>
      </c>
      <c r="C829" s="635" t="s">
        <v>1792</v>
      </c>
      <c r="D829" s="624" t="s">
        <v>70</v>
      </c>
      <c r="E829" s="626" t="s">
        <v>73</v>
      </c>
      <c r="F829" s="624" t="s">
        <v>115</v>
      </c>
      <c r="G829" s="631">
        <v>0</v>
      </c>
      <c r="H829" s="624">
        <v>0</v>
      </c>
      <c r="I829" s="627">
        <v>1</v>
      </c>
      <c r="J829" s="627">
        <v>1</v>
      </c>
      <c r="K829" s="631" t="s">
        <v>182</v>
      </c>
      <c r="L829" s="632"/>
      <c r="M829" s="631">
        <v>6</v>
      </c>
      <c r="N829" s="631">
        <v>6</v>
      </c>
      <c r="O829" s="633" t="s">
        <v>1793</v>
      </c>
      <c r="P829" s="634"/>
      <c r="Q829" s="624" t="s">
        <v>148</v>
      </c>
      <c r="R829" s="470"/>
      <c r="S829" s="292">
        <v>5</v>
      </c>
      <c r="T829" s="292">
        <v>9</v>
      </c>
      <c r="U829" s="292">
        <v>10</v>
      </c>
      <c r="V829" s="292">
        <v>3</v>
      </c>
      <c r="W829" s="197">
        <f t="shared" si="1010"/>
        <v>0</v>
      </c>
      <c r="X829" s="197">
        <f t="shared" si="1"/>
        <v>0</v>
      </c>
      <c r="Y829" s="197">
        <f t="shared" si="1133"/>
        <v>0</v>
      </c>
      <c r="Z829" s="197">
        <f t="shared" si="1012"/>
        <v>0</v>
      </c>
      <c r="AA829" s="199" t="b">
        <f t="shared" si="3"/>
        <v>1</v>
      </c>
      <c r="AB829" s="199" t="b">
        <f t="shared" si="4"/>
        <v>0</v>
      </c>
      <c r="AC829" s="200">
        <f t="shared" ref="AC829:AD829" si="1143">1-I829</f>
        <v>0</v>
      </c>
      <c r="AD829" s="200">
        <f t="shared" si="1143"/>
        <v>0</v>
      </c>
      <c r="AE829" s="199">
        <f t="shared" si="6"/>
        <v>0</v>
      </c>
      <c r="AF829" s="201">
        <f t="shared" si="1135"/>
        <v>0</v>
      </c>
      <c r="AG829" s="201">
        <f t="shared" si="8"/>
        <v>0</v>
      </c>
      <c r="AH829" s="202">
        <f t="shared" si="1136"/>
        <v>0</v>
      </c>
      <c r="AI829" s="470"/>
      <c r="AJ829" s="173"/>
      <c r="AK829" s="173"/>
      <c r="AL829" s="173"/>
      <c r="AM829" s="173"/>
      <c r="AN829" s="173"/>
      <c r="AO829" s="173"/>
      <c r="AP829" s="173"/>
      <c r="AQ829" s="173"/>
      <c r="AR829" s="173"/>
      <c r="AS829" s="173"/>
      <c r="AT829" s="173"/>
      <c r="AU829" s="173"/>
      <c r="AV829" s="173"/>
    </row>
    <row r="830" spans="1:48" ht="14.25">
      <c r="A830" s="206"/>
      <c r="B830" s="624">
        <v>6</v>
      </c>
      <c r="C830" s="625" t="s">
        <v>1794</v>
      </c>
      <c r="D830" s="624" t="s">
        <v>70</v>
      </c>
      <c r="E830" s="626" t="s">
        <v>73</v>
      </c>
      <c r="F830" s="624" t="s">
        <v>115</v>
      </c>
      <c r="G830" s="631">
        <v>0</v>
      </c>
      <c r="H830" s="624">
        <v>0</v>
      </c>
      <c r="I830" s="627">
        <v>1</v>
      </c>
      <c r="J830" s="627">
        <v>1</v>
      </c>
      <c r="K830" s="631" t="s">
        <v>182</v>
      </c>
      <c r="L830" s="631" t="s">
        <v>230</v>
      </c>
      <c r="M830" s="631">
        <v>5</v>
      </c>
      <c r="N830" s="631">
        <v>5</v>
      </c>
      <c r="O830" s="633" t="s">
        <v>1795</v>
      </c>
      <c r="P830" s="631" t="s">
        <v>184</v>
      </c>
      <c r="Q830" s="624" t="s">
        <v>148</v>
      </c>
      <c r="R830" s="470"/>
      <c r="S830" s="292">
        <v>5</v>
      </c>
      <c r="T830" s="292">
        <v>9</v>
      </c>
      <c r="U830" s="292">
        <v>10</v>
      </c>
      <c r="V830" s="292">
        <v>3</v>
      </c>
      <c r="W830" s="197">
        <f t="shared" si="1010"/>
        <v>0</v>
      </c>
      <c r="X830" s="197">
        <f t="shared" si="1"/>
        <v>0</v>
      </c>
      <c r="Y830" s="197">
        <f t="shared" si="1133"/>
        <v>0</v>
      </c>
      <c r="Z830" s="197">
        <f t="shared" si="1012"/>
        <v>0</v>
      </c>
      <c r="AA830" s="199" t="b">
        <f t="shared" si="3"/>
        <v>1</v>
      </c>
      <c r="AB830" s="199" t="b">
        <f t="shared" si="4"/>
        <v>0</v>
      </c>
      <c r="AC830" s="200">
        <f t="shared" ref="AC830:AD830" si="1144">1-I830</f>
        <v>0</v>
      </c>
      <c r="AD830" s="200">
        <f t="shared" si="1144"/>
        <v>0</v>
      </c>
      <c r="AE830" s="199">
        <f t="shared" si="6"/>
        <v>0</v>
      </c>
      <c r="AF830" s="201">
        <f t="shared" si="1135"/>
        <v>0</v>
      </c>
      <c r="AG830" s="201">
        <f t="shared" si="8"/>
        <v>0</v>
      </c>
      <c r="AH830" s="202">
        <f t="shared" si="1136"/>
        <v>0</v>
      </c>
      <c r="AI830" s="470"/>
      <c r="AJ830" s="173"/>
      <c r="AK830" s="173"/>
      <c r="AL830" s="173"/>
      <c r="AM830" s="173"/>
      <c r="AN830" s="173"/>
      <c r="AO830" s="173"/>
      <c r="AP830" s="173"/>
      <c r="AQ830" s="173"/>
      <c r="AR830" s="173"/>
      <c r="AS830" s="173"/>
      <c r="AT830" s="173"/>
      <c r="AU830" s="173"/>
      <c r="AV830" s="173"/>
    </row>
    <row r="831" spans="1:48" ht="14.25">
      <c r="A831" s="597"/>
      <c r="B831" s="624">
        <v>7</v>
      </c>
      <c r="C831" s="625" t="s">
        <v>1796</v>
      </c>
      <c r="D831" s="624" t="s">
        <v>70</v>
      </c>
      <c r="E831" s="626" t="s">
        <v>73</v>
      </c>
      <c r="F831" s="624" t="s">
        <v>25</v>
      </c>
      <c r="G831" s="631">
        <v>0</v>
      </c>
      <c r="H831" s="631">
        <v>0</v>
      </c>
      <c r="I831" s="627">
        <v>1</v>
      </c>
      <c r="J831" s="627">
        <v>1</v>
      </c>
      <c r="K831" s="624" t="s">
        <v>182</v>
      </c>
      <c r="L831" s="628"/>
      <c r="M831" s="624">
        <v>7</v>
      </c>
      <c r="N831" s="624">
        <v>7</v>
      </c>
      <c r="O831" s="629" t="s">
        <v>1797</v>
      </c>
      <c r="P831" s="624" t="s">
        <v>184</v>
      </c>
      <c r="Q831" s="624" t="s">
        <v>148</v>
      </c>
      <c r="R831" s="470"/>
      <c r="S831" s="292">
        <v>5</v>
      </c>
      <c r="T831" s="292">
        <v>9</v>
      </c>
      <c r="U831" s="292">
        <v>8</v>
      </c>
      <c r="V831" s="292">
        <v>3</v>
      </c>
      <c r="W831" s="197">
        <f t="shared" si="1010"/>
        <v>0</v>
      </c>
      <c r="X831" s="197">
        <f t="shared" si="1"/>
        <v>0</v>
      </c>
      <c r="Y831" s="197">
        <f t="shared" si="1133"/>
        <v>0</v>
      </c>
      <c r="Z831" s="197">
        <f t="shared" si="1012"/>
        <v>0</v>
      </c>
      <c r="AA831" s="199" t="b">
        <f t="shared" si="3"/>
        <v>1</v>
      </c>
      <c r="AB831" s="199" t="b">
        <f t="shared" si="4"/>
        <v>0</v>
      </c>
      <c r="AC831" s="200">
        <f t="shared" ref="AC831:AD831" si="1145">1-I831</f>
        <v>0</v>
      </c>
      <c r="AD831" s="200">
        <f t="shared" si="1145"/>
        <v>0</v>
      </c>
      <c r="AE831" s="199">
        <f t="shared" si="6"/>
        <v>0</v>
      </c>
      <c r="AF831" s="201">
        <f t="shared" si="1135"/>
        <v>0</v>
      </c>
      <c r="AG831" s="201">
        <f t="shared" si="8"/>
        <v>0</v>
      </c>
      <c r="AH831" s="202">
        <f t="shared" si="1136"/>
        <v>0</v>
      </c>
      <c r="AI831" s="470"/>
      <c r="AJ831" s="173"/>
      <c r="AK831" s="173"/>
      <c r="AL831" s="173"/>
      <c r="AM831" s="173"/>
      <c r="AN831" s="173"/>
      <c r="AO831" s="173"/>
      <c r="AP831" s="173"/>
      <c r="AQ831" s="173"/>
      <c r="AR831" s="173"/>
      <c r="AS831" s="173"/>
      <c r="AT831" s="173"/>
      <c r="AU831" s="173"/>
      <c r="AV831" s="173"/>
    </row>
    <row r="832" spans="1:48" ht="14.25">
      <c r="A832" s="206"/>
      <c r="B832" s="624">
        <v>7</v>
      </c>
      <c r="C832" s="625" t="s">
        <v>1798</v>
      </c>
      <c r="D832" s="624" t="s">
        <v>70</v>
      </c>
      <c r="E832" s="626" t="s">
        <v>73</v>
      </c>
      <c r="F832" s="624" t="s">
        <v>26</v>
      </c>
      <c r="G832" s="631">
        <v>0</v>
      </c>
      <c r="H832" s="624">
        <v>0</v>
      </c>
      <c r="I832" s="627">
        <v>1</v>
      </c>
      <c r="J832" s="627">
        <v>1</v>
      </c>
      <c r="K832" s="624" t="s">
        <v>182</v>
      </c>
      <c r="L832" s="628"/>
      <c r="M832" s="624">
        <v>6</v>
      </c>
      <c r="N832" s="624">
        <v>5</v>
      </c>
      <c r="O832" s="629" t="s">
        <v>1799</v>
      </c>
      <c r="P832" s="624" t="s">
        <v>184</v>
      </c>
      <c r="Q832" s="624" t="s">
        <v>148</v>
      </c>
      <c r="R832" s="470"/>
      <c r="S832" s="292">
        <v>5</v>
      </c>
      <c r="T832" s="292">
        <v>9</v>
      </c>
      <c r="U832" s="292">
        <v>9</v>
      </c>
      <c r="V832" s="292">
        <v>3</v>
      </c>
      <c r="W832" s="197">
        <f t="shared" si="1010"/>
        <v>0</v>
      </c>
      <c r="X832" s="197">
        <f t="shared" si="1"/>
        <v>0</v>
      </c>
      <c r="Y832" s="197">
        <f t="shared" si="1133"/>
        <v>0</v>
      </c>
      <c r="Z832" s="197">
        <f t="shared" si="1012"/>
        <v>0</v>
      </c>
      <c r="AA832" s="199" t="b">
        <f t="shared" si="3"/>
        <v>1</v>
      </c>
      <c r="AB832" s="199" t="b">
        <f t="shared" si="4"/>
        <v>0</v>
      </c>
      <c r="AC832" s="200">
        <f t="shared" ref="AC832:AD832" si="1146">1-I832</f>
        <v>0</v>
      </c>
      <c r="AD832" s="200">
        <f t="shared" si="1146"/>
        <v>0</v>
      </c>
      <c r="AE832" s="199">
        <f t="shared" si="6"/>
        <v>0</v>
      </c>
      <c r="AF832" s="201">
        <f t="shared" si="1135"/>
        <v>0</v>
      </c>
      <c r="AG832" s="201">
        <f t="shared" si="8"/>
        <v>0</v>
      </c>
      <c r="AH832" s="202">
        <f t="shared" si="1136"/>
        <v>0</v>
      </c>
      <c r="AI832" s="470"/>
      <c r="AJ832" s="173"/>
      <c r="AK832" s="173"/>
      <c r="AL832" s="173"/>
      <c r="AM832" s="173"/>
      <c r="AN832" s="173"/>
      <c r="AO832" s="173"/>
      <c r="AP832" s="173"/>
      <c r="AQ832" s="173"/>
      <c r="AR832" s="173"/>
      <c r="AS832" s="173"/>
      <c r="AT832" s="173"/>
      <c r="AU832" s="173"/>
      <c r="AV832" s="173"/>
    </row>
    <row r="833" spans="1:48" ht="14.25">
      <c r="A833" s="597"/>
      <c r="B833" s="624">
        <v>7</v>
      </c>
      <c r="C833" s="625" t="s">
        <v>1800</v>
      </c>
      <c r="D833" s="624" t="s">
        <v>70</v>
      </c>
      <c r="E833" s="626" t="s">
        <v>73</v>
      </c>
      <c r="F833" s="624" t="s">
        <v>115</v>
      </c>
      <c r="G833" s="631">
        <v>1</v>
      </c>
      <c r="H833" s="624">
        <v>0</v>
      </c>
      <c r="I833" s="627">
        <v>1</v>
      </c>
      <c r="J833" s="627">
        <v>1</v>
      </c>
      <c r="K833" s="631" t="s">
        <v>182</v>
      </c>
      <c r="L833" s="632"/>
      <c r="M833" s="631">
        <v>4</v>
      </c>
      <c r="N833" s="631">
        <v>6</v>
      </c>
      <c r="O833" s="633" t="s">
        <v>1801</v>
      </c>
      <c r="P833" s="631" t="s">
        <v>1662</v>
      </c>
      <c r="Q833" s="624" t="s">
        <v>148</v>
      </c>
      <c r="R833" s="470"/>
      <c r="S833" s="292">
        <v>5</v>
      </c>
      <c r="T833" s="292">
        <v>9</v>
      </c>
      <c r="U833" s="292">
        <v>10</v>
      </c>
      <c r="V833" s="292">
        <v>3</v>
      </c>
      <c r="W833" s="197">
        <f t="shared" si="1010"/>
        <v>1</v>
      </c>
      <c r="X833" s="197">
        <f t="shared" si="1"/>
        <v>1</v>
      </c>
      <c r="Y833" s="197">
        <f t="shared" si="1133"/>
        <v>0</v>
      </c>
      <c r="Z833" s="197">
        <f t="shared" si="1012"/>
        <v>1</v>
      </c>
      <c r="AA833" s="199" t="b">
        <f t="shared" si="3"/>
        <v>0</v>
      </c>
      <c r="AB833" s="199" t="b">
        <f t="shared" si="4"/>
        <v>0</v>
      </c>
      <c r="AC833" s="200">
        <f t="shared" ref="AC833:AD833" si="1147">1-I833</f>
        <v>0</v>
      </c>
      <c r="AD833" s="200">
        <f t="shared" si="1147"/>
        <v>0</v>
      </c>
      <c r="AE833" s="199">
        <f t="shared" si="6"/>
        <v>1</v>
      </c>
      <c r="AF833" s="201">
        <f t="shared" si="1135"/>
        <v>0</v>
      </c>
      <c r="AG833" s="201">
        <f t="shared" si="8"/>
        <v>1</v>
      </c>
      <c r="AH833" s="202">
        <f t="shared" si="1136"/>
        <v>0</v>
      </c>
      <c r="AI833" s="470"/>
      <c r="AJ833" s="173"/>
      <c r="AK833" s="173"/>
      <c r="AL833" s="173"/>
      <c r="AM833" s="173"/>
      <c r="AN833" s="173"/>
      <c r="AO833" s="173"/>
      <c r="AP833" s="173"/>
      <c r="AQ833" s="173"/>
      <c r="AR833" s="173"/>
      <c r="AS833" s="173"/>
      <c r="AT833" s="173"/>
      <c r="AU833" s="173"/>
      <c r="AV833" s="173"/>
    </row>
    <row r="834" spans="1:48" ht="14.25">
      <c r="A834" s="206"/>
      <c r="B834" s="624">
        <v>8</v>
      </c>
      <c r="C834" s="625" t="s">
        <v>1802</v>
      </c>
      <c r="D834" s="624" t="s">
        <v>70</v>
      </c>
      <c r="E834" s="626" t="s">
        <v>73</v>
      </c>
      <c r="F834" s="624" t="s">
        <v>13</v>
      </c>
      <c r="G834" s="631">
        <v>0</v>
      </c>
      <c r="H834" s="624">
        <v>0</v>
      </c>
      <c r="I834" s="627">
        <v>1</v>
      </c>
      <c r="J834" s="627">
        <v>1</v>
      </c>
      <c r="K834" s="624" t="s">
        <v>182</v>
      </c>
      <c r="L834" s="628"/>
      <c r="M834" s="624">
        <v>8</v>
      </c>
      <c r="N834" s="624">
        <v>6</v>
      </c>
      <c r="O834" s="629" t="s">
        <v>1803</v>
      </c>
      <c r="P834" s="624" t="s">
        <v>1348</v>
      </c>
      <c r="Q834" s="624" t="s">
        <v>148</v>
      </c>
      <c r="R834" s="470"/>
      <c r="S834" s="292">
        <v>5</v>
      </c>
      <c r="T834" s="292">
        <v>9</v>
      </c>
      <c r="U834" s="292">
        <v>3</v>
      </c>
      <c r="V834" s="292">
        <v>3</v>
      </c>
      <c r="W834" s="197">
        <f t="shared" si="1010"/>
        <v>0</v>
      </c>
      <c r="X834" s="197">
        <f t="shared" si="1"/>
        <v>0</v>
      </c>
      <c r="Y834" s="197">
        <f t="shared" si="1133"/>
        <v>0</v>
      </c>
      <c r="Z834" s="197">
        <f t="shared" si="1012"/>
        <v>0</v>
      </c>
      <c r="AA834" s="199" t="b">
        <f t="shared" si="3"/>
        <v>1</v>
      </c>
      <c r="AB834" s="199" t="b">
        <f t="shared" si="4"/>
        <v>0</v>
      </c>
      <c r="AC834" s="200">
        <f t="shared" ref="AC834:AD834" si="1148">1-I834</f>
        <v>0</v>
      </c>
      <c r="AD834" s="200">
        <f t="shared" si="1148"/>
        <v>0</v>
      </c>
      <c r="AE834" s="199">
        <f t="shared" si="6"/>
        <v>0</v>
      </c>
      <c r="AF834" s="201">
        <f t="shared" si="1135"/>
        <v>0</v>
      </c>
      <c r="AG834" s="201">
        <f t="shared" si="8"/>
        <v>0</v>
      </c>
      <c r="AH834" s="202">
        <f t="shared" si="1136"/>
        <v>0</v>
      </c>
      <c r="AI834" s="470"/>
      <c r="AJ834" s="173"/>
      <c r="AK834" s="173"/>
      <c r="AL834" s="173"/>
      <c r="AM834" s="173"/>
      <c r="AN834" s="173"/>
      <c r="AO834" s="173"/>
      <c r="AP834" s="173"/>
      <c r="AQ834" s="173"/>
      <c r="AR834" s="173"/>
      <c r="AS834" s="173"/>
      <c r="AT834" s="173"/>
      <c r="AU834" s="173"/>
      <c r="AV834" s="173"/>
    </row>
    <row r="835" spans="1:48" ht="14.25">
      <c r="A835" s="206"/>
      <c r="B835" s="624">
        <v>8</v>
      </c>
      <c r="C835" s="625" t="s">
        <v>1804</v>
      </c>
      <c r="D835" s="624" t="s">
        <v>70</v>
      </c>
      <c r="E835" s="626" t="s">
        <v>73</v>
      </c>
      <c r="F835" s="624" t="s">
        <v>16</v>
      </c>
      <c r="G835" s="631">
        <v>0</v>
      </c>
      <c r="H835" s="624">
        <v>0</v>
      </c>
      <c r="I835" s="627">
        <v>1</v>
      </c>
      <c r="J835" s="627">
        <v>1</v>
      </c>
      <c r="K835" s="624" t="s">
        <v>182</v>
      </c>
      <c r="L835" s="628"/>
      <c r="M835" s="624">
        <v>8</v>
      </c>
      <c r="N835" s="624">
        <v>8</v>
      </c>
      <c r="O835" s="629" t="s">
        <v>1805</v>
      </c>
      <c r="P835" s="630"/>
      <c r="Q835" s="624" t="s">
        <v>148</v>
      </c>
      <c r="R835" s="470"/>
      <c r="S835" s="292">
        <v>5</v>
      </c>
      <c r="T835" s="292">
        <v>9</v>
      </c>
      <c r="U835" s="292">
        <v>4</v>
      </c>
      <c r="V835" s="292">
        <v>3</v>
      </c>
      <c r="W835" s="197">
        <f t="shared" si="1010"/>
        <v>0</v>
      </c>
      <c r="X835" s="197">
        <f t="shared" si="1"/>
        <v>0</v>
      </c>
      <c r="Y835" s="197">
        <f t="shared" si="1133"/>
        <v>0</v>
      </c>
      <c r="Z835" s="197">
        <f t="shared" si="1012"/>
        <v>0</v>
      </c>
      <c r="AA835" s="199" t="b">
        <f t="shared" si="3"/>
        <v>1</v>
      </c>
      <c r="AB835" s="199" t="b">
        <f t="shared" si="4"/>
        <v>0</v>
      </c>
      <c r="AC835" s="200">
        <f t="shared" ref="AC835:AD835" si="1149">1-I835</f>
        <v>0</v>
      </c>
      <c r="AD835" s="200">
        <f t="shared" si="1149"/>
        <v>0</v>
      </c>
      <c r="AE835" s="199">
        <f t="shared" si="6"/>
        <v>0</v>
      </c>
      <c r="AF835" s="201">
        <f t="shared" si="1135"/>
        <v>0</v>
      </c>
      <c r="AG835" s="201">
        <f t="shared" si="8"/>
        <v>0</v>
      </c>
      <c r="AH835" s="202">
        <f t="shared" si="1136"/>
        <v>0</v>
      </c>
      <c r="AI835" s="470"/>
      <c r="AJ835" s="173"/>
      <c r="AK835" s="173"/>
      <c r="AL835" s="173"/>
      <c r="AM835" s="173"/>
      <c r="AN835" s="173"/>
      <c r="AO835" s="173"/>
      <c r="AP835" s="173"/>
      <c r="AQ835" s="173"/>
      <c r="AR835" s="173"/>
      <c r="AS835" s="173"/>
      <c r="AT835" s="173"/>
      <c r="AU835" s="173"/>
      <c r="AV835" s="173"/>
    </row>
    <row r="836" spans="1:48" ht="14.25">
      <c r="A836" s="206"/>
      <c r="B836" s="624">
        <v>8</v>
      </c>
      <c r="C836" s="625" t="s">
        <v>1806</v>
      </c>
      <c r="D836" s="624" t="s">
        <v>70</v>
      </c>
      <c r="E836" s="626" t="s">
        <v>73</v>
      </c>
      <c r="F836" s="624" t="s">
        <v>115</v>
      </c>
      <c r="G836" s="631">
        <v>0</v>
      </c>
      <c r="H836" s="624">
        <v>0</v>
      </c>
      <c r="I836" s="627">
        <v>1</v>
      </c>
      <c r="J836" s="627">
        <v>1</v>
      </c>
      <c r="K836" s="631" t="s">
        <v>182</v>
      </c>
      <c r="L836" s="632"/>
      <c r="M836" s="631">
        <v>6</v>
      </c>
      <c r="N836" s="631">
        <v>7</v>
      </c>
      <c r="O836" s="633" t="s">
        <v>1807</v>
      </c>
      <c r="P836" s="634"/>
      <c r="Q836" s="624" t="s">
        <v>148</v>
      </c>
      <c r="R836" s="470"/>
      <c r="S836" s="292">
        <v>5</v>
      </c>
      <c r="T836" s="292">
        <v>9</v>
      </c>
      <c r="U836" s="292">
        <v>10</v>
      </c>
      <c r="V836" s="292">
        <v>3</v>
      </c>
      <c r="W836" s="197">
        <f t="shared" si="1010"/>
        <v>0</v>
      </c>
      <c r="X836" s="197">
        <f t="shared" si="1"/>
        <v>0</v>
      </c>
      <c r="Y836" s="197">
        <f t="shared" si="1133"/>
        <v>0</v>
      </c>
      <c r="Z836" s="197">
        <f t="shared" si="1012"/>
        <v>0</v>
      </c>
      <c r="AA836" s="199" t="b">
        <f t="shared" si="3"/>
        <v>1</v>
      </c>
      <c r="AB836" s="199" t="b">
        <f t="shared" si="4"/>
        <v>0</v>
      </c>
      <c r="AC836" s="200">
        <f t="shared" ref="AC836:AD836" si="1150">1-I836</f>
        <v>0</v>
      </c>
      <c r="AD836" s="200">
        <f t="shared" si="1150"/>
        <v>0</v>
      </c>
      <c r="AE836" s="199">
        <f t="shared" si="6"/>
        <v>0</v>
      </c>
      <c r="AF836" s="201">
        <f t="shared" si="1135"/>
        <v>0</v>
      </c>
      <c r="AG836" s="201">
        <f t="shared" si="8"/>
        <v>0</v>
      </c>
      <c r="AH836" s="202">
        <f t="shared" si="1136"/>
        <v>0</v>
      </c>
      <c r="AI836" s="470"/>
      <c r="AJ836" s="173"/>
      <c r="AK836" s="173"/>
      <c r="AL836" s="173"/>
      <c r="AM836" s="173"/>
      <c r="AN836" s="173"/>
      <c r="AO836" s="173"/>
      <c r="AP836" s="173"/>
      <c r="AQ836" s="173"/>
      <c r="AR836" s="173"/>
      <c r="AS836" s="173"/>
      <c r="AT836" s="173"/>
      <c r="AU836" s="173"/>
      <c r="AV836" s="173"/>
    </row>
    <row r="837" spans="1:48" ht="14.25">
      <c r="A837" s="206"/>
      <c r="B837" s="624">
        <v>9</v>
      </c>
      <c r="C837" s="625" t="s">
        <v>1808</v>
      </c>
      <c r="D837" s="624" t="s">
        <v>70</v>
      </c>
      <c r="E837" s="626" t="s">
        <v>73</v>
      </c>
      <c r="F837" s="624" t="s">
        <v>115</v>
      </c>
      <c r="G837" s="631">
        <v>0</v>
      </c>
      <c r="H837" s="624">
        <v>0</v>
      </c>
      <c r="I837" s="627">
        <v>1</v>
      </c>
      <c r="J837" s="627">
        <v>1</v>
      </c>
      <c r="K837" s="631" t="s">
        <v>182</v>
      </c>
      <c r="L837" s="632"/>
      <c r="M837" s="631">
        <v>5</v>
      </c>
      <c r="N837" s="631">
        <v>9</v>
      </c>
      <c r="O837" s="633" t="s">
        <v>1809</v>
      </c>
      <c r="P837" s="631" t="s">
        <v>193</v>
      </c>
      <c r="Q837" s="624" t="s">
        <v>148</v>
      </c>
      <c r="R837" s="470"/>
      <c r="S837" s="292">
        <v>5</v>
      </c>
      <c r="T837" s="292">
        <v>9</v>
      </c>
      <c r="U837" s="292">
        <v>10</v>
      </c>
      <c r="V837" s="292">
        <v>3</v>
      </c>
      <c r="W837" s="197">
        <f t="shared" si="1010"/>
        <v>0</v>
      </c>
      <c r="X837" s="197">
        <f t="shared" si="1"/>
        <v>0</v>
      </c>
      <c r="Y837" s="197">
        <f t="shared" si="1133"/>
        <v>0</v>
      </c>
      <c r="Z837" s="197">
        <f t="shared" si="1012"/>
        <v>0</v>
      </c>
      <c r="AA837" s="199" t="b">
        <f t="shared" si="3"/>
        <v>1</v>
      </c>
      <c r="AB837" s="199" t="b">
        <f t="shared" si="4"/>
        <v>0</v>
      </c>
      <c r="AC837" s="200">
        <f t="shared" ref="AC837:AD837" si="1151">1-I837</f>
        <v>0</v>
      </c>
      <c r="AD837" s="200">
        <f t="shared" si="1151"/>
        <v>0</v>
      </c>
      <c r="AE837" s="199">
        <f t="shared" si="6"/>
        <v>0</v>
      </c>
      <c r="AF837" s="201">
        <f t="shared" si="1135"/>
        <v>0</v>
      </c>
      <c r="AG837" s="201">
        <f t="shared" si="8"/>
        <v>0</v>
      </c>
      <c r="AH837" s="202">
        <f t="shared" si="1136"/>
        <v>0</v>
      </c>
      <c r="AI837" s="470"/>
      <c r="AJ837" s="173"/>
      <c r="AK837" s="173"/>
      <c r="AL837" s="173"/>
      <c r="AM837" s="173"/>
      <c r="AN837" s="173"/>
      <c r="AO837" s="173"/>
      <c r="AP837" s="173"/>
      <c r="AQ837" s="173"/>
      <c r="AR837" s="173"/>
      <c r="AS837" s="173"/>
      <c r="AT837" s="173"/>
      <c r="AU837" s="173"/>
      <c r="AV837" s="173"/>
    </row>
    <row r="838" spans="1:48" ht="14.25">
      <c r="A838" s="206"/>
      <c r="B838" s="624">
        <v>10</v>
      </c>
      <c r="C838" s="625" t="s">
        <v>1810</v>
      </c>
      <c r="D838" s="624" t="s">
        <v>70</v>
      </c>
      <c r="E838" s="626" t="s">
        <v>73</v>
      </c>
      <c r="F838" s="624" t="s">
        <v>115</v>
      </c>
      <c r="G838" s="626">
        <v>1</v>
      </c>
      <c r="H838" s="624">
        <v>0</v>
      </c>
      <c r="I838" s="627">
        <v>1</v>
      </c>
      <c r="J838" s="627">
        <v>1</v>
      </c>
      <c r="K838" s="631" t="s">
        <v>182</v>
      </c>
      <c r="L838" s="632"/>
      <c r="M838" s="631">
        <v>6</v>
      </c>
      <c r="N838" s="631">
        <v>6</v>
      </c>
      <c r="O838" s="633" t="s">
        <v>1811</v>
      </c>
      <c r="P838" s="631" t="s">
        <v>184</v>
      </c>
      <c r="Q838" s="624" t="s">
        <v>148</v>
      </c>
      <c r="R838" s="470"/>
      <c r="S838" s="292">
        <v>5</v>
      </c>
      <c r="T838" s="292">
        <v>9</v>
      </c>
      <c r="U838" s="292">
        <v>10</v>
      </c>
      <c r="V838" s="292">
        <v>3</v>
      </c>
      <c r="W838" s="197">
        <f t="shared" si="1010"/>
        <v>1</v>
      </c>
      <c r="X838" s="197">
        <f t="shared" si="1"/>
        <v>1</v>
      </c>
      <c r="Y838" s="197">
        <f t="shared" si="1133"/>
        <v>0</v>
      </c>
      <c r="Z838" s="197">
        <f t="shared" si="1012"/>
        <v>1</v>
      </c>
      <c r="AA838" s="199" t="b">
        <f t="shared" si="3"/>
        <v>0</v>
      </c>
      <c r="AB838" s="199" t="b">
        <f t="shared" si="4"/>
        <v>0</v>
      </c>
      <c r="AC838" s="200">
        <f t="shared" ref="AC838:AD838" si="1152">1-I838</f>
        <v>0</v>
      </c>
      <c r="AD838" s="200">
        <f t="shared" si="1152"/>
        <v>0</v>
      </c>
      <c r="AE838" s="199">
        <f t="shared" si="6"/>
        <v>1</v>
      </c>
      <c r="AF838" s="201">
        <f t="shared" si="1135"/>
        <v>0</v>
      </c>
      <c r="AG838" s="201">
        <f t="shared" si="8"/>
        <v>1</v>
      </c>
      <c r="AH838" s="202">
        <f t="shared" si="1136"/>
        <v>0</v>
      </c>
      <c r="AI838" s="470"/>
      <c r="AJ838" s="173"/>
      <c r="AK838" s="173"/>
      <c r="AL838" s="173"/>
      <c r="AM838" s="173"/>
      <c r="AN838" s="173"/>
      <c r="AO838" s="173"/>
      <c r="AP838" s="173"/>
      <c r="AQ838" s="173"/>
      <c r="AR838" s="173"/>
      <c r="AS838" s="173"/>
      <c r="AT838" s="173"/>
      <c r="AU838" s="173"/>
      <c r="AV838" s="173"/>
    </row>
    <row r="839" spans="1:48" ht="14.25">
      <c r="A839" s="597"/>
      <c r="B839" s="624">
        <v>10</v>
      </c>
      <c r="C839" s="625" t="s">
        <v>1812</v>
      </c>
      <c r="D839" s="624" t="s">
        <v>70</v>
      </c>
      <c r="E839" s="626" t="s">
        <v>73</v>
      </c>
      <c r="F839" s="624" t="s">
        <v>115</v>
      </c>
      <c r="G839" s="626">
        <v>1</v>
      </c>
      <c r="H839" s="624">
        <v>0</v>
      </c>
      <c r="I839" s="627">
        <v>1</v>
      </c>
      <c r="J839" s="627">
        <v>1</v>
      </c>
      <c r="K839" s="631" t="s">
        <v>182</v>
      </c>
      <c r="L839" s="631" t="s">
        <v>415</v>
      </c>
      <c r="M839" s="631">
        <v>12</v>
      </c>
      <c r="N839" s="631">
        <v>12</v>
      </c>
      <c r="O839" s="633" t="s">
        <v>1813</v>
      </c>
      <c r="P839" s="631" t="s">
        <v>454</v>
      </c>
      <c r="Q839" s="624" t="s">
        <v>148</v>
      </c>
      <c r="R839" s="470"/>
      <c r="S839" s="292">
        <v>5</v>
      </c>
      <c r="T839" s="292">
        <v>9</v>
      </c>
      <c r="U839" s="292">
        <v>10</v>
      </c>
      <c r="V839" s="292">
        <v>3</v>
      </c>
      <c r="W839" s="197">
        <f t="shared" si="1010"/>
        <v>1</v>
      </c>
      <c r="X839" s="197">
        <f t="shared" si="1"/>
        <v>1</v>
      </c>
      <c r="Y839" s="197">
        <f t="shared" si="1133"/>
        <v>0</v>
      </c>
      <c r="Z839" s="197">
        <f t="shared" si="1012"/>
        <v>1</v>
      </c>
      <c r="AA839" s="199" t="b">
        <f t="shared" si="3"/>
        <v>0</v>
      </c>
      <c r="AB839" s="199" t="b">
        <f t="shared" si="4"/>
        <v>0</v>
      </c>
      <c r="AC839" s="200">
        <f t="shared" ref="AC839:AD839" si="1153">1-I839</f>
        <v>0</v>
      </c>
      <c r="AD839" s="200">
        <f t="shared" si="1153"/>
        <v>0</v>
      </c>
      <c r="AE839" s="199">
        <f t="shared" si="6"/>
        <v>1</v>
      </c>
      <c r="AF839" s="201">
        <f t="shared" si="1135"/>
        <v>0</v>
      </c>
      <c r="AG839" s="201">
        <f t="shared" si="8"/>
        <v>1</v>
      </c>
      <c r="AH839" s="202">
        <f t="shared" si="1136"/>
        <v>0</v>
      </c>
      <c r="AI839" s="470"/>
      <c r="AJ839" s="173"/>
      <c r="AK839" s="173"/>
      <c r="AL839" s="173"/>
      <c r="AM839" s="173"/>
      <c r="AN839" s="173"/>
      <c r="AO839" s="173"/>
      <c r="AP839" s="173"/>
      <c r="AQ839" s="173"/>
      <c r="AR839" s="173"/>
      <c r="AS839" s="173"/>
      <c r="AT839" s="173"/>
      <c r="AU839" s="173"/>
      <c r="AV839" s="173"/>
    </row>
    <row r="840" spans="1:48" ht="14.25">
      <c r="A840" s="206"/>
      <c r="B840" s="624">
        <v>10</v>
      </c>
      <c r="C840" s="635" t="s">
        <v>1814</v>
      </c>
      <c r="D840" s="624" t="s">
        <v>70</v>
      </c>
      <c r="E840" s="626" t="s">
        <v>73</v>
      </c>
      <c r="F840" s="624" t="s">
        <v>115</v>
      </c>
      <c r="G840" s="631">
        <v>1</v>
      </c>
      <c r="H840" s="624">
        <v>0</v>
      </c>
      <c r="I840" s="627">
        <v>1</v>
      </c>
      <c r="J840" s="627">
        <v>1</v>
      </c>
      <c r="K840" s="631" t="s">
        <v>182</v>
      </c>
      <c r="L840" s="632"/>
      <c r="M840" s="631">
        <v>5</v>
      </c>
      <c r="N840" s="631">
        <v>7</v>
      </c>
      <c r="O840" s="633" t="s">
        <v>1815</v>
      </c>
      <c r="P840" s="631" t="s">
        <v>184</v>
      </c>
      <c r="Q840" s="624" t="s">
        <v>148</v>
      </c>
      <c r="R840" s="470"/>
      <c r="S840" s="292">
        <v>5</v>
      </c>
      <c r="T840" s="292">
        <v>9</v>
      </c>
      <c r="U840" s="292">
        <v>10</v>
      </c>
      <c r="V840" s="292">
        <v>3</v>
      </c>
      <c r="W840" s="197">
        <f t="shared" si="1010"/>
        <v>1</v>
      </c>
      <c r="X840" s="197">
        <f t="shared" si="1"/>
        <v>1</v>
      </c>
      <c r="Y840" s="197">
        <f t="shared" si="1133"/>
        <v>0</v>
      </c>
      <c r="Z840" s="197">
        <f t="shared" si="1012"/>
        <v>1</v>
      </c>
      <c r="AA840" s="199" t="b">
        <f t="shared" si="3"/>
        <v>0</v>
      </c>
      <c r="AB840" s="199" t="b">
        <f t="shared" si="4"/>
        <v>0</v>
      </c>
      <c r="AC840" s="200">
        <f t="shared" ref="AC840:AD840" si="1154">1-I840</f>
        <v>0</v>
      </c>
      <c r="AD840" s="200">
        <f t="shared" si="1154"/>
        <v>0</v>
      </c>
      <c r="AE840" s="199">
        <f t="shared" si="6"/>
        <v>1</v>
      </c>
      <c r="AF840" s="201">
        <f t="shared" si="1135"/>
        <v>0</v>
      </c>
      <c r="AG840" s="201">
        <f t="shared" si="8"/>
        <v>1</v>
      </c>
      <c r="AH840" s="202">
        <f t="shared" si="1136"/>
        <v>0</v>
      </c>
      <c r="AI840" s="470"/>
      <c r="AJ840" s="173"/>
      <c r="AK840" s="173"/>
      <c r="AL840" s="173"/>
      <c r="AM840" s="173"/>
      <c r="AN840" s="173"/>
      <c r="AO840" s="173"/>
      <c r="AP840" s="173"/>
      <c r="AQ840" s="173"/>
      <c r="AR840" s="173"/>
      <c r="AS840" s="173"/>
      <c r="AT840" s="173"/>
      <c r="AU840" s="173"/>
      <c r="AV840" s="173"/>
    </row>
    <row r="841" spans="1:48" ht="14.25">
      <c r="A841" s="206"/>
      <c r="B841" s="624">
        <v>10</v>
      </c>
      <c r="C841" s="636" t="s">
        <v>1816</v>
      </c>
      <c r="D841" s="624" t="s">
        <v>70</v>
      </c>
      <c r="E841" s="626" t="s">
        <v>73</v>
      </c>
      <c r="F841" s="624" t="s">
        <v>115</v>
      </c>
      <c r="G841" s="626">
        <v>1</v>
      </c>
      <c r="H841" s="624">
        <v>0</v>
      </c>
      <c r="I841" s="627">
        <v>1</v>
      </c>
      <c r="J841" s="627">
        <v>1</v>
      </c>
      <c r="K841" s="624" t="s">
        <v>182</v>
      </c>
      <c r="L841" s="628"/>
      <c r="M841" s="624">
        <v>10</v>
      </c>
      <c r="N841" s="624">
        <v>10</v>
      </c>
      <c r="O841" s="629" t="s">
        <v>1817</v>
      </c>
      <c r="P841" s="630"/>
      <c r="Q841" s="624" t="s">
        <v>148</v>
      </c>
      <c r="R841" s="470"/>
      <c r="S841" s="289">
        <v>5</v>
      </c>
      <c r="T841" s="289">
        <v>9</v>
      </c>
      <c r="U841" s="289">
        <v>10</v>
      </c>
      <c r="V841" s="289">
        <v>3</v>
      </c>
      <c r="W841" s="197">
        <f t="shared" si="1010"/>
        <v>1</v>
      </c>
      <c r="X841" s="197">
        <f t="shared" si="1"/>
        <v>1</v>
      </c>
      <c r="Y841" s="197">
        <f t="shared" si="1133"/>
        <v>0</v>
      </c>
      <c r="Z841" s="197">
        <f t="shared" si="1012"/>
        <v>1</v>
      </c>
      <c r="AA841" s="199" t="b">
        <f t="shared" si="3"/>
        <v>0</v>
      </c>
      <c r="AB841" s="199" t="b">
        <f t="shared" si="4"/>
        <v>0</v>
      </c>
      <c r="AC841" s="200">
        <f t="shared" ref="AC841:AD841" si="1155">1-I841</f>
        <v>0</v>
      </c>
      <c r="AD841" s="200">
        <f t="shared" si="1155"/>
        <v>0</v>
      </c>
      <c r="AE841" s="199">
        <f t="shared" si="6"/>
        <v>1</v>
      </c>
      <c r="AF841" s="201">
        <f t="shared" si="1135"/>
        <v>0</v>
      </c>
      <c r="AG841" s="201">
        <f t="shared" si="8"/>
        <v>1</v>
      </c>
      <c r="AH841" s="202">
        <f t="shared" si="1136"/>
        <v>0</v>
      </c>
      <c r="AI841" s="470"/>
      <c r="AJ841" s="173"/>
      <c r="AK841" s="173"/>
      <c r="AL841" s="173"/>
      <c r="AM841" s="173"/>
      <c r="AN841" s="173"/>
      <c r="AO841" s="173"/>
      <c r="AP841" s="173"/>
      <c r="AQ841" s="173"/>
      <c r="AR841" s="173"/>
      <c r="AS841" s="173"/>
      <c r="AT841" s="173"/>
      <c r="AU841" s="173"/>
      <c r="AV841" s="173"/>
    </row>
    <row r="842" spans="1:48" ht="14.25">
      <c r="A842" s="213"/>
      <c r="B842" s="624">
        <v>10</v>
      </c>
      <c r="C842" s="636" t="s">
        <v>1818</v>
      </c>
      <c r="D842" s="624" t="s">
        <v>70</v>
      </c>
      <c r="E842" s="626" t="s">
        <v>73</v>
      </c>
      <c r="F842" s="624" t="s">
        <v>115</v>
      </c>
      <c r="G842" s="631">
        <v>0</v>
      </c>
      <c r="H842" s="624">
        <v>0</v>
      </c>
      <c r="I842" s="627">
        <v>1</v>
      </c>
      <c r="J842" s="627">
        <v>1</v>
      </c>
      <c r="K842" s="624" t="s">
        <v>182</v>
      </c>
      <c r="L842" s="628"/>
      <c r="M842" s="624">
        <v>7</v>
      </c>
      <c r="N842" s="624">
        <v>5</v>
      </c>
      <c r="O842" s="629" t="s">
        <v>1819</v>
      </c>
      <c r="P842" s="624" t="s">
        <v>184</v>
      </c>
      <c r="Q842" s="624" t="s">
        <v>148</v>
      </c>
      <c r="R842" s="470"/>
      <c r="S842" s="289">
        <v>5</v>
      </c>
      <c r="T842" s="289">
        <v>9</v>
      </c>
      <c r="U842" s="289">
        <v>10</v>
      </c>
      <c r="V842" s="289">
        <v>3</v>
      </c>
      <c r="W842" s="197">
        <f t="shared" si="1010"/>
        <v>0</v>
      </c>
      <c r="X842" s="197">
        <f t="shared" si="1"/>
        <v>0</v>
      </c>
      <c r="Y842" s="197">
        <f t="shared" si="1133"/>
        <v>0</v>
      </c>
      <c r="Z842" s="197">
        <f t="shared" si="1012"/>
        <v>0</v>
      </c>
      <c r="AA842" s="199" t="b">
        <f t="shared" si="3"/>
        <v>1</v>
      </c>
      <c r="AB842" s="199" t="b">
        <f t="shared" si="4"/>
        <v>0</v>
      </c>
      <c r="AC842" s="200">
        <f t="shared" ref="AC842:AD842" si="1156">1-I842</f>
        <v>0</v>
      </c>
      <c r="AD842" s="200">
        <f t="shared" si="1156"/>
        <v>0</v>
      </c>
      <c r="AE842" s="199">
        <f t="shared" si="6"/>
        <v>0</v>
      </c>
      <c r="AF842" s="201">
        <f t="shared" si="1135"/>
        <v>0</v>
      </c>
      <c r="AG842" s="201">
        <f t="shared" si="8"/>
        <v>0</v>
      </c>
      <c r="AH842" s="202">
        <f t="shared" si="1136"/>
        <v>0</v>
      </c>
      <c r="AI842" s="470"/>
      <c r="AJ842" s="173"/>
      <c r="AK842" s="173"/>
      <c r="AL842" s="173"/>
      <c r="AM842" s="173"/>
      <c r="AN842" s="173"/>
      <c r="AO842" s="173"/>
      <c r="AP842" s="173"/>
      <c r="AQ842" s="173"/>
      <c r="AR842" s="173"/>
      <c r="AS842" s="173"/>
      <c r="AT842" s="173"/>
      <c r="AU842" s="173"/>
      <c r="AV842" s="173"/>
    </row>
    <row r="843" spans="1:48" ht="14.25">
      <c r="A843" s="206"/>
      <c r="B843" s="637">
        <v>0</v>
      </c>
      <c r="C843" s="638" t="s">
        <v>1820</v>
      </c>
      <c r="D843" s="639" t="s">
        <v>68</v>
      </c>
      <c r="E843" s="639" t="s">
        <v>73</v>
      </c>
      <c r="F843" s="637" t="s">
        <v>25</v>
      </c>
      <c r="G843" s="639">
        <v>2</v>
      </c>
      <c r="H843" s="639">
        <v>1</v>
      </c>
      <c r="I843" s="640">
        <v>1</v>
      </c>
      <c r="J843" s="640">
        <v>1</v>
      </c>
      <c r="K843" s="637" t="s">
        <v>146</v>
      </c>
      <c r="L843" s="641"/>
      <c r="M843" s="641"/>
      <c r="N843" s="641"/>
      <c r="O843" s="642" t="s">
        <v>1821</v>
      </c>
      <c r="P843" s="643"/>
      <c r="Q843" s="637" t="s">
        <v>148</v>
      </c>
      <c r="R843" s="470"/>
      <c r="S843" s="292">
        <v>4</v>
      </c>
      <c r="T843" s="292">
        <v>9</v>
      </c>
      <c r="U843" s="292">
        <v>8</v>
      </c>
      <c r="V843" s="292">
        <v>2</v>
      </c>
      <c r="W843" s="197">
        <f t="shared" si="1010"/>
        <v>2</v>
      </c>
      <c r="X843" s="197">
        <f t="shared" si="1"/>
        <v>1</v>
      </c>
      <c r="Y843" s="197">
        <f>(MIN(G843,2)+H843-W843)*400</f>
        <v>400</v>
      </c>
      <c r="Z843" s="197">
        <f t="shared" si="1012"/>
        <v>2</v>
      </c>
      <c r="AA843" s="199" t="b">
        <f t="shared" si="3"/>
        <v>0</v>
      </c>
      <c r="AB843" s="199" t="b">
        <f t="shared" si="4"/>
        <v>0</v>
      </c>
      <c r="AC843" s="200">
        <f t="shared" ref="AC843:AD843" si="1157">1-I843</f>
        <v>0</v>
      </c>
      <c r="AD843" s="200">
        <f t="shared" si="1157"/>
        <v>0</v>
      </c>
      <c r="AE843" s="199">
        <f t="shared" si="6"/>
        <v>2</v>
      </c>
      <c r="AF843" s="201">
        <f t="shared" ref="AF843:AF878" si="1158">MIN((H843),2)</f>
        <v>1</v>
      </c>
      <c r="AG843" s="201">
        <f t="shared" si="8"/>
        <v>1</v>
      </c>
      <c r="AH843" s="202">
        <f>(MIN(H843,2)+G843-W843)*100</f>
        <v>100</v>
      </c>
      <c r="AI843" s="470"/>
      <c r="AJ843" s="173"/>
      <c r="AK843" s="173"/>
      <c r="AL843" s="173"/>
      <c r="AM843" s="173"/>
      <c r="AN843" s="173"/>
      <c r="AO843" s="173"/>
      <c r="AP843" s="173"/>
      <c r="AQ843" s="173"/>
      <c r="AR843" s="173"/>
      <c r="AS843" s="173"/>
      <c r="AT843" s="173"/>
      <c r="AU843" s="173"/>
      <c r="AV843" s="173"/>
    </row>
    <row r="844" spans="1:48" ht="14.25">
      <c r="A844" s="206"/>
      <c r="B844" s="622">
        <v>1</v>
      </c>
      <c r="C844" s="644" t="s">
        <v>1822</v>
      </c>
      <c r="D844" s="622" t="s">
        <v>68</v>
      </c>
      <c r="E844" s="621" t="s">
        <v>73</v>
      </c>
      <c r="F844" s="622" t="s">
        <v>26</v>
      </c>
      <c r="G844" s="621">
        <v>2</v>
      </c>
      <c r="H844" s="622">
        <v>0</v>
      </c>
      <c r="I844" s="645">
        <v>1</v>
      </c>
      <c r="J844" s="645">
        <v>1</v>
      </c>
      <c r="K844" s="622" t="s">
        <v>146</v>
      </c>
      <c r="L844" s="646"/>
      <c r="M844" s="646"/>
      <c r="N844" s="646"/>
      <c r="O844" s="647" t="s">
        <v>1823</v>
      </c>
      <c r="P844" s="648"/>
      <c r="Q844" s="622" t="s">
        <v>148</v>
      </c>
      <c r="R844" s="470"/>
      <c r="S844" s="292">
        <v>3</v>
      </c>
      <c r="T844" s="292">
        <v>9</v>
      </c>
      <c r="U844" s="292">
        <v>9</v>
      </c>
      <c r="V844" s="292">
        <v>2</v>
      </c>
      <c r="W844" s="197">
        <f t="shared" si="1010"/>
        <v>2</v>
      </c>
      <c r="X844" s="197">
        <f t="shared" si="1"/>
        <v>1</v>
      </c>
      <c r="Y844" s="197">
        <f t="shared" ref="Y844:Y878" si="1159">(MIN(G844,2)+H844-W844)*100</f>
        <v>0</v>
      </c>
      <c r="Z844" s="197">
        <f t="shared" si="1012"/>
        <v>2</v>
      </c>
      <c r="AA844" s="199" t="b">
        <f t="shared" si="3"/>
        <v>0</v>
      </c>
      <c r="AB844" s="199" t="b">
        <f t="shared" si="4"/>
        <v>0</v>
      </c>
      <c r="AC844" s="200">
        <f t="shared" ref="AC844:AD844" si="1160">1-I844</f>
        <v>0</v>
      </c>
      <c r="AD844" s="200">
        <f t="shared" si="1160"/>
        <v>0</v>
      </c>
      <c r="AE844" s="199">
        <f t="shared" si="6"/>
        <v>2</v>
      </c>
      <c r="AF844" s="201">
        <f t="shared" si="1158"/>
        <v>0</v>
      </c>
      <c r="AG844" s="201">
        <f t="shared" si="8"/>
        <v>1</v>
      </c>
      <c r="AH844" s="202">
        <f t="shared" ref="AH844:AH878" si="1161">(MIN(H844,2)+G844-W844)*20</f>
        <v>0</v>
      </c>
      <c r="AI844" s="470"/>
      <c r="AJ844" s="173"/>
      <c r="AK844" s="173"/>
      <c r="AL844" s="173"/>
      <c r="AM844" s="173"/>
      <c r="AN844" s="173"/>
      <c r="AO844" s="173"/>
      <c r="AP844" s="173"/>
      <c r="AQ844" s="173"/>
      <c r="AR844" s="173"/>
      <c r="AS844" s="173"/>
      <c r="AT844" s="173"/>
      <c r="AU844" s="173"/>
      <c r="AV844" s="173"/>
    </row>
    <row r="845" spans="1:48" ht="14.25">
      <c r="A845" s="213"/>
      <c r="B845" s="622">
        <v>1</v>
      </c>
      <c r="C845" s="644" t="s">
        <v>1824</v>
      </c>
      <c r="D845" s="622" t="s">
        <v>68</v>
      </c>
      <c r="E845" s="621" t="s">
        <v>73</v>
      </c>
      <c r="F845" s="622" t="s">
        <v>21</v>
      </c>
      <c r="G845" s="621">
        <v>2</v>
      </c>
      <c r="H845" s="622">
        <v>0</v>
      </c>
      <c r="I845" s="645">
        <v>1</v>
      </c>
      <c r="J845" s="645">
        <v>1</v>
      </c>
      <c r="K845" s="622" t="s">
        <v>146</v>
      </c>
      <c r="L845" s="646"/>
      <c r="M845" s="646"/>
      <c r="N845" s="646"/>
      <c r="O845" s="647" t="s">
        <v>1825</v>
      </c>
      <c r="P845" s="648"/>
      <c r="Q845" s="622" t="s">
        <v>148</v>
      </c>
      <c r="R845" s="470"/>
      <c r="S845" s="292">
        <v>3</v>
      </c>
      <c r="T845" s="292">
        <v>9</v>
      </c>
      <c r="U845" s="292">
        <v>7</v>
      </c>
      <c r="V845" s="292">
        <v>2</v>
      </c>
      <c r="W845" s="197">
        <f t="shared" si="1010"/>
        <v>2</v>
      </c>
      <c r="X845" s="197">
        <f t="shared" si="1"/>
        <v>1</v>
      </c>
      <c r="Y845" s="197">
        <f t="shared" si="1159"/>
        <v>0</v>
      </c>
      <c r="Z845" s="197">
        <f t="shared" si="1012"/>
        <v>2</v>
      </c>
      <c r="AA845" s="199" t="b">
        <f t="shared" si="3"/>
        <v>0</v>
      </c>
      <c r="AB845" s="199" t="b">
        <f t="shared" si="4"/>
        <v>0</v>
      </c>
      <c r="AC845" s="200">
        <f t="shared" ref="AC845:AD845" si="1162">1-I845</f>
        <v>0</v>
      </c>
      <c r="AD845" s="200">
        <f t="shared" si="1162"/>
        <v>0</v>
      </c>
      <c r="AE845" s="199">
        <f t="shared" si="6"/>
        <v>2</v>
      </c>
      <c r="AF845" s="201">
        <f t="shared" si="1158"/>
        <v>0</v>
      </c>
      <c r="AG845" s="201">
        <f t="shared" si="8"/>
        <v>1</v>
      </c>
      <c r="AH845" s="202">
        <f t="shared" si="1161"/>
        <v>0</v>
      </c>
      <c r="AI845" s="470"/>
      <c r="AJ845" s="173"/>
      <c r="AK845" s="173"/>
      <c r="AL845" s="173"/>
      <c r="AM845" s="173"/>
      <c r="AN845" s="173"/>
      <c r="AO845" s="173"/>
      <c r="AP845" s="173"/>
      <c r="AQ845" s="173"/>
      <c r="AR845" s="173"/>
      <c r="AS845" s="173"/>
      <c r="AT845" s="173"/>
      <c r="AU845" s="173"/>
      <c r="AV845" s="173"/>
    </row>
    <row r="846" spans="1:48" ht="14.25">
      <c r="A846" s="213"/>
      <c r="B846" s="622">
        <v>1</v>
      </c>
      <c r="C846" s="644" t="s">
        <v>1826</v>
      </c>
      <c r="D846" s="622" t="s">
        <v>68</v>
      </c>
      <c r="E846" s="621" t="s">
        <v>73</v>
      </c>
      <c r="F846" s="622" t="s">
        <v>20</v>
      </c>
      <c r="G846" s="621">
        <v>2</v>
      </c>
      <c r="H846" s="622">
        <v>0</v>
      </c>
      <c r="I846" s="645">
        <v>1</v>
      </c>
      <c r="J846" s="645">
        <v>1</v>
      </c>
      <c r="K846" s="622" t="s">
        <v>146</v>
      </c>
      <c r="L846" s="646"/>
      <c r="M846" s="646"/>
      <c r="N846" s="646"/>
      <c r="O846" s="647" t="s">
        <v>1827</v>
      </c>
      <c r="P846" s="648"/>
      <c r="Q846" s="622" t="s">
        <v>148</v>
      </c>
      <c r="R846" s="470"/>
      <c r="S846" s="292">
        <v>3</v>
      </c>
      <c r="T846" s="292">
        <v>9</v>
      </c>
      <c r="U846" s="292">
        <v>6</v>
      </c>
      <c r="V846" s="292">
        <v>2</v>
      </c>
      <c r="W846" s="197">
        <f t="shared" si="1010"/>
        <v>2</v>
      </c>
      <c r="X846" s="197">
        <f t="shared" si="1"/>
        <v>1</v>
      </c>
      <c r="Y846" s="197">
        <f t="shared" si="1159"/>
        <v>0</v>
      </c>
      <c r="Z846" s="197">
        <f t="shared" si="1012"/>
        <v>2</v>
      </c>
      <c r="AA846" s="199" t="b">
        <f t="shared" si="3"/>
        <v>0</v>
      </c>
      <c r="AB846" s="199" t="b">
        <f t="shared" si="4"/>
        <v>0</v>
      </c>
      <c r="AC846" s="200">
        <f t="shared" ref="AC846:AD846" si="1163">1-I846</f>
        <v>0</v>
      </c>
      <c r="AD846" s="200">
        <f t="shared" si="1163"/>
        <v>0</v>
      </c>
      <c r="AE846" s="199">
        <f t="shared" si="6"/>
        <v>2</v>
      </c>
      <c r="AF846" s="201">
        <f t="shared" si="1158"/>
        <v>0</v>
      </c>
      <c r="AG846" s="201">
        <f t="shared" si="8"/>
        <v>1</v>
      </c>
      <c r="AH846" s="202">
        <f t="shared" si="1161"/>
        <v>0</v>
      </c>
      <c r="AI846" s="470"/>
      <c r="AJ846" s="173"/>
      <c r="AK846" s="173"/>
      <c r="AL846" s="173"/>
      <c r="AM846" s="173"/>
      <c r="AN846" s="173"/>
      <c r="AO846" s="173"/>
      <c r="AP846" s="173"/>
      <c r="AQ846" s="173"/>
      <c r="AR846" s="173"/>
      <c r="AS846" s="173"/>
      <c r="AT846" s="173"/>
      <c r="AU846" s="173"/>
      <c r="AV846" s="173"/>
    </row>
    <row r="847" spans="1:48" ht="14.25">
      <c r="A847" s="206"/>
      <c r="B847" s="622">
        <v>1</v>
      </c>
      <c r="C847" s="644" t="s">
        <v>1828</v>
      </c>
      <c r="D847" s="622" t="s">
        <v>68</v>
      </c>
      <c r="E847" s="621" t="s">
        <v>73</v>
      </c>
      <c r="F847" s="622" t="s">
        <v>16</v>
      </c>
      <c r="G847" s="649">
        <v>0</v>
      </c>
      <c r="H847" s="622">
        <v>0</v>
      </c>
      <c r="I847" s="645">
        <v>1</v>
      </c>
      <c r="J847" s="645">
        <v>1</v>
      </c>
      <c r="K847" s="622" t="s">
        <v>182</v>
      </c>
      <c r="L847" s="646"/>
      <c r="M847" s="622">
        <v>2</v>
      </c>
      <c r="N847" s="622">
        <v>1</v>
      </c>
      <c r="O847" s="647" t="s">
        <v>1829</v>
      </c>
      <c r="P847" s="622" t="s">
        <v>454</v>
      </c>
      <c r="Q847" s="622" t="s">
        <v>148</v>
      </c>
      <c r="R847" s="470"/>
      <c r="S847" s="292">
        <v>3</v>
      </c>
      <c r="T847" s="292">
        <v>9</v>
      </c>
      <c r="U847" s="292">
        <v>4</v>
      </c>
      <c r="V847" s="292">
        <v>3</v>
      </c>
      <c r="W847" s="197">
        <f t="shared" si="1010"/>
        <v>0</v>
      </c>
      <c r="X847" s="197">
        <f t="shared" si="1"/>
        <v>0</v>
      </c>
      <c r="Y847" s="197">
        <f t="shared" si="1159"/>
        <v>0</v>
      </c>
      <c r="Z847" s="197">
        <f t="shared" si="1012"/>
        <v>0</v>
      </c>
      <c r="AA847" s="199" t="b">
        <f t="shared" si="3"/>
        <v>1</v>
      </c>
      <c r="AB847" s="199" t="b">
        <f t="shared" si="4"/>
        <v>1</v>
      </c>
      <c r="AC847" s="200">
        <f t="shared" ref="AC847:AD847" si="1164">1-I847</f>
        <v>0</v>
      </c>
      <c r="AD847" s="200">
        <f t="shared" si="1164"/>
        <v>0</v>
      </c>
      <c r="AE847" s="199">
        <f t="shared" si="6"/>
        <v>0</v>
      </c>
      <c r="AF847" s="201">
        <f t="shared" si="1158"/>
        <v>0</v>
      </c>
      <c r="AG847" s="201">
        <f t="shared" si="8"/>
        <v>0</v>
      </c>
      <c r="AH847" s="202">
        <f t="shared" si="1161"/>
        <v>0</v>
      </c>
      <c r="AI847" s="470"/>
      <c r="AJ847" s="173"/>
      <c r="AK847" s="173"/>
      <c r="AL847" s="173"/>
      <c r="AM847" s="173"/>
      <c r="AN847" s="173"/>
      <c r="AO847" s="173"/>
      <c r="AP847" s="173"/>
      <c r="AQ847" s="173"/>
      <c r="AR847" s="173"/>
      <c r="AS847" s="173"/>
      <c r="AT847" s="173"/>
      <c r="AU847" s="173"/>
      <c r="AV847" s="173"/>
    </row>
    <row r="848" spans="1:48" ht="14.25">
      <c r="A848" s="206"/>
      <c r="B848" s="649">
        <v>2</v>
      </c>
      <c r="C848" s="644" t="s">
        <v>1830</v>
      </c>
      <c r="D848" s="649" t="s">
        <v>68</v>
      </c>
      <c r="E848" s="621" t="s">
        <v>73</v>
      </c>
      <c r="F848" s="649" t="s">
        <v>13</v>
      </c>
      <c r="G848" s="621">
        <v>2</v>
      </c>
      <c r="H848" s="621">
        <v>1</v>
      </c>
      <c r="I848" s="645">
        <v>1</v>
      </c>
      <c r="J848" s="645">
        <v>1</v>
      </c>
      <c r="K848" s="649" t="s">
        <v>182</v>
      </c>
      <c r="L848" s="650"/>
      <c r="M848" s="649">
        <v>3</v>
      </c>
      <c r="N848" s="649">
        <v>2</v>
      </c>
      <c r="O848" s="651" t="s">
        <v>1831</v>
      </c>
      <c r="P848" s="649" t="s">
        <v>268</v>
      </c>
      <c r="Q848" s="649" t="s">
        <v>148</v>
      </c>
      <c r="R848" s="470"/>
      <c r="S848" s="292">
        <v>3</v>
      </c>
      <c r="T848" s="292">
        <v>9</v>
      </c>
      <c r="U848" s="292">
        <v>3</v>
      </c>
      <c r="V848" s="292">
        <v>3</v>
      </c>
      <c r="W848" s="197">
        <f t="shared" si="1010"/>
        <v>2</v>
      </c>
      <c r="X848" s="197">
        <f t="shared" si="1"/>
        <v>1</v>
      </c>
      <c r="Y848" s="197">
        <f t="shared" si="1159"/>
        <v>100</v>
      </c>
      <c r="Z848" s="197">
        <f t="shared" si="1012"/>
        <v>2</v>
      </c>
      <c r="AA848" s="199" t="b">
        <f t="shared" si="3"/>
        <v>0</v>
      </c>
      <c r="AB848" s="199" t="b">
        <f t="shared" si="4"/>
        <v>0</v>
      </c>
      <c r="AC848" s="200">
        <f t="shared" ref="AC848:AD848" si="1165">1-I848</f>
        <v>0</v>
      </c>
      <c r="AD848" s="200">
        <f t="shared" si="1165"/>
        <v>0</v>
      </c>
      <c r="AE848" s="199">
        <f t="shared" si="6"/>
        <v>2</v>
      </c>
      <c r="AF848" s="201">
        <f t="shared" si="1158"/>
        <v>1</v>
      </c>
      <c r="AG848" s="201">
        <f t="shared" si="8"/>
        <v>1</v>
      </c>
      <c r="AH848" s="202">
        <f t="shared" si="1161"/>
        <v>20</v>
      </c>
      <c r="AI848" s="470"/>
      <c r="AJ848" s="173"/>
      <c r="AK848" s="173"/>
      <c r="AL848" s="173"/>
      <c r="AM848" s="173"/>
      <c r="AN848" s="173"/>
      <c r="AO848" s="173"/>
      <c r="AP848" s="173"/>
      <c r="AQ848" s="173"/>
      <c r="AR848" s="173"/>
      <c r="AS848" s="173"/>
      <c r="AT848" s="173"/>
      <c r="AU848" s="173"/>
      <c r="AV848" s="173"/>
    </row>
    <row r="849" spans="1:48" ht="14.25">
      <c r="A849" s="206"/>
      <c r="B849" s="622">
        <v>2</v>
      </c>
      <c r="C849" s="644" t="s">
        <v>1832</v>
      </c>
      <c r="D849" s="622" t="s">
        <v>68</v>
      </c>
      <c r="E849" s="621" t="s">
        <v>73</v>
      </c>
      <c r="F849" s="622" t="s">
        <v>25</v>
      </c>
      <c r="G849" s="621">
        <v>2</v>
      </c>
      <c r="H849" s="622">
        <v>0</v>
      </c>
      <c r="I849" s="645">
        <v>1</v>
      </c>
      <c r="J849" s="645">
        <v>1</v>
      </c>
      <c r="K849" s="622" t="s">
        <v>182</v>
      </c>
      <c r="L849" s="646"/>
      <c r="M849" s="622">
        <v>3</v>
      </c>
      <c r="N849" s="622">
        <v>2</v>
      </c>
      <c r="O849" s="647" t="s">
        <v>1833</v>
      </c>
      <c r="P849" s="622" t="s">
        <v>1785</v>
      </c>
      <c r="Q849" s="622" t="s">
        <v>148</v>
      </c>
      <c r="R849" s="470"/>
      <c r="S849" s="292">
        <v>3</v>
      </c>
      <c r="T849" s="292">
        <v>9</v>
      </c>
      <c r="U849" s="292">
        <v>8</v>
      </c>
      <c r="V849" s="292">
        <v>3</v>
      </c>
      <c r="W849" s="197">
        <f t="shared" si="1010"/>
        <v>2</v>
      </c>
      <c r="X849" s="197">
        <f t="shared" si="1"/>
        <v>1</v>
      </c>
      <c r="Y849" s="197">
        <f t="shared" si="1159"/>
        <v>0</v>
      </c>
      <c r="Z849" s="197">
        <f t="shared" si="1012"/>
        <v>2</v>
      </c>
      <c r="AA849" s="199" t="b">
        <f t="shared" si="3"/>
        <v>0</v>
      </c>
      <c r="AB849" s="199" t="b">
        <f t="shared" si="4"/>
        <v>0</v>
      </c>
      <c r="AC849" s="200">
        <f t="shared" ref="AC849:AD849" si="1166">1-I849</f>
        <v>0</v>
      </c>
      <c r="AD849" s="200">
        <f t="shared" si="1166"/>
        <v>0</v>
      </c>
      <c r="AE849" s="199">
        <f t="shared" si="6"/>
        <v>2</v>
      </c>
      <c r="AF849" s="201">
        <f t="shared" si="1158"/>
        <v>0</v>
      </c>
      <c r="AG849" s="201">
        <f t="shared" si="8"/>
        <v>1</v>
      </c>
      <c r="AH849" s="202">
        <f t="shared" si="1161"/>
        <v>0</v>
      </c>
      <c r="AI849" s="470"/>
      <c r="AJ849" s="173"/>
      <c r="AK849" s="173"/>
      <c r="AL849" s="173"/>
      <c r="AM849" s="173"/>
      <c r="AN849" s="173"/>
      <c r="AO849" s="173"/>
      <c r="AP849" s="173"/>
      <c r="AQ849" s="173"/>
      <c r="AR849" s="173"/>
      <c r="AS849" s="173"/>
      <c r="AT849" s="173"/>
      <c r="AU849" s="173"/>
      <c r="AV849" s="173"/>
    </row>
    <row r="850" spans="1:48" ht="14.25">
      <c r="A850" s="206"/>
      <c r="B850" s="622">
        <v>2</v>
      </c>
      <c r="C850" s="644" t="s">
        <v>1834</v>
      </c>
      <c r="D850" s="622" t="s">
        <v>68</v>
      </c>
      <c r="E850" s="621" t="s">
        <v>73</v>
      </c>
      <c r="F850" s="622" t="s">
        <v>20</v>
      </c>
      <c r="G850" s="621">
        <v>2</v>
      </c>
      <c r="H850" s="622">
        <v>0</v>
      </c>
      <c r="I850" s="645">
        <v>1</v>
      </c>
      <c r="J850" s="645">
        <v>1</v>
      </c>
      <c r="K850" s="622" t="s">
        <v>182</v>
      </c>
      <c r="L850" s="646"/>
      <c r="M850" s="622">
        <v>2</v>
      </c>
      <c r="N850" s="622">
        <v>2</v>
      </c>
      <c r="O850" s="647" t="s">
        <v>1835</v>
      </c>
      <c r="P850" s="648"/>
      <c r="Q850" s="622" t="s">
        <v>148</v>
      </c>
      <c r="R850" s="470"/>
      <c r="S850" s="292">
        <v>3</v>
      </c>
      <c r="T850" s="292">
        <v>9</v>
      </c>
      <c r="U850" s="292">
        <v>6</v>
      </c>
      <c r="V850" s="292">
        <v>3</v>
      </c>
      <c r="W850" s="197">
        <f t="shared" si="1010"/>
        <v>2</v>
      </c>
      <c r="X850" s="197">
        <f t="shared" si="1"/>
        <v>1</v>
      </c>
      <c r="Y850" s="197">
        <f t="shared" si="1159"/>
        <v>0</v>
      </c>
      <c r="Z850" s="197">
        <f t="shared" si="1012"/>
        <v>2</v>
      </c>
      <c r="AA850" s="199" t="b">
        <f t="shared" si="3"/>
        <v>0</v>
      </c>
      <c r="AB850" s="199" t="b">
        <f t="shared" si="4"/>
        <v>0</v>
      </c>
      <c r="AC850" s="200">
        <f t="shared" ref="AC850:AD850" si="1167">1-I850</f>
        <v>0</v>
      </c>
      <c r="AD850" s="200">
        <f t="shared" si="1167"/>
        <v>0</v>
      </c>
      <c r="AE850" s="199">
        <f t="shared" si="6"/>
        <v>2</v>
      </c>
      <c r="AF850" s="201">
        <f t="shared" si="1158"/>
        <v>0</v>
      </c>
      <c r="AG850" s="201">
        <f t="shared" si="8"/>
        <v>1</v>
      </c>
      <c r="AH850" s="202">
        <f t="shared" si="1161"/>
        <v>0</v>
      </c>
      <c r="AI850" s="470"/>
      <c r="AJ850" s="173"/>
      <c r="AK850" s="173"/>
      <c r="AL850" s="173"/>
      <c r="AM850" s="173"/>
      <c r="AN850" s="173"/>
      <c r="AO850" s="173"/>
      <c r="AP850" s="173"/>
      <c r="AQ850" s="173"/>
      <c r="AR850" s="173"/>
      <c r="AS850" s="173"/>
      <c r="AT850" s="173"/>
      <c r="AU850" s="173"/>
      <c r="AV850" s="173"/>
    </row>
    <row r="851" spans="1:48" ht="14.25">
      <c r="A851" s="206"/>
      <c r="B851" s="622">
        <v>3</v>
      </c>
      <c r="C851" s="644" t="s">
        <v>1836</v>
      </c>
      <c r="D851" s="622" t="s">
        <v>68</v>
      </c>
      <c r="E851" s="621" t="s">
        <v>73</v>
      </c>
      <c r="F851" s="622" t="s">
        <v>8</v>
      </c>
      <c r="G851" s="621">
        <v>2</v>
      </c>
      <c r="H851" s="649">
        <v>0</v>
      </c>
      <c r="I851" s="645">
        <v>1</v>
      </c>
      <c r="J851" s="645">
        <v>1</v>
      </c>
      <c r="K851" s="622" t="s">
        <v>182</v>
      </c>
      <c r="L851" s="622" t="s">
        <v>230</v>
      </c>
      <c r="M851" s="622">
        <v>2</v>
      </c>
      <c r="N851" s="622">
        <v>2</v>
      </c>
      <c r="O851" s="647" t="s">
        <v>1837</v>
      </c>
      <c r="P851" s="648"/>
      <c r="Q851" s="622" t="s">
        <v>148</v>
      </c>
      <c r="R851" s="470"/>
      <c r="S851" s="292">
        <v>3</v>
      </c>
      <c r="T851" s="292">
        <v>9</v>
      </c>
      <c r="U851" s="292">
        <v>1</v>
      </c>
      <c r="V851" s="292">
        <v>3</v>
      </c>
      <c r="W851" s="197">
        <f t="shared" si="1010"/>
        <v>2</v>
      </c>
      <c r="X851" s="197">
        <f t="shared" si="1"/>
        <v>1</v>
      </c>
      <c r="Y851" s="197">
        <f t="shared" si="1159"/>
        <v>0</v>
      </c>
      <c r="Z851" s="197">
        <f t="shared" si="1012"/>
        <v>2</v>
      </c>
      <c r="AA851" s="199" t="b">
        <f t="shared" si="3"/>
        <v>0</v>
      </c>
      <c r="AB851" s="199" t="b">
        <f t="shared" si="4"/>
        <v>0</v>
      </c>
      <c r="AC851" s="200">
        <f t="shared" ref="AC851:AD851" si="1168">1-I851</f>
        <v>0</v>
      </c>
      <c r="AD851" s="200">
        <f t="shared" si="1168"/>
        <v>0</v>
      </c>
      <c r="AE851" s="199">
        <f t="shared" si="6"/>
        <v>2</v>
      </c>
      <c r="AF851" s="201">
        <f t="shared" si="1158"/>
        <v>0</v>
      </c>
      <c r="AG851" s="201">
        <f t="shared" si="8"/>
        <v>1</v>
      </c>
      <c r="AH851" s="202">
        <f t="shared" si="1161"/>
        <v>0</v>
      </c>
      <c r="AI851" s="470"/>
      <c r="AJ851" s="173"/>
      <c r="AK851" s="173"/>
      <c r="AL851" s="173"/>
      <c r="AM851" s="173"/>
      <c r="AN851" s="173"/>
      <c r="AO851" s="173"/>
      <c r="AP851" s="173"/>
      <c r="AQ851" s="173"/>
      <c r="AR851" s="173"/>
      <c r="AS851" s="173"/>
      <c r="AT851" s="173"/>
      <c r="AU851" s="173"/>
      <c r="AV851" s="173"/>
    </row>
    <row r="852" spans="1:48" ht="14.25">
      <c r="A852" s="206"/>
      <c r="B852" s="622">
        <v>3</v>
      </c>
      <c r="C852" s="644" t="s">
        <v>1838</v>
      </c>
      <c r="D852" s="622" t="s">
        <v>68</v>
      </c>
      <c r="E852" s="621" t="s">
        <v>73</v>
      </c>
      <c r="F852" s="622" t="s">
        <v>26</v>
      </c>
      <c r="G852" s="621">
        <v>2</v>
      </c>
      <c r="H852" s="622">
        <v>0</v>
      </c>
      <c r="I852" s="645">
        <v>1</v>
      </c>
      <c r="J852" s="645">
        <v>1</v>
      </c>
      <c r="K852" s="622" t="s">
        <v>182</v>
      </c>
      <c r="L852" s="622" t="s">
        <v>536</v>
      </c>
      <c r="M852" s="622">
        <v>3</v>
      </c>
      <c r="N852" s="622">
        <v>4</v>
      </c>
      <c r="O852" s="647" t="s">
        <v>1839</v>
      </c>
      <c r="P852" s="622" t="s">
        <v>184</v>
      </c>
      <c r="Q852" s="622" t="s">
        <v>148</v>
      </c>
      <c r="R852" s="470"/>
      <c r="S852" s="292">
        <v>3</v>
      </c>
      <c r="T852" s="292">
        <v>9</v>
      </c>
      <c r="U852" s="292">
        <v>9</v>
      </c>
      <c r="V852" s="292">
        <v>3</v>
      </c>
      <c r="W852" s="197">
        <f t="shared" si="1010"/>
        <v>2</v>
      </c>
      <c r="X852" s="197">
        <f t="shared" si="1"/>
        <v>1</v>
      </c>
      <c r="Y852" s="197">
        <f t="shared" si="1159"/>
        <v>0</v>
      </c>
      <c r="Z852" s="197">
        <f t="shared" si="1012"/>
        <v>2</v>
      </c>
      <c r="AA852" s="199" t="b">
        <f t="shared" si="3"/>
        <v>0</v>
      </c>
      <c r="AB852" s="199" t="b">
        <f t="shared" si="4"/>
        <v>0</v>
      </c>
      <c r="AC852" s="200">
        <f t="shared" ref="AC852:AD852" si="1169">1-I852</f>
        <v>0</v>
      </c>
      <c r="AD852" s="200">
        <f t="shared" si="1169"/>
        <v>0</v>
      </c>
      <c r="AE852" s="199">
        <f t="shared" si="6"/>
        <v>2</v>
      </c>
      <c r="AF852" s="201">
        <f t="shared" si="1158"/>
        <v>0</v>
      </c>
      <c r="AG852" s="201">
        <f t="shared" si="8"/>
        <v>1</v>
      </c>
      <c r="AH852" s="202">
        <f t="shared" si="1161"/>
        <v>0</v>
      </c>
      <c r="AI852" s="470"/>
      <c r="AJ852" s="173"/>
      <c r="AK852" s="173"/>
      <c r="AL852" s="173"/>
      <c r="AM852" s="173"/>
      <c r="AN852" s="173"/>
      <c r="AO852" s="173"/>
      <c r="AP852" s="173"/>
      <c r="AQ852" s="173"/>
      <c r="AR852" s="173"/>
      <c r="AS852" s="173"/>
      <c r="AT852" s="173"/>
      <c r="AU852" s="173"/>
      <c r="AV852" s="173"/>
    </row>
    <row r="853" spans="1:48" ht="14.25">
      <c r="A853" s="206"/>
      <c r="B853" s="622">
        <v>3</v>
      </c>
      <c r="C853" s="644" t="s">
        <v>1840</v>
      </c>
      <c r="D853" s="622" t="s">
        <v>68</v>
      </c>
      <c r="E853" s="621" t="s">
        <v>73</v>
      </c>
      <c r="F853" s="622" t="s">
        <v>115</v>
      </c>
      <c r="G853" s="621">
        <v>1</v>
      </c>
      <c r="H853" s="649">
        <v>0</v>
      </c>
      <c r="I853" s="645">
        <v>1</v>
      </c>
      <c r="J853" s="645">
        <v>1</v>
      </c>
      <c r="K853" s="622" t="s">
        <v>182</v>
      </c>
      <c r="L853" s="646"/>
      <c r="M853" s="622">
        <v>2</v>
      </c>
      <c r="N853" s="622">
        <v>1</v>
      </c>
      <c r="O853" s="647" t="s">
        <v>1841</v>
      </c>
      <c r="P853" s="622" t="s">
        <v>275</v>
      </c>
      <c r="Q853" s="622" t="s">
        <v>148</v>
      </c>
      <c r="R853" s="470"/>
      <c r="S853" s="292">
        <v>3</v>
      </c>
      <c r="T853" s="292">
        <v>9</v>
      </c>
      <c r="U853" s="292">
        <v>10</v>
      </c>
      <c r="V853" s="292">
        <v>3</v>
      </c>
      <c r="W853" s="197">
        <f t="shared" si="1010"/>
        <v>1</v>
      </c>
      <c r="X853" s="197">
        <f t="shared" si="1"/>
        <v>1</v>
      </c>
      <c r="Y853" s="197">
        <f t="shared" si="1159"/>
        <v>0</v>
      </c>
      <c r="Z853" s="197">
        <f t="shared" si="1012"/>
        <v>1</v>
      </c>
      <c r="AA853" s="199" t="b">
        <f t="shared" si="3"/>
        <v>0</v>
      </c>
      <c r="AB853" s="199" t="b">
        <f t="shared" si="4"/>
        <v>1</v>
      </c>
      <c r="AC853" s="200">
        <f t="shared" ref="AC853:AD853" si="1170">1-I853</f>
        <v>0</v>
      </c>
      <c r="AD853" s="200">
        <f t="shared" si="1170"/>
        <v>0</v>
      </c>
      <c r="AE853" s="199">
        <f t="shared" si="6"/>
        <v>1</v>
      </c>
      <c r="AF853" s="201">
        <f t="shared" si="1158"/>
        <v>0</v>
      </c>
      <c r="AG853" s="201">
        <f t="shared" si="8"/>
        <v>1</v>
      </c>
      <c r="AH853" s="202">
        <f t="shared" si="1161"/>
        <v>0</v>
      </c>
      <c r="AI853" s="470"/>
      <c r="AJ853" s="173"/>
      <c r="AK853" s="173"/>
      <c r="AL853" s="173"/>
      <c r="AM853" s="173"/>
      <c r="AN853" s="173"/>
      <c r="AO853" s="173"/>
      <c r="AP853" s="173"/>
      <c r="AQ853" s="173"/>
      <c r="AR853" s="173"/>
      <c r="AS853" s="173"/>
      <c r="AT853" s="173"/>
      <c r="AU853" s="173"/>
      <c r="AV853" s="173"/>
    </row>
    <row r="854" spans="1:48" ht="14.25">
      <c r="A854" s="597"/>
      <c r="B854" s="622">
        <v>3</v>
      </c>
      <c r="C854" s="644" t="s">
        <v>1842</v>
      </c>
      <c r="D854" s="622" t="s">
        <v>68</v>
      </c>
      <c r="E854" s="621" t="s">
        <v>73</v>
      </c>
      <c r="F854" s="622" t="s">
        <v>11</v>
      </c>
      <c r="G854" s="621">
        <v>2</v>
      </c>
      <c r="H854" s="649">
        <v>0</v>
      </c>
      <c r="I854" s="645">
        <v>1</v>
      </c>
      <c r="J854" s="645">
        <v>1</v>
      </c>
      <c r="K854" s="622" t="s">
        <v>182</v>
      </c>
      <c r="L854" s="646"/>
      <c r="M854" s="622">
        <v>4</v>
      </c>
      <c r="N854" s="622">
        <v>2</v>
      </c>
      <c r="O854" s="647" t="s">
        <v>1843</v>
      </c>
      <c r="P854" s="622" t="s">
        <v>184</v>
      </c>
      <c r="Q854" s="622" t="s">
        <v>148</v>
      </c>
      <c r="R854" s="470"/>
      <c r="S854" s="292">
        <v>3</v>
      </c>
      <c r="T854" s="292">
        <v>9</v>
      </c>
      <c r="U854" s="292">
        <v>2</v>
      </c>
      <c r="V854" s="292">
        <v>3</v>
      </c>
      <c r="W854" s="197">
        <f t="shared" si="1010"/>
        <v>2</v>
      </c>
      <c r="X854" s="197">
        <f t="shared" si="1"/>
        <v>1</v>
      </c>
      <c r="Y854" s="197">
        <f t="shared" si="1159"/>
        <v>0</v>
      </c>
      <c r="Z854" s="197">
        <f t="shared" si="1012"/>
        <v>2</v>
      </c>
      <c r="AA854" s="199" t="b">
        <f t="shared" si="3"/>
        <v>0</v>
      </c>
      <c r="AB854" s="199" t="b">
        <f t="shared" si="4"/>
        <v>0</v>
      </c>
      <c r="AC854" s="200">
        <f t="shared" ref="AC854:AD854" si="1171">1-I854</f>
        <v>0</v>
      </c>
      <c r="AD854" s="200">
        <f t="shared" si="1171"/>
        <v>0</v>
      </c>
      <c r="AE854" s="199">
        <f t="shared" si="6"/>
        <v>2</v>
      </c>
      <c r="AF854" s="201">
        <f t="shared" si="1158"/>
        <v>0</v>
      </c>
      <c r="AG854" s="201">
        <f t="shared" si="8"/>
        <v>1</v>
      </c>
      <c r="AH854" s="202">
        <f t="shared" si="1161"/>
        <v>0</v>
      </c>
      <c r="AI854" s="470"/>
      <c r="AJ854" s="173"/>
      <c r="AK854" s="173"/>
      <c r="AL854" s="173"/>
      <c r="AM854" s="173"/>
      <c r="AN854" s="173"/>
      <c r="AO854" s="173"/>
      <c r="AP854" s="173"/>
      <c r="AQ854" s="173"/>
      <c r="AR854" s="173"/>
      <c r="AS854" s="173"/>
      <c r="AT854" s="173"/>
      <c r="AU854" s="173"/>
      <c r="AV854" s="173"/>
    </row>
    <row r="855" spans="1:48" ht="14.25">
      <c r="A855" s="206"/>
      <c r="B855" s="622">
        <v>3</v>
      </c>
      <c r="C855" s="644" t="s">
        <v>1844</v>
      </c>
      <c r="D855" s="622" t="s">
        <v>68</v>
      </c>
      <c r="E855" s="621" t="s">
        <v>73</v>
      </c>
      <c r="F855" s="622" t="s">
        <v>11</v>
      </c>
      <c r="G855" s="621">
        <v>2</v>
      </c>
      <c r="H855" s="622">
        <v>0</v>
      </c>
      <c r="I855" s="645">
        <v>1</v>
      </c>
      <c r="J855" s="645">
        <v>1</v>
      </c>
      <c r="K855" s="622" t="s">
        <v>146</v>
      </c>
      <c r="L855" s="646"/>
      <c r="M855" s="646"/>
      <c r="N855" s="646"/>
      <c r="O855" s="647" t="s">
        <v>1845</v>
      </c>
      <c r="P855" s="648"/>
      <c r="Q855" s="622" t="s">
        <v>148</v>
      </c>
      <c r="R855" s="470"/>
      <c r="S855" s="292">
        <v>3</v>
      </c>
      <c r="T855" s="292">
        <v>9</v>
      </c>
      <c r="U855" s="292">
        <v>2</v>
      </c>
      <c r="V855" s="292">
        <v>2</v>
      </c>
      <c r="W855" s="197">
        <f t="shared" si="1010"/>
        <v>2</v>
      </c>
      <c r="X855" s="197">
        <f t="shared" si="1"/>
        <v>1</v>
      </c>
      <c r="Y855" s="197">
        <f t="shared" si="1159"/>
        <v>0</v>
      </c>
      <c r="Z855" s="197">
        <f t="shared" si="1012"/>
        <v>2</v>
      </c>
      <c r="AA855" s="199" t="b">
        <f t="shared" si="3"/>
        <v>0</v>
      </c>
      <c r="AB855" s="199" t="b">
        <f t="shared" si="4"/>
        <v>0</v>
      </c>
      <c r="AC855" s="200">
        <f t="shared" ref="AC855:AD855" si="1172">1-I855</f>
        <v>0</v>
      </c>
      <c r="AD855" s="200">
        <f t="shared" si="1172"/>
        <v>0</v>
      </c>
      <c r="AE855" s="199">
        <f t="shared" si="6"/>
        <v>2</v>
      </c>
      <c r="AF855" s="201">
        <f t="shared" si="1158"/>
        <v>0</v>
      </c>
      <c r="AG855" s="201">
        <f t="shared" si="8"/>
        <v>1</v>
      </c>
      <c r="AH855" s="202">
        <f t="shared" si="1161"/>
        <v>0</v>
      </c>
      <c r="AI855" s="470"/>
      <c r="AJ855" s="173"/>
      <c r="AK855" s="173"/>
      <c r="AL855" s="173"/>
      <c r="AM855" s="173"/>
      <c r="AN855" s="173"/>
      <c r="AO855" s="173"/>
      <c r="AP855" s="173"/>
      <c r="AQ855" s="173"/>
      <c r="AR855" s="173"/>
      <c r="AS855" s="173"/>
      <c r="AT855" s="173"/>
      <c r="AU855" s="173"/>
      <c r="AV855" s="173"/>
    </row>
    <row r="856" spans="1:48" ht="14.25">
      <c r="A856" s="206"/>
      <c r="B856" s="622">
        <v>3</v>
      </c>
      <c r="C856" s="644" t="s">
        <v>1846</v>
      </c>
      <c r="D856" s="622" t="s">
        <v>68</v>
      </c>
      <c r="E856" s="621" t="s">
        <v>73</v>
      </c>
      <c r="F856" s="622" t="s">
        <v>16</v>
      </c>
      <c r="G856" s="649">
        <v>0</v>
      </c>
      <c r="H856" s="622">
        <v>0</v>
      </c>
      <c r="I856" s="645">
        <v>1</v>
      </c>
      <c r="J856" s="645">
        <v>1</v>
      </c>
      <c r="K856" s="622" t="s">
        <v>207</v>
      </c>
      <c r="L856" s="646"/>
      <c r="M856" s="646"/>
      <c r="N856" s="646"/>
      <c r="O856" s="647" t="s">
        <v>1847</v>
      </c>
      <c r="P856" s="622" t="s">
        <v>184</v>
      </c>
      <c r="Q856" s="622" t="s">
        <v>148</v>
      </c>
      <c r="R856" s="470"/>
      <c r="S856" s="292">
        <v>3</v>
      </c>
      <c r="T856" s="292">
        <v>9</v>
      </c>
      <c r="U856" s="292">
        <v>4</v>
      </c>
      <c r="V856" s="292">
        <v>1</v>
      </c>
      <c r="W856" s="197">
        <f t="shared" si="1010"/>
        <v>0</v>
      </c>
      <c r="X856" s="197">
        <f t="shared" si="1"/>
        <v>0</v>
      </c>
      <c r="Y856" s="197">
        <f t="shared" si="1159"/>
        <v>0</v>
      </c>
      <c r="Z856" s="197">
        <f t="shared" si="1012"/>
        <v>0</v>
      </c>
      <c r="AA856" s="199" t="b">
        <f t="shared" si="3"/>
        <v>1</v>
      </c>
      <c r="AB856" s="199" t="b">
        <f t="shared" si="4"/>
        <v>1</v>
      </c>
      <c r="AC856" s="200">
        <f t="shared" ref="AC856:AD856" si="1173">1-I856</f>
        <v>0</v>
      </c>
      <c r="AD856" s="200">
        <f t="shared" si="1173"/>
        <v>0</v>
      </c>
      <c r="AE856" s="199">
        <f t="shared" si="6"/>
        <v>0</v>
      </c>
      <c r="AF856" s="201">
        <f t="shared" si="1158"/>
        <v>0</v>
      </c>
      <c r="AG856" s="201">
        <f t="shared" si="8"/>
        <v>0</v>
      </c>
      <c r="AH856" s="202">
        <f t="shared" si="1161"/>
        <v>0</v>
      </c>
      <c r="AI856" s="470"/>
      <c r="AJ856" s="173"/>
      <c r="AK856" s="173"/>
      <c r="AL856" s="173"/>
      <c r="AM856" s="173"/>
      <c r="AN856" s="173"/>
      <c r="AO856" s="173"/>
      <c r="AP856" s="173"/>
      <c r="AQ856" s="173"/>
      <c r="AR856" s="173"/>
      <c r="AS856" s="173"/>
      <c r="AT856" s="173"/>
      <c r="AU856" s="173"/>
      <c r="AV856" s="173"/>
    </row>
    <row r="857" spans="1:48" ht="14.25">
      <c r="A857" s="597"/>
      <c r="B857" s="622">
        <v>3</v>
      </c>
      <c r="C857" s="644" t="s">
        <v>1848</v>
      </c>
      <c r="D857" s="622" t="s">
        <v>68</v>
      </c>
      <c r="E857" s="621" t="s">
        <v>73</v>
      </c>
      <c r="F857" s="622" t="s">
        <v>115</v>
      </c>
      <c r="G857" s="621">
        <v>2</v>
      </c>
      <c r="H857" s="649">
        <v>0</v>
      </c>
      <c r="I857" s="645">
        <v>1</v>
      </c>
      <c r="J857" s="645">
        <v>1</v>
      </c>
      <c r="K857" s="622" t="s">
        <v>182</v>
      </c>
      <c r="L857" s="646"/>
      <c r="M857" s="622">
        <v>3</v>
      </c>
      <c r="N857" s="622">
        <v>5</v>
      </c>
      <c r="O857" s="647" t="s">
        <v>1849</v>
      </c>
      <c r="P857" s="648"/>
      <c r="Q857" s="622" t="s">
        <v>148</v>
      </c>
      <c r="R857" s="470"/>
      <c r="S857" s="292">
        <v>3</v>
      </c>
      <c r="T857" s="292">
        <v>9</v>
      </c>
      <c r="U857" s="292">
        <v>10</v>
      </c>
      <c r="V857" s="292">
        <v>3</v>
      </c>
      <c r="W857" s="197">
        <f t="shared" si="1010"/>
        <v>2</v>
      </c>
      <c r="X857" s="197">
        <f t="shared" si="1"/>
        <v>1</v>
      </c>
      <c r="Y857" s="197">
        <f t="shared" si="1159"/>
        <v>0</v>
      </c>
      <c r="Z857" s="197">
        <f t="shared" si="1012"/>
        <v>2</v>
      </c>
      <c r="AA857" s="199" t="b">
        <f t="shared" si="3"/>
        <v>0</v>
      </c>
      <c r="AB857" s="199" t="b">
        <f t="shared" si="4"/>
        <v>0</v>
      </c>
      <c r="AC857" s="200">
        <f t="shared" ref="AC857:AD857" si="1174">1-I857</f>
        <v>0</v>
      </c>
      <c r="AD857" s="200">
        <f t="shared" si="1174"/>
        <v>0</v>
      </c>
      <c r="AE857" s="199">
        <f t="shared" si="6"/>
        <v>2</v>
      </c>
      <c r="AF857" s="201">
        <f t="shared" si="1158"/>
        <v>0</v>
      </c>
      <c r="AG857" s="201">
        <f t="shared" si="8"/>
        <v>1</v>
      </c>
      <c r="AH857" s="202">
        <f t="shared" si="1161"/>
        <v>0</v>
      </c>
      <c r="AI857" s="470"/>
      <c r="AJ857" s="173"/>
      <c r="AK857" s="173"/>
      <c r="AL857" s="173"/>
      <c r="AM857" s="173"/>
      <c r="AN857" s="173"/>
      <c r="AO857" s="173"/>
      <c r="AP857" s="173"/>
      <c r="AQ857" s="173"/>
      <c r="AR857" s="173"/>
      <c r="AS857" s="173"/>
      <c r="AT857" s="173"/>
      <c r="AU857" s="173"/>
      <c r="AV857" s="173"/>
    </row>
    <row r="858" spans="1:48" ht="14.25">
      <c r="A858" s="206"/>
      <c r="B858" s="622">
        <v>3</v>
      </c>
      <c r="C858" s="644" t="s">
        <v>1850</v>
      </c>
      <c r="D858" s="622" t="s">
        <v>68</v>
      </c>
      <c r="E858" s="621" t="s">
        <v>73</v>
      </c>
      <c r="F858" s="622" t="s">
        <v>25</v>
      </c>
      <c r="G858" s="621">
        <v>1</v>
      </c>
      <c r="H858" s="622">
        <v>0</v>
      </c>
      <c r="I858" s="645">
        <v>1</v>
      </c>
      <c r="J858" s="645">
        <v>1</v>
      </c>
      <c r="K858" s="622" t="s">
        <v>146</v>
      </c>
      <c r="L858" s="646"/>
      <c r="M858" s="646"/>
      <c r="N858" s="646"/>
      <c r="O858" s="647" t="s">
        <v>1851</v>
      </c>
      <c r="P858" s="648"/>
      <c r="Q858" s="622" t="s">
        <v>148</v>
      </c>
      <c r="R858" s="470"/>
      <c r="S858" s="292">
        <v>3</v>
      </c>
      <c r="T858" s="292">
        <v>9</v>
      </c>
      <c r="U858" s="292">
        <v>8</v>
      </c>
      <c r="V858" s="292">
        <v>2</v>
      </c>
      <c r="W858" s="197">
        <f t="shared" si="1010"/>
        <v>1</v>
      </c>
      <c r="X858" s="197">
        <f t="shared" si="1"/>
        <v>1</v>
      </c>
      <c r="Y858" s="197">
        <f t="shared" si="1159"/>
        <v>0</v>
      </c>
      <c r="Z858" s="197">
        <f t="shared" si="1012"/>
        <v>1</v>
      </c>
      <c r="AA858" s="199" t="b">
        <f t="shared" si="3"/>
        <v>0</v>
      </c>
      <c r="AB858" s="199" t="b">
        <f t="shared" si="4"/>
        <v>1</v>
      </c>
      <c r="AC858" s="200">
        <f t="shared" ref="AC858:AD858" si="1175">1-I858</f>
        <v>0</v>
      </c>
      <c r="AD858" s="200">
        <f t="shared" si="1175"/>
        <v>0</v>
      </c>
      <c r="AE858" s="199">
        <f t="shared" si="6"/>
        <v>1</v>
      </c>
      <c r="AF858" s="201">
        <f t="shared" si="1158"/>
        <v>0</v>
      </c>
      <c r="AG858" s="201">
        <f t="shared" si="8"/>
        <v>1</v>
      </c>
      <c r="AH858" s="202">
        <f t="shared" si="1161"/>
        <v>0</v>
      </c>
      <c r="AI858" s="470"/>
      <c r="AJ858" s="173"/>
      <c r="AK858" s="173"/>
      <c r="AL858" s="173"/>
      <c r="AM858" s="173"/>
      <c r="AN858" s="173"/>
      <c r="AO858" s="173"/>
      <c r="AP858" s="173"/>
      <c r="AQ858" s="173"/>
      <c r="AR858" s="173"/>
      <c r="AS858" s="173"/>
      <c r="AT858" s="173"/>
      <c r="AU858" s="173"/>
      <c r="AV858" s="173"/>
    </row>
    <row r="859" spans="1:48" ht="14.25">
      <c r="A859" s="206"/>
      <c r="B859" s="622">
        <v>3</v>
      </c>
      <c r="C859" s="644" t="s">
        <v>1852</v>
      </c>
      <c r="D859" s="622" t="s">
        <v>68</v>
      </c>
      <c r="E859" s="621" t="s">
        <v>73</v>
      </c>
      <c r="F859" s="622" t="s">
        <v>16</v>
      </c>
      <c r="G859" s="621">
        <v>2</v>
      </c>
      <c r="H859" s="622">
        <v>0</v>
      </c>
      <c r="I859" s="645">
        <v>1</v>
      </c>
      <c r="J859" s="645">
        <v>1</v>
      </c>
      <c r="K859" s="622" t="s">
        <v>182</v>
      </c>
      <c r="L859" s="646"/>
      <c r="M859" s="622">
        <v>3</v>
      </c>
      <c r="N859" s="622">
        <v>3</v>
      </c>
      <c r="O859" s="647" t="s">
        <v>1853</v>
      </c>
      <c r="P859" s="648"/>
      <c r="Q859" s="622" t="s">
        <v>148</v>
      </c>
      <c r="R859" s="470"/>
      <c r="S859" s="292">
        <v>3</v>
      </c>
      <c r="T859" s="292">
        <v>9</v>
      </c>
      <c r="U859" s="292">
        <v>4</v>
      </c>
      <c r="V859" s="292">
        <v>3</v>
      </c>
      <c r="W859" s="197">
        <f t="shared" si="1010"/>
        <v>2</v>
      </c>
      <c r="X859" s="197">
        <f t="shared" si="1"/>
        <v>1</v>
      </c>
      <c r="Y859" s="197">
        <f t="shared" si="1159"/>
        <v>0</v>
      </c>
      <c r="Z859" s="197">
        <f t="shared" si="1012"/>
        <v>2</v>
      </c>
      <c r="AA859" s="199" t="b">
        <f t="shared" si="3"/>
        <v>0</v>
      </c>
      <c r="AB859" s="199" t="b">
        <f t="shared" si="4"/>
        <v>0</v>
      </c>
      <c r="AC859" s="200">
        <f t="shared" ref="AC859:AD859" si="1176">1-I859</f>
        <v>0</v>
      </c>
      <c r="AD859" s="200">
        <f t="shared" si="1176"/>
        <v>0</v>
      </c>
      <c r="AE859" s="199">
        <f t="shared" si="6"/>
        <v>2</v>
      </c>
      <c r="AF859" s="201">
        <f t="shared" si="1158"/>
        <v>0</v>
      </c>
      <c r="AG859" s="201">
        <f t="shared" si="8"/>
        <v>1</v>
      </c>
      <c r="AH859" s="202">
        <f t="shared" si="1161"/>
        <v>0</v>
      </c>
      <c r="AI859" s="470"/>
      <c r="AJ859" s="173"/>
      <c r="AK859" s="173"/>
      <c r="AL859" s="173"/>
      <c r="AM859" s="173"/>
      <c r="AN859" s="173"/>
      <c r="AO859" s="173"/>
      <c r="AP859" s="173"/>
      <c r="AQ859" s="173"/>
      <c r="AR859" s="173"/>
      <c r="AS859" s="173"/>
      <c r="AT859" s="173"/>
      <c r="AU859" s="173"/>
      <c r="AV859" s="173"/>
    </row>
    <row r="860" spans="1:48" ht="14.25">
      <c r="A860" s="206"/>
      <c r="B860" s="622">
        <v>4</v>
      </c>
      <c r="C860" s="644" t="s">
        <v>1854</v>
      </c>
      <c r="D860" s="622" t="s">
        <v>68</v>
      </c>
      <c r="E860" s="621" t="s">
        <v>73</v>
      </c>
      <c r="F860" s="622" t="s">
        <v>115</v>
      </c>
      <c r="G860" s="621">
        <v>1</v>
      </c>
      <c r="H860" s="622">
        <v>0</v>
      </c>
      <c r="I860" s="645">
        <v>1</v>
      </c>
      <c r="J860" s="645">
        <v>1</v>
      </c>
      <c r="K860" s="622" t="s">
        <v>182</v>
      </c>
      <c r="L860" s="622" t="s">
        <v>536</v>
      </c>
      <c r="M860" s="622">
        <v>2</v>
      </c>
      <c r="N860" s="622">
        <v>5</v>
      </c>
      <c r="O860" s="647" t="s">
        <v>1855</v>
      </c>
      <c r="P860" s="648"/>
      <c r="Q860" s="622" t="s">
        <v>148</v>
      </c>
      <c r="R860" s="470"/>
      <c r="S860" s="292">
        <v>3</v>
      </c>
      <c r="T860" s="292">
        <v>9</v>
      </c>
      <c r="U860" s="292">
        <v>10</v>
      </c>
      <c r="V860" s="292">
        <v>3</v>
      </c>
      <c r="W860" s="197">
        <f t="shared" si="1010"/>
        <v>1</v>
      </c>
      <c r="X860" s="197">
        <f t="shared" si="1"/>
        <v>1</v>
      </c>
      <c r="Y860" s="197">
        <f t="shared" si="1159"/>
        <v>0</v>
      </c>
      <c r="Z860" s="197">
        <f t="shared" si="1012"/>
        <v>1</v>
      </c>
      <c r="AA860" s="199" t="b">
        <f t="shared" si="3"/>
        <v>0</v>
      </c>
      <c r="AB860" s="199" t="b">
        <f t="shared" si="4"/>
        <v>1</v>
      </c>
      <c r="AC860" s="200">
        <f t="shared" ref="AC860:AD860" si="1177">1-I860</f>
        <v>0</v>
      </c>
      <c r="AD860" s="200">
        <f t="shared" si="1177"/>
        <v>0</v>
      </c>
      <c r="AE860" s="199">
        <f t="shared" si="6"/>
        <v>1</v>
      </c>
      <c r="AF860" s="201">
        <f t="shared" si="1158"/>
        <v>0</v>
      </c>
      <c r="AG860" s="201">
        <f t="shared" si="8"/>
        <v>1</v>
      </c>
      <c r="AH860" s="202">
        <f t="shared" si="1161"/>
        <v>0</v>
      </c>
      <c r="AI860" s="470"/>
      <c r="AJ860" s="173"/>
      <c r="AK860" s="173"/>
      <c r="AL860" s="173"/>
      <c r="AM860" s="173"/>
      <c r="AN860" s="173"/>
      <c r="AO860" s="173"/>
      <c r="AP860" s="173"/>
      <c r="AQ860" s="173"/>
      <c r="AR860" s="173"/>
      <c r="AS860" s="173"/>
      <c r="AT860" s="173"/>
      <c r="AU860" s="173"/>
      <c r="AV860" s="173"/>
    </row>
    <row r="861" spans="1:48" ht="14.25">
      <c r="A861" s="206"/>
      <c r="B861" s="622">
        <v>4</v>
      </c>
      <c r="C861" s="644" t="s">
        <v>1856</v>
      </c>
      <c r="D861" s="622" t="s">
        <v>68</v>
      </c>
      <c r="E861" s="621" t="s">
        <v>73</v>
      </c>
      <c r="F861" s="622" t="s">
        <v>13</v>
      </c>
      <c r="G861" s="621">
        <v>2</v>
      </c>
      <c r="H861" s="649">
        <v>0</v>
      </c>
      <c r="I861" s="645">
        <v>1</v>
      </c>
      <c r="J861" s="645">
        <v>1</v>
      </c>
      <c r="K861" s="622" t="s">
        <v>182</v>
      </c>
      <c r="L861" s="646"/>
      <c r="M861" s="622">
        <v>2</v>
      </c>
      <c r="N861" s="622">
        <v>4</v>
      </c>
      <c r="O861" s="647" t="s">
        <v>1857</v>
      </c>
      <c r="P861" s="648"/>
      <c r="Q861" s="622" t="s">
        <v>148</v>
      </c>
      <c r="R861" s="470"/>
      <c r="S861" s="292">
        <v>3</v>
      </c>
      <c r="T861" s="292">
        <v>9</v>
      </c>
      <c r="U861" s="292">
        <v>3</v>
      </c>
      <c r="V861" s="292">
        <v>3</v>
      </c>
      <c r="W861" s="197">
        <f t="shared" si="1010"/>
        <v>2</v>
      </c>
      <c r="X861" s="197">
        <f t="shared" si="1"/>
        <v>1</v>
      </c>
      <c r="Y861" s="197">
        <f t="shared" si="1159"/>
        <v>0</v>
      </c>
      <c r="Z861" s="197">
        <f t="shared" si="1012"/>
        <v>2</v>
      </c>
      <c r="AA861" s="199" t="b">
        <f t="shared" si="3"/>
        <v>0</v>
      </c>
      <c r="AB861" s="199" t="b">
        <f t="shared" si="4"/>
        <v>0</v>
      </c>
      <c r="AC861" s="200">
        <f t="shared" ref="AC861:AD861" si="1178">1-I861</f>
        <v>0</v>
      </c>
      <c r="AD861" s="200">
        <f t="shared" si="1178"/>
        <v>0</v>
      </c>
      <c r="AE861" s="199">
        <f t="shared" si="6"/>
        <v>2</v>
      </c>
      <c r="AF861" s="201">
        <f t="shared" si="1158"/>
        <v>0</v>
      </c>
      <c r="AG861" s="201">
        <f t="shared" si="8"/>
        <v>1</v>
      </c>
      <c r="AH861" s="202">
        <f t="shared" si="1161"/>
        <v>0</v>
      </c>
      <c r="AI861" s="470"/>
      <c r="AJ861" s="173"/>
      <c r="AK861" s="173"/>
      <c r="AL861" s="173"/>
      <c r="AM861" s="173"/>
      <c r="AN861" s="173"/>
      <c r="AO861" s="173"/>
      <c r="AP861" s="173"/>
      <c r="AQ861" s="173"/>
      <c r="AR861" s="173"/>
      <c r="AS861" s="173"/>
      <c r="AT861" s="173"/>
      <c r="AU861" s="173"/>
      <c r="AV861" s="173"/>
    </row>
    <row r="862" spans="1:48" ht="14.25">
      <c r="A862" s="206"/>
      <c r="B862" s="622">
        <v>4</v>
      </c>
      <c r="C862" s="644" t="s">
        <v>1858</v>
      </c>
      <c r="D862" s="622" t="s">
        <v>68</v>
      </c>
      <c r="E862" s="621" t="s">
        <v>73</v>
      </c>
      <c r="F862" s="622" t="s">
        <v>115</v>
      </c>
      <c r="G862" s="621">
        <v>2</v>
      </c>
      <c r="H862" s="622">
        <v>0</v>
      </c>
      <c r="I862" s="645">
        <v>1</v>
      </c>
      <c r="J862" s="645">
        <v>1</v>
      </c>
      <c r="K862" s="622" t="s">
        <v>182</v>
      </c>
      <c r="L862" s="646"/>
      <c r="M862" s="622">
        <v>2</v>
      </c>
      <c r="N862" s="622">
        <v>4</v>
      </c>
      <c r="O862" s="647" t="s">
        <v>1859</v>
      </c>
      <c r="P862" s="622" t="s">
        <v>184</v>
      </c>
      <c r="Q862" s="622" t="s">
        <v>148</v>
      </c>
      <c r="R862" s="470"/>
      <c r="S862" s="292">
        <v>3</v>
      </c>
      <c r="T862" s="292">
        <v>9</v>
      </c>
      <c r="U862" s="292">
        <v>10</v>
      </c>
      <c r="V862" s="292">
        <v>3</v>
      </c>
      <c r="W862" s="197">
        <f t="shared" si="1010"/>
        <v>2</v>
      </c>
      <c r="X862" s="197">
        <f t="shared" si="1"/>
        <v>1</v>
      </c>
      <c r="Y862" s="197">
        <f t="shared" si="1159"/>
        <v>0</v>
      </c>
      <c r="Z862" s="197">
        <f t="shared" si="1012"/>
        <v>2</v>
      </c>
      <c r="AA862" s="199" t="b">
        <f t="shared" si="3"/>
        <v>0</v>
      </c>
      <c r="AB862" s="199" t="b">
        <f t="shared" si="4"/>
        <v>0</v>
      </c>
      <c r="AC862" s="200">
        <f t="shared" ref="AC862:AD862" si="1179">1-I862</f>
        <v>0</v>
      </c>
      <c r="AD862" s="200">
        <f t="shared" si="1179"/>
        <v>0</v>
      </c>
      <c r="AE862" s="199">
        <f t="shared" si="6"/>
        <v>2</v>
      </c>
      <c r="AF862" s="201">
        <f t="shared" si="1158"/>
        <v>0</v>
      </c>
      <c r="AG862" s="201">
        <f t="shared" si="8"/>
        <v>1</v>
      </c>
      <c r="AH862" s="202">
        <f t="shared" si="1161"/>
        <v>0</v>
      </c>
      <c r="AI862" s="470"/>
      <c r="AJ862" s="173"/>
      <c r="AK862" s="173"/>
      <c r="AL862" s="173"/>
      <c r="AM862" s="173"/>
      <c r="AN862" s="173"/>
      <c r="AO862" s="173"/>
      <c r="AP862" s="173"/>
      <c r="AQ862" s="173"/>
      <c r="AR862" s="173"/>
      <c r="AS862" s="173"/>
      <c r="AT862" s="173"/>
      <c r="AU862" s="173"/>
      <c r="AV862" s="173"/>
    </row>
    <row r="863" spans="1:48" ht="14.25">
      <c r="A863" s="597"/>
      <c r="B863" s="622">
        <v>4</v>
      </c>
      <c r="C863" s="644" t="s">
        <v>1860</v>
      </c>
      <c r="D863" s="622" t="s">
        <v>68</v>
      </c>
      <c r="E863" s="621" t="s">
        <v>73</v>
      </c>
      <c r="F863" s="622" t="s">
        <v>11</v>
      </c>
      <c r="G863" s="621">
        <v>2</v>
      </c>
      <c r="H863" s="622">
        <v>0</v>
      </c>
      <c r="I863" s="645">
        <v>1</v>
      </c>
      <c r="J863" s="645">
        <v>1</v>
      </c>
      <c r="K863" s="622" t="s">
        <v>182</v>
      </c>
      <c r="L863" s="646"/>
      <c r="M863" s="622">
        <v>3</v>
      </c>
      <c r="N863" s="622">
        <v>3</v>
      </c>
      <c r="O863" s="647" t="s">
        <v>1861</v>
      </c>
      <c r="P863" s="622" t="s">
        <v>454</v>
      </c>
      <c r="Q863" s="622" t="s">
        <v>148</v>
      </c>
      <c r="R863" s="470"/>
      <c r="S863" s="292">
        <v>3</v>
      </c>
      <c r="T863" s="292">
        <v>9</v>
      </c>
      <c r="U863" s="292">
        <v>2</v>
      </c>
      <c r="V863" s="292">
        <v>3</v>
      </c>
      <c r="W863" s="197">
        <f t="shared" si="1010"/>
        <v>2</v>
      </c>
      <c r="X863" s="197">
        <f t="shared" si="1"/>
        <v>1</v>
      </c>
      <c r="Y863" s="197">
        <f t="shared" si="1159"/>
        <v>0</v>
      </c>
      <c r="Z863" s="197">
        <f t="shared" si="1012"/>
        <v>2</v>
      </c>
      <c r="AA863" s="199" t="b">
        <f t="shared" si="3"/>
        <v>0</v>
      </c>
      <c r="AB863" s="199" t="b">
        <f t="shared" si="4"/>
        <v>0</v>
      </c>
      <c r="AC863" s="200">
        <f t="shared" ref="AC863:AD863" si="1180">1-I863</f>
        <v>0</v>
      </c>
      <c r="AD863" s="200">
        <f t="shared" si="1180"/>
        <v>0</v>
      </c>
      <c r="AE863" s="199">
        <f t="shared" si="6"/>
        <v>2</v>
      </c>
      <c r="AF863" s="201">
        <f t="shared" si="1158"/>
        <v>0</v>
      </c>
      <c r="AG863" s="201">
        <f t="shared" si="8"/>
        <v>1</v>
      </c>
      <c r="AH863" s="202">
        <f t="shared" si="1161"/>
        <v>0</v>
      </c>
      <c r="AI863" s="470"/>
      <c r="AJ863" s="173"/>
      <c r="AK863" s="173"/>
      <c r="AL863" s="173"/>
      <c r="AM863" s="173"/>
      <c r="AN863" s="173"/>
      <c r="AO863" s="173"/>
      <c r="AP863" s="173"/>
      <c r="AQ863" s="173"/>
      <c r="AR863" s="173"/>
      <c r="AS863" s="173"/>
      <c r="AT863" s="173"/>
      <c r="AU863" s="173"/>
      <c r="AV863" s="173"/>
    </row>
    <row r="864" spans="1:48" ht="14.25">
      <c r="A864" s="213"/>
      <c r="B864" s="649">
        <v>4</v>
      </c>
      <c r="C864" s="644" t="s">
        <v>1862</v>
      </c>
      <c r="D864" s="649" t="s">
        <v>68</v>
      </c>
      <c r="E864" s="621" t="s">
        <v>73</v>
      </c>
      <c r="F864" s="649" t="s">
        <v>8</v>
      </c>
      <c r="G864" s="621">
        <v>2</v>
      </c>
      <c r="H864" s="621">
        <v>1</v>
      </c>
      <c r="I864" s="645">
        <v>1</v>
      </c>
      <c r="J864" s="645">
        <v>1</v>
      </c>
      <c r="K864" s="649" t="s">
        <v>182</v>
      </c>
      <c r="L864" s="650"/>
      <c r="M864" s="649">
        <v>4</v>
      </c>
      <c r="N864" s="649">
        <v>5</v>
      </c>
      <c r="O864" s="651" t="s">
        <v>1863</v>
      </c>
      <c r="P864" s="649" t="s">
        <v>184</v>
      </c>
      <c r="Q864" s="649" t="s">
        <v>148</v>
      </c>
      <c r="R864" s="470"/>
      <c r="S864" s="292">
        <v>3</v>
      </c>
      <c r="T864" s="292">
        <v>9</v>
      </c>
      <c r="U864" s="292">
        <v>1</v>
      </c>
      <c r="V864" s="292">
        <v>3</v>
      </c>
      <c r="W864" s="197">
        <f t="shared" si="1010"/>
        <v>2</v>
      </c>
      <c r="X864" s="197">
        <f t="shared" si="1"/>
        <v>1</v>
      </c>
      <c r="Y864" s="197">
        <f t="shared" si="1159"/>
        <v>100</v>
      </c>
      <c r="Z864" s="197">
        <f t="shared" si="1012"/>
        <v>2</v>
      </c>
      <c r="AA864" s="199" t="b">
        <f t="shared" si="3"/>
        <v>0</v>
      </c>
      <c r="AB864" s="199" t="b">
        <f t="shared" si="4"/>
        <v>0</v>
      </c>
      <c r="AC864" s="200">
        <f t="shared" ref="AC864:AD864" si="1181">1-I864</f>
        <v>0</v>
      </c>
      <c r="AD864" s="200">
        <f t="shared" si="1181"/>
        <v>0</v>
      </c>
      <c r="AE864" s="199">
        <f t="shared" si="6"/>
        <v>2</v>
      </c>
      <c r="AF864" s="201">
        <f t="shared" si="1158"/>
        <v>1</v>
      </c>
      <c r="AG864" s="201">
        <f t="shared" si="8"/>
        <v>1</v>
      </c>
      <c r="AH864" s="202">
        <f t="shared" si="1161"/>
        <v>20</v>
      </c>
      <c r="AI864" s="470"/>
      <c r="AJ864" s="173"/>
      <c r="AK864" s="173"/>
      <c r="AL864" s="173"/>
      <c r="AM864" s="173"/>
      <c r="AN864" s="173"/>
      <c r="AO864" s="173"/>
      <c r="AP864" s="173"/>
      <c r="AQ864" s="173"/>
      <c r="AR864" s="173"/>
      <c r="AS864" s="173"/>
      <c r="AT864" s="173"/>
      <c r="AU864" s="173"/>
      <c r="AV864" s="173"/>
    </row>
    <row r="865" spans="1:48" ht="14.25">
      <c r="A865" s="597"/>
      <c r="B865" s="622">
        <v>4</v>
      </c>
      <c r="C865" s="644" t="s">
        <v>1864</v>
      </c>
      <c r="D865" s="622" t="s">
        <v>68</v>
      </c>
      <c r="E865" s="621" t="s">
        <v>73</v>
      </c>
      <c r="F865" s="622" t="s">
        <v>21</v>
      </c>
      <c r="G865" s="621">
        <v>2</v>
      </c>
      <c r="H865" s="621">
        <v>1</v>
      </c>
      <c r="I865" s="645">
        <v>1</v>
      </c>
      <c r="J865" s="645">
        <v>1</v>
      </c>
      <c r="K865" s="622" t="s">
        <v>182</v>
      </c>
      <c r="L865" s="646"/>
      <c r="M865" s="622">
        <v>4</v>
      </c>
      <c r="N865" s="622">
        <v>5</v>
      </c>
      <c r="O865" s="647" t="s">
        <v>1865</v>
      </c>
      <c r="P865" s="622" t="s">
        <v>184</v>
      </c>
      <c r="Q865" s="622" t="s">
        <v>148</v>
      </c>
      <c r="R865" s="470"/>
      <c r="S865" s="292">
        <v>3</v>
      </c>
      <c r="T865" s="292">
        <v>9</v>
      </c>
      <c r="U865" s="292">
        <v>7</v>
      </c>
      <c r="V865" s="292">
        <v>3</v>
      </c>
      <c r="W865" s="197">
        <f t="shared" si="1010"/>
        <v>2</v>
      </c>
      <c r="X865" s="197">
        <f t="shared" si="1"/>
        <v>1</v>
      </c>
      <c r="Y865" s="197">
        <f t="shared" si="1159"/>
        <v>100</v>
      </c>
      <c r="Z865" s="197">
        <f t="shared" si="1012"/>
        <v>2</v>
      </c>
      <c r="AA865" s="199" t="b">
        <f t="shared" si="3"/>
        <v>0</v>
      </c>
      <c r="AB865" s="199" t="b">
        <f t="shared" si="4"/>
        <v>0</v>
      </c>
      <c r="AC865" s="200">
        <f t="shared" ref="AC865:AD865" si="1182">1-I865</f>
        <v>0</v>
      </c>
      <c r="AD865" s="200">
        <f t="shared" si="1182"/>
        <v>0</v>
      </c>
      <c r="AE865" s="199">
        <f t="shared" si="6"/>
        <v>2</v>
      </c>
      <c r="AF865" s="201">
        <f t="shared" si="1158"/>
        <v>1</v>
      </c>
      <c r="AG865" s="201">
        <f t="shared" si="8"/>
        <v>1</v>
      </c>
      <c r="AH865" s="202">
        <f t="shared" si="1161"/>
        <v>20</v>
      </c>
      <c r="AI865" s="470"/>
      <c r="AJ865" s="173"/>
      <c r="AK865" s="173"/>
      <c r="AL865" s="173"/>
      <c r="AM865" s="173"/>
      <c r="AN865" s="173"/>
      <c r="AO865" s="173"/>
      <c r="AP865" s="173"/>
      <c r="AQ865" s="173"/>
      <c r="AR865" s="173"/>
      <c r="AS865" s="173"/>
      <c r="AT865" s="173"/>
      <c r="AU865" s="173"/>
      <c r="AV865" s="173"/>
    </row>
    <row r="866" spans="1:48" ht="14.25">
      <c r="A866" s="206"/>
      <c r="B866" s="622">
        <v>4</v>
      </c>
      <c r="C866" s="652" t="s">
        <v>1866</v>
      </c>
      <c r="D866" s="622" t="s">
        <v>68</v>
      </c>
      <c r="E866" s="621" t="s">
        <v>73</v>
      </c>
      <c r="F866" s="622" t="s">
        <v>115</v>
      </c>
      <c r="G866" s="621">
        <v>2</v>
      </c>
      <c r="H866" s="622">
        <v>0</v>
      </c>
      <c r="I866" s="645">
        <v>1</v>
      </c>
      <c r="J866" s="645">
        <v>1</v>
      </c>
      <c r="K866" s="622" t="s">
        <v>182</v>
      </c>
      <c r="L866" s="622" t="s">
        <v>415</v>
      </c>
      <c r="M866" s="622">
        <v>1</v>
      </c>
      <c r="N866" s="622">
        <v>4</v>
      </c>
      <c r="O866" s="647" t="s">
        <v>1867</v>
      </c>
      <c r="P866" s="622" t="s">
        <v>275</v>
      </c>
      <c r="Q866" s="622" t="s">
        <v>148</v>
      </c>
      <c r="R866" s="470"/>
      <c r="S866" s="292">
        <v>3</v>
      </c>
      <c r="T866" s="292">
        <v>9</v>
      </c>
      <c r="U866" s="292">
        <v>10</v>
      </c>
      <c r="V866" s="292">
        <v>3</v>
      </c>
      <c r="W866" s="197">
        <f t="shared" si="1010"/>
        <v>2</v>
      </c>
      <c r="X866" s="197">
        <f t="shared" si="1"/>
        <v>1</v>
      </c>
      <c r="Y866" s="197">
        <f t="shared" si="1159"/>
        <v>0</v>
      </c>
      <c r="Z866" s="197">
        <f t="shared" si="1012"/>
        <v>2</v>
      </c>
      <c r="AA866" s="199" t="b">
        <f t="shared" si="3"/>
        <v>0</v>
      </c>
      <c r="AB866" s="199" t="b">
        <f t="shared" si="4"/>
        <v>0</v>
      </c>
      <c r="AC866" s="200">
        <f t="shared" ref="AC866:AD866" si="1183">1-I866</f>
        <v>0</v>
      </c>
      <c r="AD866" s="200">
        <f t="shared" si="1183"/>
        <v>0</v>
      </c>
      <c r="AE866" s="199">
        <f t="shared" si="6"/>
        <v>2</v>
      </c>
      <c r="AF866" s="201">
        <f t="shared" si="1158"/>
        <v>0</v>
      </c>
      <c r="AG866" s="201">
        <f t="shared" si="8"/>
        <v>1</v>
      </c>
      <c r="AH866" s="202">
        <f t="shared" si="1161"/>
        <v>0</v>
      </c>
      <c r="AI866" s="470"/>
      <c r="AJ866" s="173"/>
      <c r="AK866" s="173"/>
      <c r="AL866" s="173"/>
      <c r="AM866" s="173"/>
      <c r="AN866" s="173"/>
      <c r="AO866" s="173"/>
      <c r="AP866" s="173"/>
      <c r="AQ866" s="173"/>
      <c r="AR866" s="173"/>
      <c r="AS866" s="173"/>
      <c r="AT866" s="173"/>
      <c r="AU866" s="173"/>
      <c r="AV866" s="173"/>
    </row>
    <row r="867" spans="1:48" ht="14.25">
      <c r="A867" s="653"/>
      <c r="B867" s="622">
        <v>4</v>
      </c>
      <c r="C867" s="644" t="s">
        <v>1868</v>
      </c>
      <c r="D867" s="622" t="s">
        <v>68</v>
      </c>
      <c r="E867" s="621" t="s">
        <v>73</v>
      </c>
      <c r="F867" s="622" t="s">
        <v>8</v>
      </c>
      <c r="G867" s="621">
        <v>2</v>
      </c>
      <c r="H867" s="622">
        <v>0</v>
      </c>
      <c r="I867" s="645">
        <v>1</v>
      </c>
      <c r="J867" s="645">
        <v>1</v>
      </c>
      <c r="K867" s="622" t="s">
        <v>182</v>
      </c>
      <c r="L867" s="646"/>
      <c r="M867" s="622">
        <v>3</v>
      </c>
      <c r="N867" s="622">
        <v>3</v>
      </c>
      <c r="O867" s="647" t="s">
        <v>1869</v>
      </c>
      <c r="P867" s="622" t="s">
        <v>651</v>
      </c>
      <c r="Q867" s="622" t="s">
        <v>148</v>
      </c>
      <c r="R867" s="470"/>
      <c r="S867" s="292">
        <v>3</v>
      </c>
      <c r="T867" s="292">
        <v>9</v>
      </c>
      <c r="U867" s="292">
        <v>1</v>
      </c>
      <c r="V867" s="292">
        <v>3</v>
      </c>
      <c r="W867" s="197">
        <f t="shared" si="1010"/>
        <v>2</v>
      </c>
      <c r="X867" s="197">
        <f t="shared" si="1"/>
        <v>1</v>
      </c>
      <c r="Y867" s="197">
        <f t="shared" si="1159"/>
        <v>0</v>
      </c>
      <c r="Z867" s="197">
        <f t="shared" si="1012"/>
        <v>2</v>
      </c>
      <c r="AA867" s="199" t="b">
        <f t="shared" si="3"/>
        <v>0</v>
      </c>
      <c r="AB867" s="199" t="b">
        <f t="shared" si="4"/>
        <v>0</v>
      </c>
      <c r="AC867" s="200">
        <f t="shared" ref="AC867:AD867" si="1184">1-I867</f>
        <v>0</v>
      </c>
      <c r="AD867" s="200">
        <f t="shared" si="1184"/>
        <v>0</v>
      </c>
      <c r="AE867" s="199">
        <f t="shared" si="6"/>
        <v>2</v>
      </c>
      <c r="AF867" s="201">
        <f t="shared" si="1158"/>
        <v>0</v>
      </c>
      <c r="AG867" s="201">
        <f t="shared" si="8"/>
        <v>1</v>
      </c>
      <c r="AH867" s="202">
        <f t="shared" si="1161"/>
        <v>0</v>
      </c>
      <c r="AI867" s="470"/>
      <c r="AJ867" s="173"/>
      <c r="AK867" s="173"/>
      <c r="AL867" s="173"/>
      <c r="AM867" s="173"/>
      <c r="AN867" s="173"/>
      <c r="AO867" s="173"/>
      <c r="AP867" s="173"/>
      <c r="AQ867" s="173"/>
      <c r="AR867" s="173"/>
      <c r="AS867" s="173"/>
      <c r="AT867" s="173"/>
      <c r="AU867" s="173"/>
      <c r="AV867" s="173"/>
    </row>
    <row r="868" spans="1:48" ht="14.25">
      <c r="A868" s="206"/>
      <c r="B868" s="622">
        <v>4</v>
      </c>
      <c r="C868" s="644" t="s">
        <v>1870</v>
      </c>
      <c r="D868" s="622" t="s">
        <v>68</v>
      </c>
      <c r="E868" s="621" t="s">
        <v>73</v>
      </c>
      <c r="F868" s="622" t="s">
        <v>18</v>
      </c>
      <c r="G868" s="592">
        <v>2</v>
      </c>
      <c r="H868" s="596">
        <v>0</v>
      </c>
      <c r="I868" s="645">
        <v>1</v>
      </c>
      <c r="J868" s="645">
        <v>1</v>
      </c>
      <c r="K868" s="622" t="s">
        <v>146</v>
      </c>
      <c r="L868" s="650"/>
      <c r="M868" s="646"/>
      <c r="N868" s="646"/>
      <c r="O868" s="651" t="s">
        <v>1871</v>
      </c>
      <c r="P868" s="654"/>
      <c r="Q868" s="622" t="s">
        <v>148</v>
      </c>
      <c r="R868" s="470"/>
      <c r="S868" s="292">
        <v>3</v>
      </c>
      <c r="T868" s="292">
        <v>9</v>
      </c>
      <c r="U868" s="292">
        <v>5</v>
      </c>
      <c r="V868" s="292">
        <v>2</v>
      </c>
      <c r="W868" s="197">
        <f t="shared" si="1010"/>
        <v>2</v>
      </c>
      <c r="X868" s="197">
        <f t="shared" si="1"/>
        <v>1</v>
      </c>
      <c r="Y868" s="197">
        <f t="shared" si="1159"/>
        <v>0</v>
      </c>
      <c r="Z868" s="197">
        <f t="shared" si="1012"/>
        <v>2</v>
      </c>
      <c r="AA868" s="199" t="b">
        <f t="shared" si="3"/>
        <v>0</v>
      </c>
      <c r="AB868" s="199" t="b">
        <f t="shared" si="4"/>
        <v>0</v>
      </c>
      <c r="AC868" s="200">
        <f t="shared" ref="AC868:AD868" si="1185">1-I868</f>
        <v>0</v>
      </c>
      <c r="AD868" s="200">
        <f t="shared" si="1185"/>
        <v>0</v>
      </c>
      <c r="AE868" s="199">
        <f t="shared" si="6"/>
        <v>2</v>
      </c>
      <c r="AF868" s="201">
        <f t="shared" si="1158"/>
        <v>0</v>
      </c>
      <c r="AG868" s="201">
        <f t="shared" si="8"/>
        <v>1</v>
      </c>
      <c r="AH868" s="202">
        <f t="shared" si="1161"/>
        <v>0</v>
      </c>
      <c r="AI868" s="470"/>
      <c r="AJ868" s="173"/>
      <c r="AK868" s="173"/>
      <c r="AL868" s="173"/>
      <c r="AM868" s="173"/>
      <c r="AN868" s="173"/>
      <c r="AO868" s="173"/>
      <c r="AP868" s="173"/>
      <c r="AQ868" s="173"/>
      <c r="AR868" s="173"/>
      <c r="AS868" s="173"/>
      <c r="AT868" s="173"/>
      <c r="AU868" s="173"/>
      <c r="AV868" s="173"/>
    </row>
    <row r="869" spans="1:48" ht="14.25">
      <c r="A869" s="597"/>
      <c r="B869" s="622">
        <v>4</v>
      </c>
      <c r="C869" s="644" t="s">
        <v>1872</v>
      </c>
      <c r="D869" s="622" t="s">
        <v>68</v>
      </c>
      <c r="E869" s="621" t="s">
        <v>73</v>
      </c>
      <c r="F869" s="622" t="s">
        <v>18</v>
      </c>
      <c r="G869" s="621">
        <v>2</v>
      </c>
      <c r="H869" s="622">
        <v>0</v>
      </c>
      <c r="I869" s="645">
        <v>1</v>
      </c>
      <c r="J869" s="645">
        <v>1</v>
      </c>
      <c r="K869" s="622" t="s">
        <v>182</v>
      </c>
      <c r="L869" s="646"/>
      <c r="M869" s="622">
        <v>4</v>
      </c>
      <c r="N869" s="622">
        <v>3</v>
      </c>
      <c r="O869" s="647" t="s">
        <v>1873</v>
      </c>
      <c r="P869" s="622" t="s">
        <v>454</v>
      </c>
      <c r="Q869" s="622" t="s">
        <v>148</v>
      </c>
      <c r="R869" s="470"/>
      <c r="S869" s="292">
        <v>3</v>
      </c>
      <c r="T869" s="292">
        <v>9</v>
      </c>
      <c r="U869" s="292">
        <v>5</v>
      </c>
      <c r="V869" s="292">
        <v>3</v>
      </c>
      <c r="W869" s="197">
        <f t="shared" si="1010"/>
        <v>2</v>
      </c>
      <c r="X869" s="197">
        <f t="shared" si="1"/>
        <v>1</v>
      </c>
      <c r="Y869" s="197">
        <f t="shared" si="1159"/>
        <v>0</v>
      </c>
      <c r="Z869" s="197">
        <f t="shared" si="1012"/>
        <v>2</v>
      </c>
      <c r="AA869" s="199" t="b">
        <f t="shared" si="3"/>
        <v>0</v>
      </c>
      <c r="AB869" s="199" t="b">
        <f t="shared" si="4"/>
        <v>0</v>
      </c>
      <c r="AC869" s="200">
        <f t="shared" ref="AC869:AD869" si="1186">1-I869</f>
        <v>0</v>
      </c>
      <c r="AD869" s="200">
        <f t="shared" si="1186"/>
        <v>0</v>
      </c>
      <c r="AE869" s="199">
        <f t="shared" si="6"/>
        <v>2</v>
      </c>
      <c r="AF869" s="201">
        <f t="shared" si="1158"/>
        <v>0</v>
      </c>
      <c r="AG869" s="201">
        <f t="shared" si="8"/>
        <v>1</v>
      </c>
      <c r="AH869" s="202">
        <f t="shared" si="1161"/>
        <v>0</v>
      </c>
      <c r="AI869" s="470"/>
      <c r="AJ869" s="173"/>
      <c r="AK869" s="173"/>
      <c r="AL869" s="173"/>
      <c r="AM869" s="173"/>
      <c r="AN869" s="173"/>
      <c r="AO869" s="173"/>
      <c r="AP869" s="173"/>
      <c r="AQ869" s="173"/>
      <c r="AR869" s="173"/>
      <c r="AS869" s="173"/>
      <c r="AT869" s="173"/>
      <c r="AU869" s="173"/>
      <c r="AV869" s="173"/>
    </row>
    <row r="870" spans="1:48" ht="14.25">
      <c r="A870" s="653"/>
      <c r="B870" s="649">
        <v>5</v>
      </c>
      <c r="C870" s="644" t="s">
        <v>1874</v>
      </c>
      <c r="D870" s="622" t="s">
        <v>68</v>
      </c>
      <c r="E870" s="621" t="s">
        <v>73</v>
      </c>
      <c r="F870" s="622" t="s">
        <v>115</v>
      </c>
      <c r="G870" s="621">
        <v>1</v>
      </c>
      <c r="H870" s="622">
        <v>0</v>
      </c>
      <c r="I870" s="645">
        <v>1</v>
      </c>
      <c r="J870" s="645">
        <v>1</v>
      </c>
      <c r="K870" s="622" t="s">
        <v>182</v>
      </c>
      <c r="L870" s="622" t="s">
        <v>602</v>
      </c>
      <c r="M870" s="622">
        <v>6</v>
      </c>
      <c r="N870" s="622">
        <v>6</v>
      </c>
      <c r="O870" s="655" t="s">
        <v>1875</v>
      </c>
      <c r="P870" s="622" t="s">
        <v>454</v>
      </c>
      <c r="Q870" s="622" t="s">
        <v>148</v>
      </c>
      <c r="R870" s="470"/>
      <c r="S870" s="292">
        <v>3</v>
      </c>
      <c r="T870" s="292">
        <v>9</v>
      </c>
      <c r="U870" s="292">
        <v>10</v>
      </c>
      <c r="V870" s="292">
        <v>3</v>
      </c>
      <c r="W870" s="197">
        <f t="shared" si="1010"/>
        <v>1</v>
      </c>
      <c r="X870" s="197">
        <f t="shared" si="1"/>
        <v>1</v>
      </c>
      <c r="Y870" s="197">
        <f t="shared" si="1159"/>
        <v>0</v>
      </c>
      <c r="Z870" s="197">
        <f t="shared" si="1012"/>
        <v>1</v>
      </c>
      <c r="AA870" s="199" t="b">
        <f t="shared" si="3"/>
        <v>0</v>
      </c>
      <c r="AB870" s="199" t="b">
        <f t="shared" si="4"/>
        <v>1</v>
      </c>
      <c r="AC870" s="200">
        <f t="shared" ref="AC870:AD870" si="1187">1-I870</f>
        <v>0</v>
      </c>
      <c r="AD870" s="200">
        <f t="shared" si="1187"/>
        <v>0</v>
      </c>
      <c r="AE870" s="199">
        <f t="shared" si="6"/>
        <v>1</v>
      </c>
      <c r="AF870" s="201">
        <f t="shared" si="1158"/>
        <v>0</v>
      </c>
      <c r="AG870" s="201">
        <f t="shared" si="8"/>
        <v>1</v>
      </c>
      <c r="AH870" s="202">
        <f t="shared" si="1161"/>
        <v>0</v>
      </c>
      <c r="AI870" s="470"/>
      <c r="AJ870" s="173"/>
      <c r="AK870" s="173"/>
      <c r="AL870" s="173"/>
      <c r="AM870" s="173"/>
      <c r="AN870" s="173"/>
      <c r="AO870" s="173"/>
      <c r="AP870" s="173"/>
      <c r="AQ870" s="173"/>
      <c r="AR870" s="173"/>
      <c r="AS870" s="173"/>
      <c r="AT870" s="173"/>
      <c r="AU870" s="173"/>
      <c r="AV870" s="173"/>
    </row>
    <row r="871" spans="1:48" ht="14.25">
      <c r="A871" s="206"/>
      <c r="B871" s="622">
        <v>5</v>
      </c>
      <c r="C871" s="644" t="s">
        <v>1876</v>
      </c>
      <c r="D871" s="622" t="s">
        <v>68</v>
      </c>
      <c r="E871" s="621" t="s">
        <v>73</v>
      </c>
      <c r="F871" s="622" t="s">
        <v>13</v>
      </c>
      <c r="G871" s="621">
        <v>2</v>
      </c>
      <c r="H871" s="622">
        <v>0</v>
      </c>
      <c r="I871" s="645">
        <v>1</v>
      </c>
      <c r="J871" s="645">
        <v>1</v>
      </c>
      <c r="K871" s="622" t="s">
        <v>182</v>
      </c>
      <c r="L871" s="646"/>
      <c r="M871" s="622">
        <v>5</v>
      </c>
      <c r="N871" s="622">
        <v>4</v>
      </c>
      <c r="O871" s="647" t="s">
        <v>1877</v>
      </c>
      <c r="P871" s="622" t="s">
        <v>184</v>
      </c>
      <c r="Q871" s="622" t="s">
        <v>148</v>
      </c>
      <c r="R871" s="470"/>
      <c r="S871" s="292">
        <v>3</v>
      </c>
      <c r="T871" s="292">
        <v>9</v>
      </c>
      <c r="U871" s="292">
        <v>3</v>
      </c>
      <c r="V871" s="292">
        <v>3</v>
      </c>
      <c r="W871" s="197">
        <f t="shared" si="1010"/>
        <v>2</v>
      </c>
      <c r="X871" s="197">
        <f t="shared" si="1"/>
        <v>1</v>
      </c>
      <c r="Y871" s="197">
        <f t="shared" si="1159"/>
        <v>0</v>
      </c>
      <c r="Z871" s="197">
        <f t="shared" si="1012"/>
        <v>2</v>
      </c>
      <c r="AA871" s="199" t="b">
        <f t="shared" si="3"/>
        <v>0</v>
      </c>
      <c r="AB871" s="199" t="b">
        <f t="shared" si="4"/>
        <v>0</v>
      </c>
      <c r="AC871" s="200">
        <f t="shared" ref="AC871:AD871" si="1188">1-I871</f>
        <v>0</v>
      </c>
      <c r="AD871" s="200">
        <f t="shared" si="1188"/>
        <v>0</v>
      </c>
      <c r="AE871" s="199">
        <f t="shared" si="6"/>
        <v>2</v>
      </c>
      <c r="AF871" s="201">
        <f t="shared" si="1158"/>
        <v>0</v>
      </c>
      <c r="AG871" s="201">
        <f t="shared" si="8"/>
        <v>1</v>
      </c>
      <c r="AH871" s="202">
        <f t="shared" si="1161"/>
        <v>0</v>
      </c>
      <c r="AI871" s="470"/>
      <c r="AJ871" s="173"/>
      <c r="AK871" s="173"/>
      <c r="AL871" s="173"/>
      <c r="AM871" s="173"/>
      <c r="AN871" s="173"/>
      <c r="AO871" s="173"/>
      <c r="AP871" s="173"/>
      <c r="AQ871" s="173"/>
      <c r="AR871" s="173"/>
      <c r="AS871" s="173"/>
      <c r="AT871" s="173"/>
      <c r="AU871" s="173"/>
      <c r="AV871" s="173"/>
    </row>
    <row r="872" spans="1:48" ht="14.25">
      <c r="A872" s="606"/>
      <c r="B872" s="622">
        <v>5</v>
      </c>
      <c r="C872" s="644" t="s">
        <v>1878</v>
      </c>
      <c r="D872" s="622" t="s">
        <v>68</v>
      </c>
      <c r="E872" s="621" t="s">
        <v>73</v>
      </c>
      <c r="F872" s="622" t="s">
        <v>18</v>
      </c>
      <c r="G872" s="621">
        <v>2</v>
      </c>
      <c r="H872" s="622">
        <v>0</v>
      </c>
      <c r="I872" s="645">
        <v>1</v>
      </c>
      <c r="J872" s="645">
        <v>1</v>
      </c>
      <c r="K872" s="622" t="s">
        <v>182</v>
      </c>
      <c r="L872" s="646"/>
      <c r="M872" s="622">
        <v>6</v>
      </c>
      <c r="N872" s="622">
        <v>5</v>
      </c>
      <c r="O872" s="647" t="s">
        <v>1879</v>
      </c>
      <c r="P872" s="622" t="s">
        <v>184</v>
      </c>
      <c r="Q872" s="622" t="s">
        <v>148</v>
      </c>
      <c r="R872" s="470"/>
      <c r="S872" s="292">
        <v>3</v>
      </c>
      <c r="T872" s="292">
        <v>9</v>
      </c>
      <c r="U872" s="292">
        <v>5</v>
      </c>
      <c r="V872" s="292">
        <v>3</v>
      </c>
      <c r="W872" s="197">
        <f t="shared" si="1010"/>
        <v>2</v>
      </c>
      <c r="X872" s="197">
        <f t="shared" si="1"/>
        <v>1</v>
      </c>
      <c r="Y872" s="197">
        <f t="shared" si="1159"/>
        <v>0</v>
      </c>
      <c r="Z872" s="197">
        <f t="shared" si="1012"/>
        <v>2</v>
      </c>
      <c r="AA872" s="199" t="b">
        <f t="shared" si="3"/>
        <v>0</v>
      </c>
      <c r="AB872" s="199" t="b">
        <f t="shared" si="4"/>
        <v>0</v>
      </c>
      <c r="AC872" s="200">
        <f t="shared" ref="AC872:AD872" si="1189">1-I872</f>
        <v>0</v>
      </c>
      <c r="AD872" s="200">
        <f t="shared" si="1189"/>
        <v>0</v>
      </c>
      <c r="AE872" s="199">
        <f t="shared" si="6"/>
        <v>2</v>
      </c>
      <c r="AF872" s="201">
        <f t="shared" si="1158"/>
        <v>0</v>
      </c>
      <c r="AG872" s="201">
        <f t="shared" si="8"/>
        <v>1</v>
      </c>
      <c r="AH872" s="202">
        <f t="shared" si="1161"/>
        <v>0</v>
      </c>
      <c r="AI872" s="470"/>
      <c r="AJ872" s="173"/>
      <c r="AK872" s="173"/>
      <c r="AL872" s="173"/>
      <c r="AM872" s="173"/>
      <c r="AN872" s="173"/>
      <c r="AO872" s="173"/>
      <c r="AP872" s="173"/>
      <c r="AQ872" s="173"/>
      <c r="AR872" s="173"/>
      <c r="AS872" s="173"/>
      <c r="AT872" s="173"/>
      <c r="AU872" s="173"/>
      <c r="AV872" s="173"/>
    </row>
    <row r="873" spans="1:48" ht="14.25">
      <c r="A873" s="653"/>
      <c r="B873" s="622">
        <v>6</v>
      </c>
      <c r="C873" s="644" t="s">
        <v>1880</v>
      </c>
      <c r="D873" s="622" t="s">
        <v>68</v>
      </c>
      <c r="E873" s="621" t="s">
        <v>73</v>
      </c>
      <c r="F873" s="622" t="s">
        <v>115</v>
      </c>
      <c r="G873" s="621">
        <v>2</v>
      </c>
      <c r="H873" s="622">
        <v>0</v>
      </c>
      <c r="I873" s="645">
        <v>1</v>
      </c>
      <c r="J873" s="645">
        <v>1</v>
      </c>
      <c r="K873" s="622" t="s">
        <v>182</v>
      </c>
      <c r="L873" s="622" t="s">
        <v>195</v>
      </c>
      <c r="M873" s="622">
        <v>2</v>
      </c>
      <c r="N873" s="622">
        <v>3</v>
      </c>
      <c r="O873" s="647" t="s">
        <v>1881</v>
      </c>
      <c r="P873" s="622" t="s">
        <v>184</v>
      </c>
      <c r="Q873" s="622" t="s">
        <v>148</v>
      </c>
      <c r="R873" s="470"/>
      <c r="S873" s="292">
        <v>3</v>
      </c>
      <c r="T873" s="292">
        <v>9</v>
      </c>
      <c r="U873" s="292">
        <v>10</v>
      </c>
      <c r="V873" s="292">
        <v>3</v>
      </c>
      <c r="W873" s="197">
        <f t="shared" si="1010"/>
        <v>2</v>
      </c>
      <c r="X873" s="197">
        <f t="shared" si="1"/>
        <v>1</v>
      </c>
      <c r="Y873" s="197">
        <f t="shared" si="1159"/>
        <v>0</v>
      </c>
      <c r="Z873" s="197">
        <f t="shared" si="1012"/>
        <v>2</v>
      </c>
      <c r="AA873" s="199" t="b">
        <f t="shared" si="3"/>
        <v>0</v>
      </c>
      <c r="AB873" s="199" t="b">
        <f t="shared" si="4"/>
        <v>0</v>
      </c>
      <c r="AC873" s="200">
        <f t="shared" ref="AC873:AD873" si="1190">1-I873</f>
        <v>0</v>
      </c>
      <c r="AD873" s="200">
        <f t="shared" si="1190"/>
        <v>0</v>
      </c>
      <c r="AE873" s="199">
        <f t="shared" si="6"/>
        <v>2</v>
      </c>
      <c r="AF873" s="201">
        <f t="shared" si="1158"/>
        <v>0</v>
      </c>
      <c r="AG873" s="201">
        <f t="shared" si="8"/>
        <v>1</v>
      </c>
      <c r="AH873" s="202">
        <f t="shared" si="1161"/>
        <v>0</v>
      </c>
      <c r="AI873" s="470"/>
      <c r="AJ873" s="173"/>
      <c r="AK873" s="173"/>
      <c r="AL873" s="173"/>
      <c r="AM873" s="173"/>
      <c r="AN873" s="173"/>
      <c r="AO873" s="173"/>
      <c r="AP873" s="173"/>
      <c r="AQ873" s="173"/>
      <c r="AR873" s="173"/>
      <c r="AS873" s="173"/>
      <c r="AT873" s="173"/>
      <c r="AU873" s="173"/>
      <c r="AV873" s="173"/>
    </row>
    <row r="874" spans="1:48" ht="14.25">
      <c r="A874" s="653"/>
      <c r="B874" s="622">
        <v>6</v>
      </c>
      <c r="C874" s="644" t="s">
        <v>1882</v>
      </c>
      <c r="D874" s="622" t="s">
        <v>68</v>
      </c>
      <c r="E874" s="621" t="s">
        <v>73</v>
      </c>
      <c r="F874" s="622" t="s">
        <v>115</v>
      </c>
      <c r="G874" s="621">
        <v>2</v>
      </c>
      <c r="H874" s="622">
        <v>0</v>
      </c>
      <c r="I874" s="645">
        <v>1</v>
      </c>
      <c r="J874" s="645">
        <v>1</v>
      </c>
      <c r="K874" s="622" t="s">
        <v>182</v>
      </c>
      <c r="L874" s="646"/>
      <c r="M874" s="622">
        <v>7</v>
      </c>
      <c r="N874" s="622">
        <v>6</v>
      </c>
      <c r="O874" s="647" t="s">
        <v>1650</v>
      </c>
      <c r="P874" s="622" t="s">
        <v>184</v>
      </c>
      <c r="Q874" s="622" t="s">
        <v>148</v>
      </c>
      <c r="R874" s="470"/>
      <c r="S874" s="292">
        <v>3</v>
      </c>
      <c r="T874" s="292">
        <v>9</v>
      </c>
      <c r="U874" s="292">
        <v>10</v>
      </c>
      <c r="V874" s="292">
        <v>3</v>
      </c>
      <c r="W874" s="197">
        <f t="shared" si="1010"/>
        <v>2</v>
      </c>
      <c r="X874" s="197">
        <f t="shared" si="1"/>
        <v>1</v>
      </c>
      <c r="Y874" s="197">
        <f t="shared" si="1159"/>
        <v>0</v>
      </c>
      <c r="Z874" s="197">
        <f t="shared" si="1012"/>
        <v>2</v>
      </c>
      <c r="AA874" s="199" t="b">
        <f t="shared" si="3"/>
        <v>0</v>
      </c>
      <c r="AB874" s="199" t="b">
        <f t="shared" si="4"/>
        <v>0</v>
      </c>
      <c r="AC874" s="200">
        <f t="shared" ref="AC874:AD874" si="1191">1-I874</f>
        <v>0</v>
      </c>
      <c r="AD874" s="200">
        <f t="shared" si="1191"/>
        <v>0</v>
      </c>
      <c r="AE874" s="199">
        <f t="shared" si="6"/>
        <v>2</v>
      </c>
      <c r="AF874" s="201">
        <f t="shared" si="1158"/>
        <v>0</v>
      </c>
      <c r="AG874" s="201">
        <f t="shared" si="8"/>
        <v>1</v>
      </c>
      <c r="AH874" s="202">
        <f t="shared" si="1161"/>
        <v>0</v>
      </c>
      <c r="AI874" s="470"/>
      <c r="AJ874" s="173"/>
      <c r="AK874" s="173"/>
      <c r="AL874" s="173"/>
      <c r="AM874" s="173"/>
      <c r="AN874" s="173"/>
      <c r="AO874" s="173"/>
      <c r="AP874" s="173"/>
      <c r="AQ874" s="173"/>
      <c r="AR874" s="173"/>
      <c r="AS874" s="173"/>
      <c r="AT874" s="173"/>
      <c r="AU874" s="173"/>
      <c r="AV874" s="173"/>
    </row>
    <row r="875" spans="1:48" ht="14.25">
      <c r="A875" s="597"/>
      <c r="B875" s="622">
        <v>6</v>
      </c>
      <c r="C875" s="644" t="s">
        <v>1883</v>
      </c>
      <c r="D875" s="622" t="s">
        <v>68</v>
      </c>
      <c r="E875" s="621" t="s">
        <v>73</v>
      </c>
      <c r="F875" s="622" t="s">
        <v>21</v>
      </c>
      <c r="G875" s="621">
        <v>2</v>
      </c>
      <c r="H875" s="621">
        <v>1</v>
      </c>
      <c r="I875" s="645">
        <v>1</v>
      </c>
      <c r="J875" s="645">
        <v>1</v>
      </c>
      <c r="K875" s="622" t="s">
        <v>182</v>
      </c>
      <c r="L875" s="646"/>
      <c r="M875" s="622">
        <v>5</v>
      </c>
      <c r="N875" s="622">
        <v>5</v>
      </c>
      <c r="O875" s="647" t="s">
        <v>1884</v>
      </c>
      <c r="P875" s="622" t="s">
        <v>193</v>
      </c>
      <c r="Q875" s="622" t="s">
        <v>148</v>
      </c>
      <c r="R875" s="623"/>
      <c r="S875" s="292">
        <v>3</v>
      </c>
      <c r="T875" s="292">
        <v>9</v>
      </c>
      <c r="U875" s="292">
        <v>7</v>
      </c>
      <c r="V875" s="292">
        <v>3</v>
      </c>
      <c r="W875" s="197">
        <f t="shared" si="1010"/>
        <v>2</v>
      </c>
      <c r="X875" s="197">
        <f t="shared" si="1"/>
        <v>1</v>
      </c>
      <c r="Y875" s="197">
        <f t="shared" si="1159"/>
        <v>100</v>
      </c>
      <c r="Z875" s="197">
        <f t="shared" si="1012"/>
        <v>2</v>
      </c>
      <c r="AA875" s="199" t="b">
        <f t="shared" si="3"/>
        <v>0</v>
      </c>
      <c r="AB875" s="199" t="b">
        <f t="shared" si="4"/>
        <v>0</v>
      </c>
      <c r="AC875" s="200">
        <f t="shared" ref="AC875:AD875" si="1192">1-I875</f>
        <v>0</v>
      </c>
      <c r="AD875" s="200">
        <f t="shared" si="1192"/>
        <v>0</v>
      </c>
      <c r="AE875" s="199">
        <f t="shared" si="6"/>
        <v>2</v>
      </c>
      <c r="AF875" s="201">
        <f t="shared" si="1158"/>
        <v>1</v>
      </c>
      <c r="AG875" s="201">
        <f t="shared" si="8"/>
        <v>1</v>
      </c>
      <c r="AH875" s="202">
        <f t="shared" si="1161"/>
        <v>20</v>
      </c>
      <c r="AI875" s="470"/>
      <c r="AJ875" s="173"/>
      <c r="AK875" s="173"/>
      <c r="AL875" s="173"/>
      <c r="AM875" s="173"/>
      <c r="AN875" s="173"/>
      <c r="AO875" s="173"/>
      <c r="AP875" s="173"/>
      <c r="AQ875" s="173"/>
      <c r="AR875" s="173"/>
      <c r="AS875" s="173"/>
      <c r="AT875" s="173"/>
      <c r="AU875" s="173"/>
      <c r="AV875" s="173"/>
    </row>
    <row r="876" spans="1:48" ht="14.25">
      <c r="A876" s="606"/>
      <c r="B876" s="622">
        <v>6</v>
      </c>
      <c r="C876" s="644" t="s">
        <v>1885</v>
      </c>
      <c r="D876" s="622" t="s">
        <v>68</v>
      </c>
      <c r="E876" s="621" t="s">
        <v>73</v>
      </c>
      <c r="F876" s="622" t="s">
        <v>20</v>
      </c>
      <c r="G876" s="621">
        <v>1</v>
      </c>
      <c r="H876" s="649">
        <v>0</v>
      </c>
      <c r="I876" s="645">
        <v>1</v>
      </c>
      <c r="J876" s="645">
        <v>1</v>
      </c>
      <c r="K876" s="622" t="s">
        <v>146</v>
      </c>
      <c r="L876" s="650"/>
      <c r="M876" s="646"/>
      <c r="N876" s="646"/>
      <c r="O876" s="651" t="s">
        <v>1886</v>
      </c>
      <c r="P876" s="654"/>
      <c r="Q876" s="622" t="s">
        <v>148</v>
      </c>
      <c r="R876" s="470"/>
      <c r="S876" s="292">
        <v>3</v>
      </c>
      <c r="T876" s="292">
        <v>9</v>
      </c>
      <c r="U876" s="292">
        <v>6</v>
      </c>
      <c r="V876" s="292">
        <v>2</v>
      </c>
      <c r="W876" s="197">
        <f t="shared" si="1010"/>
        <v>1</v>
      </c>
      <c r="X876" s="197">
        <f t="shared" si="1"/>
        <v>1</v>
      </c>
      <c r="Y876" s="197">
        <f t="shared" si="1159"/>
        <v>0</v>
      </c>
      <c r="Z876" s="197">
        <f t="shared" si="1012"/>
        <v>1</v>
      </c>
      <c r="AA876" s="199" t="b">
        <f t="shared" si="3"/>
        <v>0</v>
      </c>
      <c r="AB876" s="199" t="b">
        <f t="shared" si="4"/>
        <v>1</v>
      </c>
      <c r="AC876" s="200">
        <f t="shared" ref="AC876:AD876" si="1193">1-I876</f>
        <v>0</v>
      </c>
      <c r="AD876" s="200">
        <f t="shared" si="1193"/>
        <v>0</v>
      </c>
      <c r="AE876" s="199">
        <f t="shared" si="6"/>
        <v>1</v>
      </c>
      <c r="AF876" s="201">
        <f t="shared" si="1158"/>
        <v>0</v>
      </c>
      <c r="AG876" s="201">
        <f t="shared" si="8"/>
        <v>1</v>
      </c>
      <c r="AH876" s="202">
        <f t="shared" si="1161"/>
        <v>0</v>
      </c>
      <c r="AI876" s="470"/>
      <c r="AJ876" s="173"/>
      <c r="AK876" s="173"/>
      <c r="AL876" s="173"/>
      <c r="AM876" s="173"/>
      <c r="AN876" s="173"/>
      <c r="AO876" s="173"/>
      <c r="AP876" s="173"/>
      <c r="AQ876" s="173"/>
      <c r="AR876" s="173"/>
      <c r="AS876" s="173"/>
      <c r="AT876" s="173"/>
      <c r="AU876" s="173"/>
      <c r="AV876" s="173"/>
    </row>
    <row r="877" spans="1:48" ht="14.25">
      <c r="A877" s="574"/>
      <c r="B877" s="622">
        <v>7</v>
      </c>
      <c r="C877" s="644" t="s">
        <v>1887</v>
      </c>
      <c r="D877" s="622" t="s">
        <v>68</v>
      </c>
      <c r="E877" s="621" t="s">
        <v>73</v>
      </c>
      <c r="F877" s="622" t="s">
        <v>26</v>
      </c>
      <c r="G877" s="621">
        <v>1</v>
      </c>
      <c r="H877" s="649">
        <v>0</v>
      </c>
      <c r="I877" s="645">
        <v>1</v>
      </c>
      <c r="J877" s="645">
        <v>1</v>
      </c>
      <c r="K877" s="622" t="s">
        <v>182</v>
      </c>
      <c r="L877" s="650"/>
      <c r="M877" s="622">
        <v>6</v>
      </c>
      <c r="N877" s="622">
        <v>6</v>
      </c>
      <c r="O877" s="651" t="s">
        <v>1888</v>
      </c>
      <c r="P877" s="649" t="s">
        <v>184</v>
      </c>
      <c r="Q877" s="622" t="s">
        <v>148</v>
      </c>
      <c r="R877" s="470"/>
      <c r="S877" s="292">
        <v>3</v>
      </c>
      <c r="T877" s="292">
        <v>9</v>
      </c>
      <c r="U877" s="292">
        <v>9</v>
      </c>
      <c r="V877" s="292">
        <v>3</v>
      </c>
      <c r="W877" s="197">
        <f t="shared" si="1010"/>
        <v>1</v>
      </c>
      <c r="X877" s="197">
        <f t="shared" si="1"/>
        <v>1</v>
      </c>
      <c r="Y877" s="197">
        <f t="shared" si="1159"/>
        <v>0</v>
      </c>
      <c r="Z877" s="197">
        <f t="shared" si="1012"/>
        <v>1</v>
      </c>
      <c r="AA877" s="199" t="b">
        <f t="shared" si="3"/>
        <v>0</v>
      </c>
      <c r="AB877" s="199" t="b">
        <f t="shared" si="4"/>
        <v>1</v>
      </c>
      <c r="AC877" s="200">
        <f t="shared" ref="AC877:AD877" si="1194">1-I877</f>
        <v>0</v>
      </c>
      <c r="AD877" s="200">
        <f t="shared" si="1194"/>
        <v>0</v>
      </c>
      <c r="AE877" s="199">
        <f t="shared" si="6"/>
        <v>1</v>
      </c>
      <c r="AF877" s="201">
        <f t="shared" si="1158"/>
        <v>0</v>
      </c>
      <c r="AG877" s="201">
        <f t="shared" si="8"/>
        <v>1</v>
      </c>
      <c r="AH877" s="202">
        <f t="shared" si="1161"/>
        <v>0</v>
      </c>
      <c r="AI877" s="470"/>
      <c r="AJ877" s="173"/>
      <c r="AK877" s="173"/>
      <c r="AL877" s="173"/>
      <c r="AM877" s="173"/>
      <c r="AN877" s="173"/>
      <c r="AO877" s="173"/>
      <c r="AP877" s="173"/>
      <c r="AQ877" s="173"/>
      <c r="AR877" s="173"/>
      <c r="AS877" s="173"/>
      <c r="AT877" s="173"/>
      <c r="AU877" s="173"/>
      <c r="AV877" s="173"/>
    </row>
    <row r="878" spans="1:48" ht="14.25">
      <c r="A878" s="574"/>
      <c r="B878" s="622">
        <v>8</v>
      </c>
      <c r="C878" s="644" t="s">
        <v>1889</v>
      </c>
      <c r="D878" s="622" t="s">
        <v>68</v>
      </c>
      <c r="E878" s="621" t="s">
        <v>73</v>
      </c>
      <c r="F878" s="622" t="s">
        <v>115</v>
      </c>
      <c r="G878" s="621">
        <v>2</v>
      </c>
      <c r="H878" s="622">
        <v>0</v>
      </c>
      <c r="I878" s="645">
        <v>1</v>
      </c>
      <c r="J878" s="645">
        <v>1</v>
      </c>
      <c r="K878" s="622" t="s">
        <v>182</v>
      </c>
      <c r="L878" s="646"/>
      <c r="M878" s="622">
        <v>7</v>
      </c>
      <c r="N878" s="622">
        <v>9</v>
      </c>
      <c r="O878" s="647" t="s">
        <v>1890</v>
      </c>
      <c r="P878" s="622" t="s">
        <v>184</v>
      </c>
      <c r="Q878" s="622" t="s">
        <v>148</v>
      </c>
      <c r="R878" s="470"/>
      <c r="S878" s="292">
        <v>3</v>
      </c>
      <c r="T878" s="292">
        <v>9</v>
      </c>
      <c r="U878" s="292">
        <v>10</v>
      </c>
      <c r="V878" s="292">
        <v>3</v>
      </c>
      <c r="W878" s="197">
        <f t="shared" si="1010"/>
        <v>2</v>
      </c>
      <c r="X878" s="197">
        <f t="shared" si="1"/>
        <v>1</v>
      </c>
      <c r="Y878" s="197">
        <f t="shared" si="1159"/>
        <v>0</v>
      </c>
      <c r="Z878" s="197">
        <f t="shared" si="1012"/>
        <v>2</v>
      </c>
      <c r="AA878" s="199" t="b">
        <f t="shared" si="3"/>
        <v>0</v>
      </c>
      <c r="AB878" s="199" t="b">
        <f t="shared" si="4"/>
        <v>0</v>
      </c>
      <c r="AC878" s="200">
        <f t="shared" ref="AC878:AD878" si="1195">1-I878</f>
        <v>0</v>
      </c>
      <c r="AD878" s="200">
        <f t="shared" si="1195"/>
        <v>0</v>
      </c>
      <c r="AE878" s="199">
        <f t="shared" si="6"/>
        <v>2</v>
      </c>
      <c r="AF878" s="201">
        <f t="shared" si="1158"/>
        <v>0</v>
      </c>
      <c r="AG878" s="201">
        <f t="shared" si="8"/>
        <v>1</v>
      </c>
      <c r="AH878" s="202">
        <f t="shared" si="1161"/>
        <v>0</v>
      </c>
      <c r="AI878" s="470"/>
      <c r="AJ878" s="173"/>
      <c r="AK878" s="173"/>
      <c r="AL878" s="173"/>
      <c r="AM878" s="173"/>
      <c r="AN878" s="173"/>
      <c r="AO878" s="173"/>
      <c r="AP878" s="173"/>
      <c r="AQ878" s="173"/>
      <c r="AR878" s="173"/>
      <c r="AS878" s="173"/>
      <c r="AT878" s="173"/>
      <c r="AU878" s="173"/>
      <c r="AV878" s="173"/>
    </row>
    <row r="879" spans="1:48" ht="12.75">
      <c r="A879" s="574"/>
      <c r="B879" s="574"/>
      <c r="C879" s="656"/>
      <c r="D879" s="466"/>
      <c r="E879" s="466"/>
      <c r="F879" s="466"/>
      <c r="G879" s="466"/>
      <c r="H879" s="466"/>
      <c r="I879" s="657"/>
      <c r="J879" s="657"/>
      <c r="K879" s="658"/>
      <c r="L879" s="658"/>
      <c r="M879" s="658"/>
      <c r="N879" s="658"/>
      <c r="O879" s="659"/>
      <c r="P879" s="289"/>
      <c r="Q879" s="466"/>
      <c r="R879" s="173"/>
      <c r="S879" s="660"/>
      <c r="T879" s="660"/>
      <c r="U879" s="660"/>
      <c r="V879" s="660"/>
      <c r="W879" s="466"/>
      <c r="X879" s="466"/>
      <c r="Y879" s="466"/>
      <c r="Z879" s="466"/>
      <c r="AA879" s="466"/>
      <c r="AB879" s="466"/>
      <c r="AC879" s="466"/>
      <c r="AD879" s="466"/>
      <c r="AE879" s="466"/>
      <c r="AF879" s="466"/>
      <c r="AG879" s="466"/>
      <c r="AH879" s="466"/>
      <c r="AI879" s="466"/>
      <c r="AJ879" s="173"/>
      <c r="AK879" s="173"/>
      <c r="AL879" s="173"/>
      <c r="AM879" s="173"/>
      <c r="AN879" s="173"/>
      <c r="AO879" s="173"/>
      <c r="AP879" s="173"/>
      <c r="AQ879" s="173"/>
      <c r="AR879" s="173"/>
      <c r="AS879" s="173"/>
      <c r="AT879" s="173"/>
      <c r="AU879" s="173"/>
      <c r="AV879" s="173"/>
    </row>
  </sheetData>
  <mergeCells count="424">
    <mergeCell ref="AM289:AN289"/>
    <mergeCell ref="AO288:AP288"/>
    <mergeCell ref="AO258:AP258"/>
    <mergeCell ref="AM258:AN258"/>
    <mergeCell ref="BA295:BB295"/>
    <mergeCell ref="AY295:AZ295"/>
    <mergeCell ref="BC295:BD295"/>
    <mergeCell ref="AJ294:BD294"/>
    <mergeCell ref="AU295:AV295"/>
    <mergeCell ref="AW295:AX295"/>
    <mergeCell ref="AM260:AN260"/>
    <mergeCell ref="AM259:AN259"/>
    <mergeCell ref="AM264:AN264"/>
    <mergeCell ref="AM265:AN265"/>
    <mergeCell ref="AM263:AN263"/>
    <mergeCell ref="AM291:AN291"/>
    <mergeCell ref="AM290:AN290"/>
    <mergeCell ref="AO279:AP279"/>
    <mergeCell ref="AO277:AP277"/>
    <mergeCell ref="AO278:AP278"/>
    <mergeCell ref="AM273:AN273"/>
    <mergeCell ref="AM274:AN274"/>
    <mergeCell ref="AM272:AN272"/>
    <mergeCell ref="AO283:AP283"/>
    <mergeCell ref="AJ9:AZ9"/>
    <mergeCell ref="AJ10:AZ10"/>
    <mergeCell ref="AJ13:AZ13"/>
    <mergeCell ref="AJ12:AZ12"/>
    <mergeCell ref="AJ11:AZ11"/>
    <mergeCell ref="AJ8:AZ8"/>
    <mergeCell ref="AJ7:AZ7"/>
    <mergeCell ref="BC29:BD29"/>
    <mergeCell ref="BA29:BB29"/>
    <mergeCell ref="AJ15:AZ17"/>
    <mergeCell ref="AJ19:AZ24"/>
    <mergeCell ref="AJ14:AZ14"/>
    <mergeCell ref="AK67:AL67"/>
    <mergeCell ref="AK86:AL86"/>
    <mergeCell ref="AJ104:BD104"/>
    <mergeCell ref="AM86:AN86"/>
    <mergeCell ref="AK124:AL124"/>
    <mergeCell ref="AM124:AN124"/>
    <mergeCell ref="AJ85:BD85"/>
    <mergeCell ref="BC48:BD48"/>
    <mergeCell ref="AJ47:BD47"/>
    <mergeCell ref="AJ66:BD66"/>
    <mergeCell ref="AS262:AT262"/>
    <mergeCell ref="AS263:AT263"/>
    <mergeCell ref="AK262:AL262"/>
    <mergeCell ref="AM262:AN262"/>
    <mergeCell ref="AM261:AN261"/>
    <mergeCell ref="AO263:AP263"/>
    <mergeCell ref="AS254:AT254"/>
    <mergeCell ref="AS256:AT256"/>
    <mergeCell ref="AS255:AT255"/>
    <mergeCell ref="AQ257:AR257"/>
    <mergeCell ref="AQ256:AR256"/>
    <mergeCell ref="AQ254:AR254"/>
    <mergeCell ref="AQ255:AR255"/>
    <mergeCell ref="AS257:AT257"/>
    <mergeCell ref="AO254:AP254"/>
    <mergeCell ref="AM254:AN254"/>
    <mergeCell ref="AO259:AP259"/>
    <mergeCell ref="AO256:AP256"/>
    <mergeCell ref="AM256:AN256"/>
    <mergeCell ref="AK239:AL239"/>
    <mergeCell ref="AK250:AL250"/>
    <mergeCell ref="AK240:AL240"/>
    <mergeCell ref="AM200:AN200"/>
    <mergeCell ref="AK200:AL200"/>
    <mergeCell ref="AJ237:AT237"/>
    <mergeCell ref="AM240:AN240"/>
    <mergeCell ref="AS240:AT240"/>
    <mergeCell ref="AO245:AP245"/>
    <mergeCell ref="AO240:AP240"/>
    <mergeCell ref="AS249:AT249"/>
    <mergeCell ref="AQ250:AR250"/>
    <mergeCell ref="AQ249:AR249"/>
    <mergeCell ref="AS239:AT239"/>
    <mergeCell ref="AQ239:AR239"/>
    <mergeCell ref="AQ240:AR240"/>
    <mergeCell ref="AM239:AN239"/>
    <mergeCell ref="AO239:AP239"/>
    <mergeCell ref="AO248:AP248"/>
    <mergeCell ref="AO246:AP246"/>
    <mergeCell ref="AO247:AP247"/>
    <mergeCell ref="AS242:AT242"/>
    <mergeCell ref="AQ242:AR242"/>
    <mergeCell ref="AQ247:AR247"/>
    <mergeCell ref="AK269:AL269"/>
    <mergeCell ref="AK270:AL270"/>
    <mergeCell ref="AK274:AL274"/>
    <mergeCell ref="AK273:AL273"/>
    <mergeCell ref="AK260:AL260"/>
    <mergeCell ref="AK259:AL259"/>
    <mergeCell ref="AK284:AL284"/>
    <mergeCell ref="AK286:AL286"/>
    <mergeCell ref="AK287:AL287"/>
    <mergeCell ref="AK282:AL282"/>
    <mergeCell ref="AK276:AL276"/>
    <mergeCell ref="AK263:AL263"/>
    <mergeCell ref="AK285:AL285"/>
    <mergeCell ref="AK283:AL283"/>
    <mergeCell ref="AK281:AL281"/>
    <mergeCell ref="AK279:AL279"/>
    <mergeCell ref="AK280:AL280"/>
    <mergeCell ref="AK278:AL278"/>
    <mergeCell ref="AK277:AL277"/>
    <mergeCell ref="AK292:AL292"/>
    <mergeCell ref="AK295:AL295"/>
    <mergeCell ref="AK272:AL272"/>
    <mergeCell ref="AK271:AL271"/>
    <mergeCell ref="AK275:AL275"/>
    <mergeCell ref="AK288:AL288"/>
    <mergeCell ref="AK291:AL291"/>
    <mergeCell ref="AK290:AL290"/>
    <mergeCell ref="AK289:AL289"/>
    <mergeCell ref="AM271:AN271"/>
    <mergeCell ref="AO276:AP276"/>
    <mergeCell ref="AM276:AN276"/>
    <mergeCell ref="AQ276:AR276"/>
    <mergeCell ref="AQ275:AR275"/>
    <mergeCell ref="AM268:AN268"/>
    <mergeCell ref="AM269:AN269"/>
    <mergeCell ref="AO274:AP274"/>
    <mergeCell ref="AO273:AP273"/>
    <mergeCell ref="AO272:AP272"/>
    <mergeCell ref="AQ272:AR272"/>
    <mergeCell ref="AQ273:AR273"/>
    <mergeCell ref="AQ274:AR274"/>
    <mergeCell ref="AM270:AN270"/>
    <mergeCell ref="AQ269:AR269"/>
    <mergeCell ref="AQ268:AR268"/>
    <mergeCell ref="AO266:AP266"/>
    <mergeCell ref="AQ266:AR266"/>
    <mergeCell ref="AO265:AP265"/>
    <mergeCell ref="AQ265:AR265"/>
    <mergeCell ref="AQ270:AR270"/>
    <mergeCell ref="AO270:AP270"/>
    <mergeCell ref="AQ271:AR271"/>
    <mergeCell ref="AO268:AP268"/>
    <mergeCell ref="AO267:AP267"/>
    <mergeCell ref="AO269:AP269"/>
    <mergeCell ref="AQ267:AR267"/>
    <mergeCell ref="AO271:AP271"/>
    <mergeCell ref="AO281:AP281"/>
    <mergeCell ref="AM281:AN281"/>
    <mergeCell ref="AM277:AN277"/>
    <mergeCell ref="AM279:AN279"/>
    <mergeCell ref="AS288:AT288"/>
    <mergeCell ref="AS285:AT285"/>
    <mergeCell ref="AQ280:AR280"/>
    <mergeCell ref="AQ281:AR281"/>
    <mergeCell ref="AQ277:AR277"/>
    <mergeCell ref="AQ278:AR278"/>
    <mergeCell ref="AQ279:AR279"/>
    <mergeCell ref="AM278:AN278"/>
    <mergeCell ref="AM280:AN280"/>
    <mergeCell ref="AO280:AP280"/>
    <mergeCell ref="AO284:AP284"/>
    <mergeCell ref="AQ288:AR288"/>
    <mergeCell ref="AO290:AP290"/>
    <mergeCell ref="AO291:AP291"/>
    <mergeCell ref="AO286:AP286"/>
    <mergeCell ref="AO292:AP292"/>
    <mergeCell ref="AQ292:AR292"/>
    <mergeCell ref="AQ295:AR295"/>
    <mergeCell ref="AO295:AP295"/>
    <mergeCell ref="AQ291:AR291"/>
    <mergeCell ref="AQ290:AR290"/>
    <mergeCell ref="AS292:AT292"/>
    <mergeCell ref="AS291:AT291"/>
    <mergeCell ref="AS295:AT295"/>
    <mergeCell ref="AS276:AT276"/>
    <mergeCell ref="AM284:AN284"/>
    <mergeCell ref="AM283:AN283"/>
    <mergeCell ref="AM292:AN292"/>
    <mergeCell ref="AM295:AN295"/>
    <mergeCell ref="AM285:AN285"/>
    <mergeCell ref="AM282:AN282"/>
    <mergeCell ref="AO282:AP282"/>
    <mergeCell ref="AO285:AP285"/>
    <mergeCell ref="AQ285:AR285"/>
    <mergeCell ref="AM286:AN286"/>
    <mergeCell ref="AQ286:AR286"/>
    <mergeCell ref="AQ282:AR282"/>
    <mergeCell ref="AQ284:AR284"/>
    <mergeCell ref="AM287:AN287"/>
    <mergeCell ref="AO287:AP287"/>
    <mergeCell ref="AM288:AN288"/>
    <mergeCell ref="AO289:AP289"/>
    <mergeCell ref="AQ283:AR283"/>
    <mergeCell ref="AQ289:AR289"/>
    <mergeCell ref="AQ287:AR287"/>
    <mergeCell ref="AS290:AT290"/>
    <mergeCell ref="AS289:AT289"/>
    <mergeCell ref="AS277:AT277"/>
    <mergeCell ref="AS284:AT284"/>
    <mergeCell ref="AS279:AT279"/>
    <mergeCell ref="AS278:AT278"/>
    <mergeCell ref="AS282:AT282"/>
    <mergeCell ref="AS283:AT283"/>
    <mergeCell ref="AS280:AT280"/>
    <mergeCell ref="AS281:AT281"/>
    <mergeCell ref="AS286:AT286"/>
    <mergeCell ref="AS287:AT287"/>
    <mergeCell ref="AS259:AT259"/>
    <mergeCell ref="AS258:AT258"/>
    <mergeCell ref="AM257:AN257"/>
    <mergeCell ref="AO257:AP257"/>
    <mergeCell ref="AO260:AP260"/>
    <mergeCell ref="AO255:AP255"/>
    <mergeCell ref="AM255:AN255"/>
    <mergeCell ref="AO275:AP275"/>
    <mergeCell ref="AM275:AN275"/>
    <mergeCell ref="AM266:AN266"/>
    <mergeCell ref="AS274:AT274"/>
    <mergeCell ref="AS272:AT272"/>
    <mergeCell ref="AS273:AT273"/>
    <mergeCell ref="AS267:AT267"/>
    <mergeCell ref="AS275:AT275"/>
    <mergeCell ref="AS268:AT268"/>
    <mergeCell ref="AS269:AT269"/>
    <mergeCell ref="AS271:AT271"/>
    <mergeCell ref="AS270:AT270"/>
    <mergeCell ref="AS265:AT265"/>
    <mergeCell ref="AS266:AT266"/>
    <mergeCell ref="AS264:AT264"/>
    <mergeCell ref="AS260:AT260"/>
    <mergeCell ref="AS261:AT261"/>
    <mergeCell ref="AS245:AT245"/>
    <mergeCell ref="AS246:AT246"/>
    <mergeCell ref="AM246:AN246"/>
    <mergeCell ref="AM249:AN249"/>
    <mergeCell ref="AM248:AN248"/>
    <mergeCell ref="AS248:AT248"/>
    <mergeCell ref="AS247:AT247"/>
    <mergeCell ref="AO250:AP250"/>
    <mergeCell ref="AO249:AP249"/>
    <mergeCell ref="AM247:AN247"/>
    <mergeCell ref="AQ245:AR245"/>
    <mergeCell ref="AK267:AL267"/>
    <mergeCell ref="AK265:AL265"/>
    <mergeCell ref="AK254:AL254"/>
    <mergeCell ref="AK268:AL268"/>
    <mergeCell ref="AK266:AL266"/>
    <mergeCell ref="AK255:AL255"/>
    <mergeCell ref="AK256:AL256"/>
    <mergeCell ref="AM242:AN242"/>
    <mergeCell ref="AQ243:AR243"/>
    <mergeCell ref="AM243:AN243"/>
    <mergeCell ref="AO243:AP243"/>
    <mergeCell ref="AM245:AN245"/>
    <mergeCell ref="AM244:AN244"/>
    <mergeCell ref="AK253:AL253"/>
    <mergeCell ref="AK252:AL252"/>
    <mergeCell ref="AM267:AN267"/>
    <mergeCell ref="AK251:AL251"/>
    <mergeCell ref="AO262:AP262"/>
    <mergeCell ref="AO261:AP261"/>
    <mergeCell ref="AM253:AN253"/>
    <mergeCell ref="AM252:AN252"/>
    <mergeCell ref="AQ252:AR252"/>
    <mergeCell ref="AQ251:AR251"/>
    <mergeCell ref="AO252:AP252"/>
    <mergeCell ref="AS244:AT244"/>
    <mergeCell ref="AO244:AP244"/>
    <mergeCell ref="AM241:AN241"/>
    <mergeCell ref="AK243:AL243"/>
    <mergeCell ref="AK241:AL241"/>
    <mergeCell ref="AK242:AL242"/>
    <mergeCell ref="AO241:AP241"/>
    <mergeCell ref="AS241:AT241"/>
    <mergeCell ref="AS243:AT243"/>
    <mergeCell ref="AQ244:AR244"/>
    <mergeCell ref="AQ241:AR241"/>
    <mergeCell ref="AO242:AP242"/>
    <mergeCell ref="AK246:AL246"/>
    <mergeCell ref="AK245:AL245"/>
    <mergeCell ref="AK249:AL249"/>
    <mergeCell ref="AK248:AL248"/>
    <mergeCell ref="AK244:AL244"/>
    <mergeCell ref="AK264:AL264"/>
    <mergeCell ref="AQ264:AR264"/>
    <mergeCell ref="AO264:AP264"/>
    <mergeCell ref="AK261:AL261"/>
    <mergeCell ref="AQ260:AR260"/>
    <mergeCell ref="AQ262:AR262"/>
    <mergeCell ref="AQ263:AR263"/>
    <mergeCell ref="AQ259:AR259"/>
    <mergeCell ref="AQ258:AR258"/>
    <mergeCell ref="AQ261:AR261"/>
    <mergeCell ref="AQ248:AR248"/>
    <mergeCell ref="AQ246:AR246"/>
    <mergeCell ref="AK257:AL257"/>
    <mergeCell ref="AK258:AL258"/>
    <mergeCell ref="AM250:AN250"/>
    <mergeCell ref="AS253:AT253"/>
    <mergeCell ref="AS250:AT250"/>
    <mergeCell ref="AS251:AT251"/>
    <mergeCell ref="AM251:AN251"/>
    <mergeCell ref="AQ253:AR253"/>
    <mergeCell ref="AO253:AP253"/>
    <mergeCell ref="AO251:AP251"/>
    <mergeCell ref="AK247:AL247"/>
    <mergeCell ref="AS252:AT252"/>
    <mergeCell ref="BC143:BD143"/>
    <mergeCell ref="AJ142:BD142"/>
    <mergeCell ref="AU162:AV162"/>
    <mergeCell ref="AS162:AT162"/>
    <mergeCell ref="AM143:AN143"/>
    <mergeCell ref="AM162:AN162"/>
    <mergeCell ref="AK143:AL143"/>
    <mergeCell ref="BA162:BB162"/>
    <mergeCell ref="BA143:BB143"/>
    <mergeCell ref="AJ161:BD161"/>
    <mergeCell ref="AQ162:AR162"/>
    <mergeCell ref="BC162:BD162"/>
    <mergeCell ref="AY162:AZ162"/>
    <mergeCell ref="AS143:AT143"/>
    <mergeCell ref="AU143:AV143"/>
    <mergeCell ref="AJ5:AZ5"/>
    <mergeCell ref="AJ4:AZ4"/>
    <mergeCell ref="AJ3:AZ3"/>
    <mergeCell ref="AJ6:AZ6"/>
    <mergeCell ref="AJ28:BD28"/>
    <mergeCell ref="AK29:AL29"/>
    <mergeCell ref="AM29:AN29"/>
    <mergeCell ref="BA124:BB124"/>
    <mergeCell ref="AJ123:BD123"/>
    <mergeCell ref="AO86:AP86"/>
    <mergeCell ref="AO105:AP105"/>
    <mergeCell ref="AY105:AZ105"/>
    <mergeCell ref="AU105:AV105"/>
    <mergeCell ref="AQ86:AR86"/>
    <mergeCell ref="AQ124:AR124"/>
    <mergeCell ref="AQ105:AR105"/>
    <mergeCell ref="AS29:AT29"/>
    <mergeCell ref="AS105:AT105"/>
    <mergeCell ref="AS86:AT86"/>
    <mergeCell ref="AS48:AT48"/>
    <mergeCell ref="AO67:AP67"/>
    <mergeCell ref="AQ67:AR67"/>
    <mergeCell ref="AU124:AV124"/>
    <mergeCell ref="AU29:AV29"/>
    <mergeCell ref="AK162:AL162"/>
    <mergeCell ref="AK105:AL105"/>
    <mergeCell ref="AO238:AP238"/>
    <mergeCell ref="AM238:AN238"/>
    <mergeCell ref="AS238:AT238"/>
    <mergeCell ref="AK238:AL238"/>
    <mergeCell ref="AU237:AV237"/>
    <mergeCell ref="AQ238:AR238"/>
    <mergeCell ref="AW237:AX237"/>
    <mergeCell ref="AO219:AP219"/>
    <mergeCell ref="AM219:AN219"/>
    <mergeCell ref="AK181:AL181"/>
    <mergeCell ref="AJ180:BD180"/>
    <mergeCell ref="AW181:AX181"/>
    <mergeCell ref="BC181:BD181"/>
    <mergeCell ref="BA181:BB181"/>
    <mergeCell ref="AM181:AN181"/>
    <mergeCell ref="AM105:AN105"/>
    <mergeCell ref="BC200:BD200"/>
    <mergeCell ref="AO200:AP200"/>
    <mergeCell ref="BA200:BB200"/>
    <mergeCell ref="AJ199:BD199"/>
    <mergeCell ref="AY200:AZ200"/>
    <mergeCell ref="AU219:AV219"/>
    <mergeCell ref="AS219:AT219"/>
    <mergeCell ref="AY219:AZ219"/>
    <mergeCell ref="AW219:AX219"/>
    <mergeCell ref="AU200:AV200"/>
    <mergeCell ref="AW200:AX200"/>
    <mergeCell ref="BC219:BD219"/>
    <mergeCell ref="BA219:BB219"/>
    <mergeCell ref="AJ218:BD218"/>
    <mergeCell ref="AK219:AL219"/>
    <mergeCell ref="AQ219:AR219"/>
    <mergeCell ref="BA105:BB105"/>
    <mergeCell ref="BA86:BB86"/>
    <mergeCell ref="BC67:BD67"/>
    <mergeCell ref="BA67:BB67"/>
    <mergeCell ref="AK48:AL48"/>
    <mergeCell ref="BC105:BD105"/>
    <mergeCell ref="BC124:BD124"/>
    <mergeCell ref="BA48:BB48"/>
    <mergeCell ref="BC86:BD86"/>
    <mergeCell ref="AU67:AV67"/>
    <mergeCell ref="AM67:AN67"/>
    <mergeCell ref="AS67:AT67"/>
    <mergeCell ref="AO48:AP48"/>
    <mergeCell ref="AM48:AN48"/>
    <mergeCell ref="AS200:AT200"/>
    <mergeCell ref="AS124:AT124"/>
    <mergeCell ref="AS181:AT181"/>
    <mergeCell ref="AO143:AP143"/>
    <mergeCell ref="AQ143:AR143"/>
    <mergeCell ref="AY29:AZ29"/>
    <mergeCell ref="AW29:AX29"/>
    <mergeCell ref="AO124:AP124"/>
    <mergeCell ref="AY124:AZ124"/>
    <mergeCell ref="AQ200:AR200"/>
    <mergeCell ref="AU181:AV181"/>
    <mergeCell ref="AY181:AZ181"/>
    <mergeCell ref="AY48:AZ48"/>
    <mergeCell ref="AQ48:AR48"/>
    <mergeCell ref="AO29:AP29"/>
    <mergeCell ref="AQ29:AR29"/>
    <mergeCell ref="AY143:AZ143"/>
    <mergeCell ref="AU86:AV86"/>
    <mergeCell ref="AU48:AV48"/>
    <mergeCell ref="AO181:AP181"/>
    <mergeCell ref="AQ181:AR181"/>
    <mergeCell ref="AO162:AP162"/>
    <mergeCell ref="AW48:AX48"/>
    <mergeCell ref="AW162:AX162"/>
    <mergeCell ref="AW105:AX105"/>
    <mergeCell ref="AW67:AX67"/>
    <mergeCell ref="AW143:AX143"/>
    <mergeCell ref="AW124:AX124"/>
    <mergeCell ref="AW86:AX86"/>
    <mergeCell ref="AY67:AZ67"/>
    <mergeCell ref="AY86:AZ86"/>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D966"/>
  </sheetPr>
  <dimension ref="A1:AL1002"/>
  <sheetViews>
    <sheetView workbookViewId="0"/>
  </sheetViews>
  <sheetFormatPr defaultColWidth="14.42578125" defaultRowHeight="15.75" customHeight="1"/>
  <cols>
    <col min="1" max="1" width="4.85546875" customWidth="1"/>
    <col min="2" max="2" width="9.140625" customWidth="1"/>
    <col min="3" max="3" width="24.85546875" customWidth="1"/>
    <col min="4" max="4" width="10.85546875" customWidth="1"/>
    <col min="5" max="5" width="9.28515625" customWidth="1"/>
    <col min="6" max="6" width="8.85546875" customWidth="1"/>
    <col min="7" max="8" width="7.42578125" customWidth="1"/>
    <col min="9" max="9" width="7.42578125" hidden="1" customWidth="1"/>
    <col min="10" max="10" width="8" hidden="1" customWidth="1"/>
    <col min="11" max="11" width="8.42578125" customWidth="1"/>
    <col min="12" max="12" width="9.140625" customWidth="1"/>
    <col min="13" max="14" width="6.140625" customWidth="1"/>
    <col min="15" max="15" width="80.5703125" customWidth="1"/>
    <col min="16" max="16" width="12.140625" hidden="1" customWidth="1"/>
    <col min="17" max="33" width="6.7109375" hidden="1" customWidth="1"/>
    <col min="34" max="34" width="3.7109375" hidden="1" customWidth="1"/>
    <col min="35" max="38" width="3.7109375" customWidth="1"/>
  </cols>
  <sheetData>
    <row r="1" spans="1:38" ht="8.25" customHeight="1">
      <c r="A1" s="661"/>
      <c r="B1" s="661"/>
      <c r="C1" s="661"/>
      <c r="D1" s="661"/>
      <c r="E1" s="661"/>
      <c r="F1" s="661"/>
      <c r="G1" s="661"/>
      <c r="H1" s="661"/>
      <c r="I1" s="466"/>
      <c r="J1" s="466"/>
      <c r="K1" s="466"/>
      <c r="L1" s="466"/>
      <c r="M1" s="656"/>
      <c r="N1" s="466"/>
      <c r="O1" s="656"/>
      <c r="P1" s="466"/>
      <c r="Q1" s="466"/>
      <c r="R1" s="466"/>
      <c r="S1" s="466"/>
      <c r="T1" s="466"/>
      <c r="U1" s="466"/>
      <c r="V1" s="466"/>
    </row>
    <row r="2" spans="1:38" ht="23.25">
      <c r="A2" s="662"/>
      <c r="B2" s="1149" t="s">
        <v>1891</v>
      </c>
      <c r="C2" s="1102"/>
      <c r="D2" s="1102"/>
      <c r="E2" s="1102"/>
      <c r="F2" s="1102"/>
      <c r="G2" s="1102"/>
      <c r="H2" s="1102"/>
      <c r="I2" s="1102"/>
      <c r="J2" s="1102"/>
      <c r="K2" s="1102"/>
      <c r="L2" s="1102"/>
      <c r="M2" s="1102"/>
      <c r="N2" s="1102"/>
      <c r="O2" s="1030"/>
      <c r="P2" s="663"/>
      <c r="Q2" s="663"/>
      <c r="R2" s="663"/>
      <c r="S2" s="663"/>
      <c r="T2" s="663"/>
      <c r="U2" s="663"/>
      <c r="V2" s="663"/>
      <c r="W2" s="663"/>
      <c r="X2" s="663"/>
      <c r="Y2" s="663"/>
      <c r="Z2" s="663"/>
      <c r="AA2" s="663"/>
      <c r="AB2" s="663"/>
      <c r="AC2" s="663"/>
      <c r="AD2" s="663"/>
      <c r="AE2" s="663"/>
      <c r="AF2" s="663"/>
      <c r="AG2" s="663"/>
      <c r="AH2" s="663"/>
      <c r="AI2" s="663"/>
      <c r="AJ2" s="663"/>
      <c r="AK2" s="663"/>
      <c r="AL2" s="663"/>
    </row>
    <row r="3" spans="1:38" ht="12.75">
      <c r="A3" s="662" t="str">
        <f ca="1">IFERROR(__xludf.DUMMYFUNCTION("query(Cards!A1:AI1002, "" select * where A is not null and Z&lt;=1 "",1)"),"")</f>
        <v/>
      </c>
      <c r="B3" s="664" t="s">
        <v>116</v>
      </c>
      <c r="C3" s="665" t="s">
        <v>117</v>
      </c>
      <c r="D3" s="665" t="s">
        <v>53</v>
      </c>
      <c r="E3" s="665" t="s">
        <v>118</v>
      </c>
      <c r="F3" s="665" t="s">
        <v>100</v>
      </c>
      <c r="G3" s="665" t="s">
        <v>119</v>
      </c>
      <c r="H3" s="665" t="s">
        <v>40</v>
      </c>
      <c r="I3" s="665" t="s">
        <v>120</v>
      </c>
      <c r="J3" s="665" t="s">
        <v>121</v>
      </c>
      <c r="K3" s="665" t="s">
        <v>122</v>
      </c>
      <c r="L3" s="665" t="s">
        <v>123</v>
      </c>
      <c r="M3" s="665" t="s">
        <v>124</v>
      </c>
      <c r="N3" s="665" t="s">
        <v>125</v>
      </c>
      <c r="O3" s="666" t="s">
        <v>126</v>
      </c>
      <c r="P3" s="466" t="s">
        <v>127</v>
      </c>
      <c r="Q3" s="466" t="s">
        <v>128</v>
      </c>
      <c r="R3" s="466" t="s">
        <v>49</v>
      </c>
      <c r="S3" s="466" t="s">
        <v>129</v>
      </c>
      <c r="T3" s="466" t="s">
        <v>130</v>
      </c>
      <c r="U3" s="466" t="s">
        <v>131</v>
      </c>
      <c r="V3" s="466" t="s">
        <v>132</v>
      </c>
      <c r="W3" s="466" t="s">
        <v>133</v>
      </c>
      <c r="X3" s="466" t="s">
        <v>134</v>
      </c>
      <c r="Y3" s="466" t="s">
        <v>135</v>
      </c>
      <c r="Z3" s="466" t="s">
        <v>136</v>
      </c>
      <c r="AA3" t="s">
        <v>137</v>
      </c>
      <c r="AB3" t="s">
        <v>138</v>
      </c>
      <c r="AC3" t="s">
        <v>139</v>
      </c>
      <c r="AD3" t="s">
        <v>140</v>
      </c>
      <c r="AE3" t="s">
        <v>141</v>
      </c>
      <c r="AF3" t="s">
        <v>142</v>
      </c>
      <c r="AG3" t="s">
        <v>143</v>
      </c>
      <c r="AH3" t="s">
        <v>144</v>
      </c>
      <c r="AI3" t="s">
        <v>49</v>
      </c>
    </row>
    <row r="4" spans="1:38" ht="12.75">
      <c r="A4" s="667" t="s">
        <v>49</v>
      </c>
      <c r="B4" s="668">
        <v>0</v>
      </c>
      <c r="C4" s="669" t="s">
        <v>487</v>
      </c>
      <c r="D4" s="670" t="s">
        <v>63</v>
      </c>
      <c r="E4" s="670" t="s">
        <v>77</v>
      </c>
      <c r="F4" s="670" t="s">
        <v>115</v>
      </c>
      <c r="G4" s="670">
        <v>0</v>
      </c>
      <c r="H4" s="670">
        <v>0</v>
      </c>
      <c r="I4" s="670">
        <v>0</v>
      </c>
      <c r="J4" s="670">
        <v>0</v>
      </c>
      <c r="K4" s="670" t="s">
        <v>182</v>
      </c>
      <c r="L4" s="670" t="s">
        <v>49</v>
      </c>
      <c r="M4" s="669">
        <v>1</v>
      </c>
      <c r="N4" s="670">
        <v>1</v>
      </c>
      <c r="O4" s="671" t="s">
        <v>49</v>
      </c>
      <c r="P4" s="466" t="s">
        <v>49</v>
      </c>
      <c r="Q4" s="466" t="s">
        <v>148</v>
      </c>
      <c r="R4" s="466" t="s">
        <v>49</v>
      </c>
      <c r="S4" s="466">
        <v>2</v>
      </c>
      <c r="T4" s="466">
        <v>2</v>
      </c>
      <c r="U4" s="466">
        <v>10</v>
      </c>
      <c r="V4" s="466">
        <v>3</v>
      </c>
      <c r="W4">
        <v>0</v>
      </c>
      <c r="X4">
        <v>0</v>
      </c>
      <c r="Y4">
        <v>0</v>
      </c>
      <c r="Z4">
        <v>0</v>
      </c>
      <c r="AA4" t="b">
        <v>1</v>
      </c>
      <c r="AB4" t="b">
        <v>1</v>
      </c>
      <c r="AC4">
        <v>1</v>
      </c>
      <c r="AD4">
        <v>1</v>
      </c>
      <c r="AE4">
        <v>2</v>
      </c>
      <c r="AF4">
        <v>0</v>
      </c>
      <c r="AG4">
        <v>0</v>
      </c>
      <c r="AH4">
        <v>0</v>
      </c>
      <c r="AI4" t="s">
        <v>49</v>
      </c>
    </row>
    <row r="5" spans="1:38" ht="12.75">
      <c r="A5" s="667" t="s">
        <v>49</v>
      </c>
      <c r="B5" s="668">
        <v>1</v>
      </c>
      <c r="C5" s="669" t="s">
        <v>670</v>
      </c>
      <c r="D5" s="670" t="s">
        <v>69</v>
      </c>
      <c r="E5" s="670" t="s">
        <v>77</v>
      </c>
      <c r="F5" s="670" t="s">
        <v>11</v>
      </c>
      <c r="G5" s="670">
        <v>0</v>
      </c>
      <c r="H5" s="670">
        <v>0</v>
      </c>
      <c r="I5" s="670">
        <v>0</v>
      </c>
      <c r="J5" s="670">
        <v>0</v>
      </c>
      <c r="K5" s="670" t="s">
        <v>146</v>
      </c>
      <c r="L5" s="670" t="s">
        <v>49</v>
      </c>
      <c r="M5" s="669"/>
      <c r="N5" s="670"/>
      <c r="O5" s="671" t="s">
        <v>671</v>
      </c>
      <c r="P5" s="466" t="s">
        <v>49</v>
      </c>
      <c r="Q5" s="466" t="s">
        <v>148</v>
      </c>
      <c r="R5" s="466" t="s">
        <v>49</v>
      </c>
      <c r="S5" s="466">
        <v>4</v>
      </c>
      <c r="T5" s="466">
        <v>2</v>
      </c>
      <c r="U5" s="466">
        <v>2</v>
      </c>
      <c r="V5" s="466">
        <v>2</v>
      </c>
      <c r="W5">
        <v>0</v>
      </c>
      <c r="X5">
        <v>0</v>
      </c>
      <c r="Y5">
        <v>0</v>
      </c>
      <c r="Z5">
        <v>0</v>
      </c>
      <c r="AA5" t="b">
        <v>1</v>
      </c>
      <c r="AB5" t="b">
        <v>1</v>
      </c>
      <c r="AC5">
        <v>1</v>
      </c>
      <c r="AD5">
        <v>1</v>
      </c>
      <c r="AE5">
        <v>2</v>
      </c>
      <c r="AF5">
        <v>0</v>
      </c>
      <c r="AG5">
        <v>0</v>
      </c>
      <c r="AH5">
        <v>0</v>
      </c>
      <c r="AI5" t="s">
        <v>49</v>
      </c>
    </row>
    <row r="6" spans="1:38" ht="12.75">
      <c r="A6" s="667" t="s">
        <v>49</v>
      </c>
      <c r="B6" s="668">
        <v>1</v>
      </c>
      <c r="C6" s="669" t="s">
        <v>672</v>
      </c>
      <c r="D6" s="670" t="s">
        <v>69</v>
      </c>
      <c r="E6" s="670" t="s">
        <v>77</v>
      </c>
      <c r="F6" s="670" t="s">
        <v>115</v>
      </c>
      <c r="G6" s="670">
        <v>0</v>
      </c>
      <c r="H6" s="670">
        <v>0</v>
      </c>
      <c r="I6" s="670">
        <v>0.33</v>
      </c>
      <c r="J6" s="670">
        <v>0</v>
      </c>
      <c r="K6" s="670" t="s">
        <v>182</v>
      </c>
      <c r="L6" s="670" t="s">
        <v>230</v>
      </c>
      <c r="M6" s="669">
        <v>1</v>
      </c>
      <c r="N6" s="670">
        <v>2</v>
      </c>
      <c r="O6" s="671" t="s">
        <v>673</v>
      </c>
      <c r="P6" s="466" t="s">
        <v>184</v>
      </c>
      <c r="Q6" s="466" t="s">
        <v>148</v>
      </c>
      <c r="R6" s="466" t="s">
        <v>49</v>
      </c>
      <c r="S6" s="466">
        <v>4</v>
      </c>
      <c r="T6" s="466">
        <v>2</v>
      </c>
      <c r="U6" s="466">
        <v>10</v>
      </c>
      <c r="V6" s="466">
        <v>3</v>
      </c>
      <c r="W6">
        <v>0</v>
      </c>
      <c r="X6">
        <v>0</v>
      </c>
      <c r="Y6">
        <v>0</v>
      </c>
      <c r="Z6">
        <v>0</v>
      </c>
      <c r="AA6" t="b">
        <v>1</v>
      </c>
      <c r="AB6" t="b">
        <v>1</v>
      </c>
      <c r="AC6">
        <v>0.66999999999999993</v>
      </c>
      <c r="AD6">
        <v>1</v>
      </c>
      <c r="AE6">
        <v>1.67</v>
      </c>
      <c r="AF6">
        <v>0</v>
      </c>
      <c r="AG6">
        <v>0</v>
      </c>
      <c r="AH6">
        <v>0</v>
      </c>
      <c r="AI6" t="s">
        <v>49</v>
      </c>
    </row>
    <row r="7" spans="1:38" ht="12.75">
      <c r="A7" s="667" t="s">
        <v>49</v>
      </c>
      <c r="B7" s="668">
        <v>2</v>
      </c>
      <c r="C7" s="669" t="s">
        <v>678</v>
      </c>
      <c r="D7" s="670" t="s">
        <v>69</v>
      </c>
      <c r="E7" s="670" t="s">
        <v>77</v>
      </c>
      <c r="F7" s="670" t="s">
        <v>20</v>
      </c>
      <c r="G7" s="670">
        <v>0</v>
      </c>
      <c r="H7" s="670">
        <v>0</v>
      </c>
      <c r="I7" s="670">
        <v>0</v>
      </c>
      <c r="J7" s="670">
        <v>0</v>
      </c>
      <c r="K7" s="670" t="s">
        <v>182</v>
      </c>
      <c r="L7" s="670" t="s">
        <v>49</v>
      </c>
      <c r="M7" s="669">
        <v>1</v>
      </c>
      <c r="N7" s="670">
        <v>1</v>
      </c>
      <c r="O7" s="671" t="s">
        <v>679</v>
      </c>
      <c r="P7" s="466" t="s">
        <v>497</v>
      </c>
      <c r="Q7" s="466" t="s">
        <v>148</v>
      </c>
      <c r="R7" s="466" t="s">
        <v>49</v>
      </c>
      <c r="S7" s="466">
        <v>4</v>
      </c>
      <c r="T7" s="466">
        <v>2</v>
      </c>
      <c r="U7" s="466">
        <v>6</v>
      </c>
      <c r="V7" s="466">
        <v>3</v>
      </c>
      <c r="W7">
        <v>0</v>
      </c>
      <c r="X7">
        <v>0</v>
      </c>
      <c r="Y7">
        <v>0</v>
      </c>
      <c r="Z7">
        <v>0</v>
      </c>
      <c r="AA7" t="b">
        <v>1</v>
      </c>
      <c r="AB7" t="b">
        <v>1</v>
      </c>
      <c r="AC7">
        <v>1</v>
      </c>
      <c r="AD7">
        <v>1</v>
      </c>
      <c r="AE7">
        <v>2</v>
      </c>
      <c r="AF7">
        <v>0</v>
      </c>
      <c r="AG7">
        <v>0</v>
      </c>
      <c r="AH7">
        <v>0</v>
      </c>
      <c r="AI7" t="s">
        <v>49</v>
      </c>
    </row>
    <row r="8" spans="1:38" ht="12.75">
      <c r="A8" s="667" t="s">
        <v>49</v>
      </c>
      <c r="B8" s="668">
        <v>2</v>
      </c>
      <c r="C8" s="669" t="s">
        <v>680</v>
      </c>
      <c r="D8" s="670" t="s">
        <v>69</v>
      </c>
      <c r="E8" s="670" t="s">
        <v>77</v>
      </c>
      <c r="F8" s="670" t="s">
        <v>11</v>
      </c>
      <c r="G8" s="670">
        <v>1</v>
      </c>
      <c r="H8" s="670">
        <v>0</v>
      </c>
      <c r="I8" s="670">
        <v>1</v>
      </c>
      <c r="J8" s="670">
        <v>0.66</v>
      </c>
      <c r="K8" s="670" t="s">
        <v>146</v>
      </c>
      <c r="L8" s="670" t="s">
        <v>508</v>
      </c>
      <c r="M8" s="669"/>
      <c r="N8" s="670"/>
      <c r="O8" s="671" t="s">
        <v>681</v>
      </c>
      <c r="P8" s="466" t="s">
        <v>49</v>
      </c>
      <c r="Q8" s="466" t="s">
        <v>148</v>
      </c>
      <c r="R8" s="466" t="s">
        <v>49</v>
      </c>
      <c r="S8" s="466">
        <v>4</v>
      </c>
      <c r="T8" s="466">
        <v>2</v>
      </c>
      <c r="U8" s="466">
        <v>2</v>
      </c>
      <c r="V8" s="466">
        <v>2</v>
      </c>
      <c r="W8">
        <v>1</v>
      </c>
      <c r="X8">
        <v>1</v>
      </c>
      <c r="Y8">
        <v>0</v>
      </c>
      <c r="Z8">
        <v>1</v>
      </c>
      <c r="AA8" t="b">
        <v>0</v>
      </c>
      <c r="AB8" t="b">
        <v>1</v>
      </c>
      <c r="AC8">
        <v>0</v>
      </c>
      <c r="AD8">
        <v>0.33999999999999997</v>
      </c>
      <c r="AE8">
        <v>1.3399999999999999</v>
      </c>
      <c r="AF8">
        <v>0</v>
      </c>
      <c r="AG8">
        <v>1</v>
      </c>
      <c r="AH8">
        <v>0</v>
      </c>
      <c r="AI8" t="s">
        <v>49</v>
      </c>
    </row>
    <row r="9" spans="1:38" ht="12.75">
      <c r="A9" s="667" t="s">
        <v>49</v>
      </c>
      <c r="B9" s="668">
        <v>3</v>
      </c>
      <c r="C9" s="669" t="s">
        <v>682</v>
      </c>
      <c r="D9" s="670" t="s">
        <v>69</v>
      </c>
      <c r="E9" s="670" t="s">
        <v>77</v>
      </c>
      <c r="F9" s="670" t="s">
        <v>115</v>
      </c>
      <c r="G9" s="670">
        <v>0</v>
      </c>
      <c r="H9" s="670">
        <v>0</v>
      </c>
      <c r="I9" s="670">
        <v>0.33</v>
      </c>
      <c r="J9" s="670">
        <v>0</v>
      </c>
      <c r="K9" s="670" t="s">
        <v>182</v>
      </c>
      <c r="L9" s="670" t="s">
        <v>49</v>
      </c>
      <c r="M9" s="669">
        <v>3</v>
      </c>
      <c r="N9" s="670">
        <v>3</v>
      </c>
      <c r="O9" s="671" t="s">
        <v>683</v>
      </c>
      <c r="P9" s="466" t="s">
        <v>184</v>
      </c>
      <c r="Q9" s="466" t="s">
        <v>148</v>
      </c>
      <c r="R9" s="466" t="s">
        <v>49</v>
      </c>
      <c r="S9" s="466">
        <v>4</v>
      </c>
      <c r="T9" s="466">
        <v>2</v>
      </c>
      <c r="U9" s="466">
        <v>10</v>
      </c>
      <c r="V9" s="466">
        <v>3</v>
      </c>
      <c r="W9">
        <v>0</v>
      </c>
      <c r="X9">
        <v>0</v>
      </c>
      <c r="Y9">
        <v>0</v>
      </c>
      <c r="Z9">
        <v>0</v>
      </c>
      <c r="AA9" t="b">
        <v>1</v>
      </c>
      <c r="AB9" t="b">
        <v>1</v>
      </c>
      <c r="AC9">
        <v>0.66999999999999993</v>
      </c>
      <c r="AD9">
        <v>1</v>
      </c>
      <c r="AE9">
        <v>1.67</v>
      </c>
      <c r="AF9">
        <v>0</v>
      </c>
      <c r="AG9">
        <v>0</v>
      </c>
      <c r="AH9">
        <v>0</v>
      </c>
      <c r="AI9" t="s">
        <v>49</v>
      </c>
    </row>
    <row r="10" spans="1:38" ht="12.75">
      <c r="A10" s="667" t="s">
        <v>49</v>
      </c>
      <c r="B10" s="668">
        <v>3</v>
      </c>
      <c r="C10" s="669" t="s">
        <v>684</v>
      </c>
      <c r="D10" s="670" t="s">
        <v>69</v>
      </c>
      <c r="E10" s="670" t="s">
        <v>77</v>
      </c>
      <c r="F10" s="670" t="s">
        <v>21</v>
      </c>
      <c r="G10" s="670">
        <v>0</v>
      </c>
      <c r="H10" s="670">
        <v>0</v>
      </c>
      <c r="I10" s="670">
        <v>0</v>
      </c>
      <c r="J10" s="670">
        <v>0</v>
      </c>
      <c r="K10" s="670" t="s">
        <v>146</v>
      </c>
      <c r="L10" s="670" t="s">
        <v>49</v>
      </c>
      <c r="M10" s="669"/>
      <c r="N10" s="670"/>
      <c r="O10" s="671" t="s">
        <v>685</v>
      </c>
      <c r="P10" s="466" t="s">
        <v>49</v>
      </c>
      <c r="Q10" s="466" t="s">
        <v>148</v>
      </c>
      <c r="R10" s="466" t="s">
        <v>49</v>
      </c>
      <c r="S10" s="466">
        <v>4</v>
      </c>
      <c r="T10" s="466">
        <v>2</v>
      </c>
      <c r="U10" s="466">
        <v>7</v>
      </c>
      <c r="V10" s="466">
        <v>2</v>
      </c>
      <c r="W10">
        <v>0</v>
      </c>
      <c r="X10">
        <v>0</v>
      </c>
      <c r="Y10">
        <v>0</v>
      </c>
      <c r="Z10">
        <v>0</v>
      </c>
      <c r="AA10" t="b">
        <v>1</v>
      </c>
      <c r="AB10" t="b">
        <v>1</v>
      </c>
      <c r="AC10">
        <v>1</v>
      </c>
      <c r="AD10">
        <v>1</v>
      </c>
      <c r="AE10">
        <v>2</v>
      </c>
      <c r="AF10">
        <v>0</v>
      </c>
      <c r="AG10">
        <v>0</v>
      </c>
      <c r="AH10">
        <v>0</v>
      </c>
      <c r="AI10" t="s">
        <v>49</v>
      </c>
    </row>
    <row r="11" spans="1:38" ht="12.75">
      <c r="A11" s="667" t="s">
        <v>49</v>
      </c>
      <c r="B11" s="668">
        <v>3</v>
      </c>
      <c r="C11" s="669" t="s">
        <v>692</v>
      </c>
      <c r="D11" s="670" t="s">
        <v>69</v>
      </c>
      <c r="E11" s="670" t="s">
        <v>77</v>
      </c>
      <c r="F11" s="670" t="s">
        <v>115</v>
      </c>
      <c r="G11" s="670">
        <v>0</v>
      </c>
      <c r="H11" s="670">
        <v>0</v>
      </c>
      <c r="I11" s="670">
        <v>0.33</v>
      </c>
      <c r="J11" s="670">
        <v>0.33</v>
      </c>
      <c r="K11" s="670" t="s">
        <v>182</v>
      </c>
      <c r="L11" s="670" t="s">
        <v>536</v>
      </c>
      <c r="M11" s="669">
        <v>3</v>
      </c>
      <c r="N11" s="670">
        <v>3</v>
      </c>
      <c r="O11" s="671" t="s">
        <v>693</v>
      </c>
      <c r="P11" s="466" t="s">
        <v>694</v>
      </c>
      <c r="Q11" s="466" t="s">
        <v>148</v>
      </c>
      <c r="R11" s="466" t="s">
        <v>49</v>
      </c>
      <c r="S11" s="466">
        <v>4</v>
      </c>
      <c r="T11" s="466">
        <v>2</v>
      </c>
      <c r="U11" s="466">
        <v>10</v>
      </c>
      <c r="V11" s="466">
        <v>3</v>
      </c>
      <c r="W11">
        <v>0</v>
      </c>
      <c r="X11">
        <v>0</v>
      </c>
      <c r="Y11">
        <v>0</v>
      </c>
      <c r="Z11">
        <v>0</v>
      </c>
      <c r="AA11" t="b">
        <v>1</v>
      </c>
      <c r="AB11" t="b">
        <v>1</v>
      </c>
      <c r="AC11">
        <v>0.66999999999999993</v>
      </c>
      <c r="AD11">
        <v>0.66999999999999993</v>
      </c>
      <c r="AE11">
        <v>1.3399999999999999</v>
      </c>
      <c r="AF11">
        <v>0</v>
      </c>
      <c r="AG11">
        <v>0</v>
      </c>
      <c r="AH11">
        <v>0</v>
      </c>
      <c r="AI11" t="s">
        <v>49</v>
      </c>
    </row>
    <row r="12" spans="1:38" ht="12.75">
      <c r="A12" s="667" t="s">
        <v>49</v>
      </c>
      <c r="B12" s="668">
        <v>3</v>
      </c>
      <c r="C12" s="669" t="s">
        <v>697</v>
      </c>
      <c r="D12" s="670" t="s">
        <v>69</v>
      </c>
      <c r="E12" s="670" t="s">
        <v>77</v>
      </c>
      <c r="F12" s="670" t="s">
        <v>16</v>
      </c>
      <c r="G12" s="670">
        <v>0</v>
      </c>
      <c r="H12" s="670">
        <v>0</v>
      </c>
      <c r="I12" s="670">
        <v>0.66</v>
      </c>
      <c r="J12" s="670">
        <v>0</v>
      </c>
      <c r="K12" s="670" t="s">
        <v>207</v>
      </c>
      <c r="L12" s="670" t="s">
        <v>49</v>
      </c>
      <c r="M12" s="669">
        <v>1</v>
      </c>
      <c r="N12" s="670">
        <v>5</v>
      </c>
      <c r="O12" s="671" t="s">
        <v>698</v>
      </c>
      <c r="P12" s="466" t="s">
        <v>49</v>
      </c>
      <c r="Q12" s="466" t="s">
        <v>148</v>
      </c>
      <c r="R12" s="466" t="s">
        <v>49</v>
      </c>
      <c r="S12" s="466">
        <v>4</v>
      </c>
      <c r="T12" s="466">
        <v>2</v>
      </c>
      <c r="U12" s="466">
        <v>4</v>
      </c>
      <c r="V12" s="466">
        <v>1</v>
      </c>
      <c r="W12">
        <v>0</v>
      </c>
      <c r="X12">
        <v>0</v>
      </c>
      <c r="Y12">
        <v>0</v>
      </c>
      <c r="Z12">
        <v>0</v>
      </c>
      <c r="AA12" t="b">
        <v>1</v>
      </c>
      <c r="AB12" t="b">
        <v>1</v>
      </c>
      <c r="AC12">
        <v>0.33999999999999997</v>
      </c>
      <c r="AD12">
        <v>1</v>
      </c>
      <c r="AE12">
        <v>1.3399999999999999</v>
      </c>
      <c r="AF12">
        <v>0</v>
      </c>
      <c r="AG12">
        <v>0</v>
      </c>
      <c r="AH12">
        <v>0</v>
      </c>
      <c r="AI12" t="s">
        <v>49</v>
      </c>
    </row>
    <row r="13" spans="1:38" ht="12.75">
      <c r="A13" s="667" t="s">
        <v>49</v>
      </c>
      <c r="B13" s="668">
        <v>4</v>
      </c>
      <c r="C13" s="669" t="s">
        <v>701</v>
      </c>
      <c r="D13" s="670" t="s">
        <v>69</v>
      </c>
      <c r="E13" s="670" t="s">
        <v>77</v>
      </c>
      <c r="F13" s="670" t="s">
        <v>25</v>
      </c>
      <c r="G13" s="670">
        <v>1</v>
      </c>
      <c r="H13" s="670">
        <v>0</v>
      </c>
      <c r="I13" s="670">
        <v>0.66</v>
      </c>
      <c r="J13" s="670">
        <v>0.66</v>
      </c>
      <c r="K13" s="670" t="s">
        <v>182</v>
      </c>
      <c r="L13" s="670" t="s">
        <v>239</v>
      </c>
      <c r="M13" s="669">
        <v>5</v>
      </c>
      <c r="N13" s="670">
        <v>6</v>
      </c>
      <c r="O13" s="671" t="s">
        <v>702</v>
      </c>
      <c r="P13" s="466" t="s">
        <v>275</v>
      </c>
      <c r="Q13" s="466" t="s">
        <v>148</v>
      </c>
      <c r="R13" s="466" t="s">
        <v>49</v>
      </c>
      <c r="S13" s="466">
        <v>4</v>
      </c>
      <c r="T13" s="466">
        <v>2</v>
      </c>
      <c r="U13" s="466">
        <v>8</v>
      </c>
      <c r="V13" s="466">
        <v>3</v>
      </c>
      <c r="W13">
        <v>1</v>
      </c>
      <c r="X13">
        <v>1</v>
      </c>
      <c r="Y13">
        <v>0</v>
      </c>
      <c r="Z13">
        <v>1</v>
      </c>
      <c r="AA13" t="b">
        <v>0</v>
      </c>
      <c r="AB13" t="b">
        <v>1</v>
      </c>
      <c r="AC13">
        <v>0.33999999999999997</v>
      </c>
      <c r="AD13">
        <v>0.33999999999999997</v>
      </c>
      <c r="AE13">
        <v>1.3399999999999999</v>
      </c>
      <c r="AF13">
        <v>0</v>
      </c>
      <c r="AG13">
        <v>1</v>
      </c>
      <c r="AH13">
        <v>0</v>
      </c>
      <c r="AI13" t="s">
        <v>49</v>
      </c>
    </row>
    <row r="14" spans="1:38" ht="12.75">
      <c r="A14" s="667" t="s">
        <v>49</v>
      </c>
      <c r="B14" s="668">
        <v>5</v>
      </c>
      <c r="C14" s="669" t="s">
        <v>711</v>
      </c>
      <c r="D14" s="670" t="s">
        <v>69</v>
      </c>
      <c r="E14" s="670" t="s">
        <v>77</v>
      </c>
      <c r="F14" s="670" t="s">
        <v>21</v>
      </c>
      <c r="G14" s="670">
        <v>1</v>
      </c>
      <c r="H14" s="670">
        <v>0</v>
      </c>
      <c r="I14" s="670">
        <v>0.33</v>
      </c>
      <c r="J14" s="670">
        <v>0.33</v>
      </c>
      <c r="K14" s="670" t="s">
        <v>182</v>
      </c>
      <c r="L14" s="670" t="s">
        <v>49</v>
      </c>
      <c r="M14" s="669">
        <v>7</v>
      </c>
      <c r="N14" s="670">
        <v>8</v>
      </c>
      <c r="O14" s="671" t="s">
        <v>712</v>
      </c>
      <c r="P14" s="466" t="s">
        <v>193</v>
      </c>
      <c r="Q14" s="466" t="s">
        <v>148</v>
      </c>
      <c r="R14" s="466" t="s">
        <v>49</v>
      </c>
      <c r="S14" s="466">
        <v>4</v>
      </c>
      <c r="T14" s="466">
        <v>2</v>
      </c>
      <c r="U14" s="466">
        <v>7</v>
      </c>
      <c r="V14" s="466">
        <v>3</v>
      </c>
      <c r="W14">
        <v>1</v>
      </c>
      <c r="X14">
        <v>1</v>
      </c>
      <c r="Y14">
        <v>0</v>
      </c>
      <c r="Z14">
        <v>1</v>
      </c>
      <c r="AA14" t="b">
        <v>0</v>
      </c>
      <c r="AB14" t="b">
        <v>1</v>
      </c>
      <c r="AC14">
        <v>0.66999999999999993</v>
      </c>
      <c r="AD14">
        <v>0.66999999999999993</v>
      </c>
      <c r="AE14">
        <v>1.67</v>
      </c>
      <c r="AF14">
        <v>0</v>
      </c>
      <c r="AG14">
        <v>1</v>
      </c>
      <c r="AH14">
        <v>0</v>
      </c>
      <c r="AI14" t="s">
        <v>49</v>
      </c>
    </row>
    <row r="15" spans="1:38" ht="12.75">
      <c r="A15" s="667" t="s">
        <v>49</v>
      </c>
      <c r="B15" s="668">
        <v>5</v>
      </c>
      <c r="C15" s="669" t="s">
        <v>713</v>
      </c>
      <c r="D15" s="670" t="s">
        <v>69</v>
      </c>
      <c r="E15" s="670" t="s">
        <v>77</v>
      </c>
      <c r="F15" s="670" t="s">
        <v>115</v>
      </c>
      <c r="G15" s="670">
        <v>1</v>
      </c>
      <c r="H15" s="670">
        <v>0</v>
      </c>
      <c r="I15" s="670">
        <v>1</v>
      </c>
      <c r="J15" s="670">
        <v>0.33</v>
      </c>
      <c r="K15" s="670" t="s">
        <v>182</v>
      </c>
      <c r="L15" s="670" t="s">
        <v>49</v>
      </c>
      <c r="M15" s="669">
        <v>3</v>
      </c>
      <c r="N15" s="670">
        <v>3</v>
      </c>
      <c r="O15" s="671" t="s">
        <v>714</v>
      </c>
      <c r="P15" s="466" t="s">
        <v>275</v>
      </c>
      <c r="Q15" s="466" t="s">
        <v>148</v>
      </c>
      <c r="R15" s="466" t="s">
        <v>49</v>
      </c>
      <c r="S15" s="466">
        <v>4</v>
      </c>
      <c r="T15" s="466">
        <v>2</v>
      </c>
      <c r="U15" s="466">
        <v>10</v>
      </c>
      <c r="V15" s="466">
        <v>3</v>
      </c>
      <c r="W15">
        <v>1</v>
      </c>
      <c r="X15">
        <v>1</v>
      </c>
      <c r="Y15">
        <v>0</v>
      </c>
      <c r="Z15">
        <v>1</v>
      </c>
      <c r="AA15" t="b">
        <v>0</v>
      </c>
      <c r="AB15" t="b">
        <v>1</v>
      </c>
      <c r="AC15">
        <v>0</v>
      </c>
      <c r="AD15">
        <v>0.66999999999999993</v>
      </c>
      <c r="AE15">
        <v>1.67</v>
      </c>
      <c r="AF15">
        <v>0</v>
      </c>
      <c r="AG15">
        <v>1</v>
      </c>
      <c r="AH15">
        <v>0</v>
      </c>
      <c r="AI15" t="s">
        <v>49</v>
      </c>
    </row>
    <row r="16" spans="1:38" ht="12.75">
      <c r="A16" s="667" t="s">
        <v>49</v>
      </c>
      <c r="B16" s="668">
        <v>6</v>
      </c>
      <c r="C16" s="669" t="s">
        <v>717</v>
      </c>
      <c r="D16" s="670" t="s">
        <v>69</v>
      </c>
      <c r="E16" s="670" t="s">
        <v>77</v>
      </c>
      <c r="F16" s="670" t="s">
        <v>16</v>
      </c>
      <c r="G16" s="670">
        <v>0</v>
      </c>
      <c r="H16" s="670">
        <v>0</v>
      </c>
      <c r="I16" s="670">
        <v>0.66</v>
      </c>
      <c r="J16" s="670">
        <v>0.33</v>
      </c>
      <c r="K16" s="670" t="s">
        <v>146</v>
      </c>
      <c r="L16" s="670" t="s">
        <v>49</v>
      </c>
      <c r="M16" s="669"/>
      <c r="N16" s="670"/>
      <c r="O16" s="671" t="s">
        <v>718</v>
      </c>
      <c r="P16" s="466" t="s">
        <v>49</v>
      </c>
      <c r="Q16" s="466" t="s">
        <v>148</v>
      </c>
      <c r="R16" s="466" t="s">
        <v>49</v>
      </c>
      <c r="S16" s="466">
        <v>4</v>
      </c>
      <c r="T16" s="466">
        <v>2</v>
      </c>
      <c r="U16" s="466">
        <v>4</v>
      </c>
      <c r="V16" s="466">
        <v>2</v>
      </c>
      <c r="W16">
        <v>0</v>
      </c>
      <c r="X16">
        <v>0</v>
      </c>
      <c r="Y16">
        <v>0</v>
      </c>
      <c r="Z16">
        <v>0</v>
      </c>
      <c r="AA16" t="b">
        <v>1</v>
      </c>
      <c r="AB16" t="b">
        <v>1</v>
      </c>
      <c r="AC16">
        <v>0.33999999999999997</v>
      </c>
      <c r="AD16">
        <v>0.66999999999999993</v>
      </c>
      <c r="AE16">
        <v>1.0099999999999998</v>
      </c>
      <c r="AF16">
        <v>0</v>
      </c>
      <c r="AG16">
        <v>0</v>
      </c>
      <c r="AH16">
        <v>0</v>
      </c>
      <c r="AI16" t="s">
        <v>49</v>
      </c>
    </row>
    <row r="17" spans="1:35" ht="12.75">
      <c r="A17" s="667" t="s">
        <v>49</v>
      </c>
      <c r="B17" s="668">
        <v>6</v>
      </c>
      <c r="C17" s="669" t="s">
        <v>721</v>
      </c>
      <c r="D17" s="670" t="s">
        <v>69</v>
      </c>
      <c r="E17" s="670" t="s">
        <v>77</v>
      </c>
      <c r="F17" s="670" t="s">
        <v>20</v>
      </c>
      <c r="G17" s="670">
        <v>1</v>
      </c>
      <c r="H17" s="670">
        <v>0</v>
      </c>
      <c r="I17" s="670">
        <v>0</v>
      </c>
      <c r="J17" s="670">
        <v>0</v>
      </c>
      <c r="K17" s="670" t="s">
        <v>182</v>
      </c>
      <c r="L17" s="670" t="s">
        <v>49</v>
      </c>
      <c r="M17" s="669">
        <v>5</v>
      </c>
      <c r="N17" s="670">
        <v>3</v>
      </c>
      <c r="O17" s="671" t="s">
        <v>722</v>
      </c>
      <c r="P17" s="466" t="s">
        <v>558</v>
      </c>
      <c r="Q17" s="466" t="s">
        <v>148</v>
      </c>
      <c r="R17" s="466" t="s">
        <v>49</v>
      </c>
      <c r="S17" s="466">
        <v>4</v>
      </c>
      <c r="T17" s="466">
        <v>2</v>
      </c>
      <c r="U17" s="466">
        <v>6</v>
      </c>
      <c r="V17" s="466">
        <v>3</v>
      </c>
      <c r="W17">
        <v>1</v>
      </c>
      <c r="X17">
        <v>1</v>
      </c>
      <c r="Y17">
        <v>0</v>
      </c>
      <c r="Z17">
        <v>1</v>
      </c>
      <c r="AA17" t="b">
        <v>0</v>
      </c>
      <c r="AB17" t="b">
        <v>1</v>
      </c>
      <c r="AC17">
        <v>1</v>
      </c>
      <c r="AD17">
        <v>1</v>
      </c>
      <c r="AE17">
        <v>2</v>
      </c>
      <c r="AF17">
        <v>0</v>
      </c>
      <c r="AG17">
        <v>1</v>
      </c>
      <c r="AH17">
        <v>0</v>
      </c>
      <c r="AI17" t="s">
        <v>49</v>
      </c>
    </row>
    <row r="18" spans="1:35" ht="12.75">
      <c r="A18" s="667" t="s">
        <v>49</v>
      </c>
      <c r="B18" s="668">
        <v>7</v>
      </c>
      <c r="C18" s="669" t="s">
        <v>727</v>
      </c>
      <c r="D18" s="670" t="s">
        <v>69</v>
      </c>
      <c r="E18" s="670" t="s">
        <v>77</v>
      </c>
      <c r="F18" s="670" t="s">
        <v>11</v>
      </c>
      <c r="G18" s="670">
        <v>0</v>
      </c>
      <c r="H18" s="670">
        <v>0</v>
      </c>
      <c r="I18" s="670">
        <v>0.33</v>
      </c>
      <c r="J18" s="670">
        <v>0.33</v>
      </c>
      <c r="K18" s="670" t="s">
        <v>207</v>
      </c>
      <c r="L18" s="670" t="s">
        <v>49</v>
      </c>
      <c r="M18" s="669">
        <v>5</v>
      </c>
      <c r="N18" s="670">
        <v>2</v>
      </c>
      <c r="O18" s="671" t="s">
        <v>728</v>
      </c>
      <c r="P18" s="466" t="s">
        <v>49</v>
      </c>
      <c r="Q18" s="466" t="s">
        <v>148</v>
      </c>
      <c r="R18" s="466" t="s">
        <v>49</v>
      </c>
      <c r="S18" s="466">
        <v>4</v>
      </c>
      <c r="T18" s="466">
        <v>2</v>
      </c>
      <c r="U18" s="466">
        <v>2</v>
      </c>
      <c r="V18" s="466">
        <v>1</v>
      </c>
      <c r="W18">
        <v>0</v>
      </c>
      <c r="X18">
        <v>0</v>
      </c>
      <c r="Y18">
        <v>0</v>
      </c>
      <c r="Z18">
        <v>0</v>
      </c>
      <c r="AA18" t="b">
        <v>1</v>
      </c>
      <c r="AB18" t="b">
        <v>1</v>
      </c>
      <c r="AC18">
        <v>0.66999999999999993</v>
      </c>
      <c r="AD18">
        <v>0.66999999999999993</v>
      </c>
      <c r="AE18">
        <v>1.3399999999999999</v>
      </c>
      <c r="AF18">
        <v>0</v>
      </c>
      <c r="AG18">
        <v>0</v>
      </c>
      <c r="AH18">
        <v>0</v>
      </c>
      <c r="AI18" t="s">
        <v>49</v>
      </c>
    </row>
    <row r="19" spans="1:35" ht="12.75">
      <c r="A19" s="667" t="s">
        <v>49</v>
      </c>
      <c r="B19" s="668">
        <v>7</v>
      </c>
      <c r="C19" s="669" t="s">
        <v>729</v>
      </c>
      <c r="D19" s="670" t="s">
        <v>69</v>
      </c>
      <c r="E19" s="670" t="s">
        <v>77</v>
      </c>
      <c r="F19" s="670" t="s">
        <v>26</v>
      </c>
      <c r="G19" s="670">
        <v>1</v>
      </c>
      <c r="H19" s="670">
        <v>0</v>
      </c>
      <c r="I19" s="670">
        <v>1</v>
      </c>
      <c r="J19" s="670">
        <v>0.33</v>
      </c>
      <c r="K19" s="670" t="s">
        <v>207</v>
      </c>
      <c r="L19" s="670" t="s">
        <v>49</v>
      </c>
      <c r="M19" s="669">
        <v>7</v>
      </c>
      <c r="N19" s="670">
        <v>1</v>
      </c>
      <c r="O19" s="671" t="s">
        <v>730</v>
      </c>
      <c r="P19" s="466" t="s">
        <v>49</v>
      </c>
      <c r="Q19" s="466" t="s">
        <v>148</v>
      </c>
      <c r="R19" s="466" t="s">
        <v>49</v>
      </c>
      <c r="S19" s="466">
        <v>4</v>
      </c>
      <c r="T19" s="466">
        <v>2</v>
      </c>
      <c r="U19" s="466">
        <v>9</v>
      </c>
      <c r="V19" s="466">
        <v>1</v>
      </c>
      <c r="W19">
        <v>1</v>
      </c>
      <c r="X19">
        <v>1</v>
      </c>
      <c r="Y19">
        <v>0</v>
      </c>
      <c r="Z19">
        <v>1</v>
      </c>
      <c r="AA19" t="b">
        <v>0</v>
      </c>
      <c r="AB19" t="b">
        <v>1</v>
      </c>
      <c r="AC19">
        <v>0</v>
      </c>
      <c r="AD19">
        <v>0.66999999999999993</v>
      </c>
      <c r="AE19">
        <v>1.67</v>
      </c>
      <c r="AF19">
        <v>0</v>
      </c>
      <c r="AG19">
        <v>1</v>
      </c>
      <c r="AH19">
        <v>0</v>
      </c>
      <c r="AI19" t="s">
        <v>49</v>
      </c>
    </row>
    <row r="20" spans="1:35" ht="12.75">
      <c r="A20" s="667" t="s">
        <v>49</v>
      </c>
      <c r="B20" s="668">
        <v>8</v>
      </c>
      <c r="C20" s="669" t="s">
        <v>731</v>
      </c>
      <c r="D20" s="670" t="s">
        <v>69</v>
      </c>
      <c r="E20" s="670" t="s">
        <v>77</v>
      </c>
      <c r="F20" s="670" t="s">
        <v>16</v>
      </c>
      <c r="G20" s="670">
        <v>1</v>
      </c>
      <c r="H20" s="670">
        <v>0</v>
      </c>
      <c r="I20" s="670">
        <v>1</v>
      </c>
      <c r="J20" s="670">
        <v>0.33</v>
      </c>
      <c r="K20" s="670" t="s">
        <v>146</v>
      </c>
      <c r="L20" s="670" t="s">
        <v>49</v>
      </c>
      <c r="M20" s="669"/>
      <c r="N20" s="670"/>
      <c r="O20" s="671" t="s">
        <v>732</v>
      </c>
      <c r="P20" s="466" t="s">
        <v>49</v>
      </c>
      <c r="Q20" s="466" t="s">
        <v>148</v>
      </c>
      <c r="R20" s="466" t="s">
        <v>49</v>
      </c>
      <c r="S20" s="466">
        <v>4</v>
      </c>
      <c r="T20" s="466">
        <v>2</v>
      </c>
      <c r="U20" s="466">
        <v>4</v>
      </c>
      <c r="V20" s="466">
        <v>2</v>
      </c>
      <c r="W20">
        <v>1</v>
      </c>
      <c r="X20">
        <v>1</v>
      </c>
      <c r="Y20">
        <v>0</v>
      </c>
      <c r="Z20">
        <v>1</v>
      </c>
      <c r="AA20" t="b">
        <v>0</v>
      </c>
      <c r="AB20" t="b">
        <v>1</v>
      </c>
      <c r="AC20">
        <v>0</v>
      </c>
      <c r="AD20">
        <v>0.66999999999999993</v>
      </c>
      <c r="AE20">
        <v>1.67</v>
      </c>
      <c r="AF20">
        <v>0</v>
      </c>
      <c r="AG20">
        <v>1</v>
      </c>
      <c r="AH20">
        <v>0</v>
      </c>
      <c r="AI20" t="s">
        <v>49</v>
      </c>
    </row>
    <row r="21" spans="1:35" ht="12.75">
      <c r="A21" s="667" t="s">
        <v>49</v>
      </c>
      <c r="B21" s="668">
        <v>8</v>
      </c>
      <c r="C21" s="669" t="s">
        <v>733</v>
      </c>
      <c r="D21" s="670" t="s">
        <v>69</v>
      </c>
      <c r="E21" s="670" t="s">
        <v>77</v>
      </c>
      <c r="F21" s="670" t="s">
        <v>25</v>
      </c>
      <c r="G21" s="670">
        <v>1</v>
      </c>
      <c r="H21" s="670">
        <v>0</v>
      </c>
      <c r="I21" s="670">
        <v>0.33</v>
      </c>
      <c r="J21" s="670">
        <v>0</v>
      </c>
      <c r="K21" s="670" t="s">
        <v>146</v>
      </c>
      <c r="L21" s="670" t="s">
        <v>49</v>
      </c>
      <c r="M21" s="669"/>
      <c r="N21" s="670"/>
      <c r="O21" s="671" t="s">
        <v>734</v>
      </c>
      <c r="P21" s="466" t="s">
        <v>49</v>
      </c>
      <c r="Q21" s="466" t="s">
        <v>148</v>
      </c>
      <c r="R21" s="466" t="s">
        <v>49</v>
      </c>
      <c r="S21" s="466">
        <v>4</v>
      </c>
      <c r="T21" s="466">
        <v>2</v>
      </c>
      <c r="U21" s="466">
        <v>8</v>
      </c>
      <c r="V21" s="466">
        <v>2</v>
      </c>
      <c r="W21">
        <v>1</v>
      </c>
      <c r="X21">
        <v>1</v>
      </c>
      <c r="Y21">
        <v>0</v>
      </c>
      <c r="Z21">
        <v>1</v>
      </c>
      <c r="AA21" t="b">
        <v>0</v>
      </c>
      <c r="AB21" t="b">
        <v>1</v>
      </c>
      <c r="AC21">
        <v>0.66999999999999993</v>
      </c>
      <c r="AD21">
        <v>1</v>
      </c>
      <c r="AE21">
        <v>2</v>
      </c>
      <c r="AF21">
        <v>0</v>
      </c>
      <c r="AG21">
        <v>1</v>
      </c>
      <c r="AH21">
        <v>0</v>
      </c>
      <c r="AI21" t="s">
        <v>49</v>
      </c>
    </row>
    <row r="22" spans="1:35" ht="12.75">
      <c r="A22" s="667" t="s">
        <v>49</v>
      </c>
      <c r="B22" s="668">
        <v>2</v>
      </c>
      <c r="C22" s="669" t="s">
        <v>747</v>
      </c>
      <c r="D22" s="670" t="s">
        <v>70</v>
      </c>
      <c r="E22" s="670" t="s">
        <v>77</v>
      </c>
      <c r="F22" s="670" t="s">
        <v>115</v>
      </c>
      <c r="G22" s="670">
        <v>0</v>
      </c>
      <c r="H22" s="670">
        <v>0</v>
      </c>
      <c r="I22" s="670">
        <v>0</v>
      </c>
      <c r="J22" s="670"/>
      <c r="K22" s="670" t="s">
        <v>182</v>
      </c>
      <c r="L22" s="670" t="s">
        <v>49</v>
      </c>
      <c r="M22" s="669">
        <v>0</v>
      </c>
      <c r="N22" s="670">
        <v>4</v>
      </c>
      <c r="O22" s="671" t="s">
        <v>748</v>
      </c>
      <c r="P22" s="466" t="s">
        <v>49</v>
      </c>
      <c r="Q22" s="466" t="s">
        <v>148</v>
      </c>
      <c r="R22" s="466" t="s">
        <v>49</v>
      </c>
      <c r="S22" s="466">
        <v>5</v>
      </c>
      <c r="T22" s="466">
        <v>2</v>
      </c>
      <c r="U22" s="466">
        <v>10</v>
      </c>
      <c r="V22" s="466">
        <v>3</v>
      </c>
      <c r="W22">
        <v>0</v>
      </c>
      <c r="X22">
        <v>0</v>
      </c>
      <c r="Y22">
        <v>0</v>
      </c>
      <c r="Z22">
        <v>1</v>
      </c>
      <c r="AA22" t="b">
        <v>1</v>
      </c>
      <c r="AB22" t="b">
        <v>0</v>
      </c>
      <c r="AC22">
        <v>1</v>
      </c>
      <c r="AD22">
        <v>1</v>
      </c>
      <c r="AE22">
        <v>1</v>
      </c>
      <c r="AF22">
        <v>0</v>
      </c>
      <c r="AG22">
        <v>0</v>
      </c>
      <c r="AH22">
        <v>0</v>
      </c>
      <c r="AI22" t="s">
        <v>49</v>
      </c>
    </row>
    <row r="23" spans="1:35" ht="12.75">
      <c r="A23" s="667" t="s">
        <v>49</v>
      </c>
      <c r="B23" s="668">
        <v>2</v>
      </c>
      <c r="C23" s="669" t="s">
        <v>749</v>
      </c>
      <c r="D23" s="670" t="s">
        <v>70</v>
      </c>
      <c r="E23" s="670" t="s">
        <v>77</v>
      </c>
      <c r="F23" s="670" t="s">
        <v>115</v>
      </c>
      <c r="G23" s="670">
        <v>0</v>
      </c>
      <c r="H23" s="670">
        <v>0</v>
      </c>
      <c r="I23" s="670">
        <v>0</v>
      </c>
      <c r="J23" s="670"/>
      <c r="K23" s="670" t="s">
        <v>182</v>
      </c>
      <c r="L23" s="670" t="s">
        <v>49</v>
      </c>
      <c r="M23" s="669">
        <v>4</v>
      </c>
      <c r="N23" s="670">
        <v>4</v>
      </c>
      <c r="O23" s="671" t="s">
        <v>750</v>
      </c>
      <c r="P23" s="466" t="s">
        <v>184</v>
      </c>
      <c r="Q23" s="466" t="s">
        <v>148</v>
      </c>
      <c r="R23" s="466" t="s">
        <v>49</v>
      </c>
      <c r="S23" s="466">
        <v>5</v>
      </c>
      <c r="T23" s="466">
        <v>2</v>
      </c>
      <c r="U23" s="466">
        <v>10</v>
      </c>
      <c r="V23" s="466">
        <v>3</v>
      </c>
      <c r="W23">
        <v>0</v>
      </c>
      <c r="X23">
        <v>0</v>
      </c>
      <c r="Y23">
        <v>0</v>
      </c>
      <c r="Z23">
        <v>1</v>
      </c>
      <c r="AA23" t="b">
        <v>1</v>
      </c>
      <c r="AB23" t="b">
        <v>0</v>
      </c>
      <c r="AC23">
        <v>1</v>
      </c>
      <c r="AD23">
        <v>1</v>
      </c>
      <c r="AE23">
        <v>1</v>
      </c>
      <c r="AF23">
        <v>0</v>
      </c>
      <c r="AG23">
        <v>0</v>
      </c>
      <c r="AH23">
        <v>0</v>
      </c>
      <c r="AI23" t="s">
        <v>49</v>
      </c>
    </row>
    <row r="24" spans="1:35" ht="12.75">
      <c r="A24" s="667" t="s">
        <v>49</v>
      </c>
      <c r="B24" s="668">
        <v>2</v>
      </c>
      <c r="C24" s="669" t="s">
        <v>751</v>
      </c>
      <c r="D24" s="670" t="s">
        <v>70</v>
      </c>
      <c r="E24" s="670" t="s">
        <v>77</v>
      </c>
      <c r="F24" s="670" t="s">
        <v>115</v>
      </c>
      <c r="G24" s="670">
        <v>0</v>
      </c>
      <c r="H24" s="670">
        <v>0</v>
      </c>
      <c r="I24" s="670">
        <v>0</v>
      </c>
      <c r="J24" s="670"/>
      <c r="K24" s="670" t="s">
        <v>182</v>
      </c>
      <c r="L24" s="670" t="s">
        <v>49</v>
      </c>
      <c r="M24" s="669">
        <v>0</v>
      </c>
      <c r="N24" s="670">
        <v>4</v>
      </c>
      <c r="O24" s="671" t="s">
        <v>752</v>
      </c>
      <c r="P24" s="466" t="s">
        <v>49</v>
      </c>
      <c r="Q24" s="466" t="s">
        <v>148</v>
      </c>
      <c r="R24" s="466" t="s">
        <v>49</v>
      </c>
      <c r="S24" s="466">
        <v>5</v>
      </c>
      <c r="T24" s="466">
        <v>2</v>
      </c>
      <c r="U24" s="466">
        <v>10</v>
      </c>
      <c r="V24" s="466">
        <v>3</v>
      </c>
      <c r="W24">
        <v>0</v>
      </c>
      <c r="X24">
        <v>0</v>
      </c>
      <c r="Y24">
        <v>0</v>
      </c>
      <c r="Z24">
        <v>1</v>
      </c>
      <c r="AA24" t="b">
        <v>1</v>
      </c>
      <c r="AB24" t="b">
        <v>0</v>
      </c>
      <c r="AC24">
        <v>1</v>
      </c>
      <c r="AD24">
        <v>1</v>
      </c>
      <c r="AE24">
        <v>1</v>
      </c>
      <c r="AF24">
        <v>0</v>
      </c>
      <c r="AG24">
        <v>0</v>
      </c>
      <c r="AH24">
        <v>0</v>
      </c>
      <c r="AI24" t="s">
        <v>49</v>
      </c>
    </row>
    <row r="25" spans="1:35" ht="12.75">
      <c r="A25" s="667" t="s">
        <v>49</v>
      </c>
      <c r="B25" s="668">
        <v>3</v>
      </c>
      <c r="C25" s="669" t="s">
        <v>757</v>
      </c>
      <c r="D25" s="670" t="s">
        <v>70</v>
      </c>
      <c r="E25" s="670" t="s">
        <v>77</v>
      </c>
      <c r="F25" s="670" t="s">
        <v>115</v>
      </c>
      <c r="G25" s="670">
        <v>0</v>
      </c>
      <c r="H25" s="670">
        <v>0</v>
      </c>
      <c r="I25" s="670">
        <v>0</v>
      </c>
      <c r="J25" s="670"/>
      <c r="K25" s="670" t="s">
        <v>182</v>
      </c>
      <c r="L25" s="670" t="s">
        <v>49</v>
      </c>
      <c r="M25" s="669">
        <v>3</v>
      </c>
      <c r="N25" s="670">
        <v>3</v>
      </c>
      <c r="O25" s="671" t="s">
        <v>758</v>
      </c>
      <c r="P25" s="466" t="s">
        <v>275</v>
      </c>
      <c r="Q25" s="466" t="s">
        <v>148</v>
      </c>
      <c r="R25" s="466" t="s">
        <v>49</v>
      </c>
      <c r="S25" s="466">
        <v>5</v>
      </c>
      <c r="T25" s="466">
        <v>2</v>
      </c>
      <c r="U25" s="466">
        <v>10</v>
      </c>
      <c r="V25" s="466">
        <v>3</v>
      </c>
      <c r="W25">
        <v>0</v>
      </c>
      <c r="X25">
        <v>0</v>
      </c>
      <c r="Y25">
        <v>0</v>
      </c>
      <c r="Z25">
        <v>1</v>
      </c>
      <c r="AA25" t="b">
        <v>1</v>
      </c>
      <c r="AB25" t="b">
        <v>0</v>
      </c>
      <c r="AC25">
        <v>1</v>
      </c>
      <c r="AD25">
        <v>1</v>
      </c>
      <c r="AE25">
        <v>1</v>
      </c>
      <c r="AF25">
        <v>0</v>
      </c>
      <c r="AG25">
        <v>0</v>
      </c>
      <c r="AH25">
        <v>0</v>
      </c>
      <c r="AI25" t="s">
        <v>49</v>
      </c>
    </row>
    <row r="26" spans="1:35" ht="12.75">
      <c r="A26" s="667" t="s">
        <v>49</v>
      </c>
      <c r="B26" s="668">
        <v>5</v>
      </c>
      <c r="C26" s="669" t="s">
        <v>759</v>
      </c>
      <c r="D26" s="670" t="s">
        <v>70</v>
      </c>
      <c r="E26" s="670" t="s">
        <v>77</v>
      </c>
      <c r="F26" s="670" t="s">
        <v>115</v>
      </c>
      <c r="G26" s="670">
        <v>0</v>
      </c>
      <c r="H26" s="670">
        <v>0</v>
      </c>
      <c r="I26" s="670">
        <v>0.33</v>
      </c>
      <c r="J26" s="670"/>
      <c r="K26" s="670" t="s">
        <v>182</v>
      </c>
      <c r="L26" s="670" t="s">
        <v>536</v>
      </c>
      <c r="M26" s="669">
        <v>5</v>
      </c>
      <c r="N26" s="670">
        <v>4</v>
      </c>
      <c r="O26" s="671" t="s">
        <v>760</v>
      </c>
      <c r="P26" s="466" t="s">
        <v>184</v>
      </c>
      <c r="Q26" s="466" t="s">
        <v>148</v>
      </c>
      <c r="R26" s="466" t="s">
        <v>49</v>
      </c>
      <c r="S26" s="466">
        <v>5</v>
      </c>
      <c r="T26" s="466">
        <v>2</v>
      </c>
      <c r="U26" s="466">
        <v>10</v>
      </c>
      <c r="V26" s="466">
        <v>3</v>
      </c>
      <c r="W26">
        <v>0</v>
      </c>
      <c r="X26">
        <v>0</v>
      </c>
      <c r="Y26">
        <v>0</v>
      </c>
      <c r="Z26">
        <v>1</v>
      </c>
      <c r="AA26" t="b">
        <v>1</v>
      </c>
      <c r="AB26" t="b">
        <v>0</v>
      </c>
      <c r="AC26">
        <v>0.66999999999999993</v>
      </c>
      <c r="AD26">
        <v>1</v>
      </c>
      <c r="AE26">
        <v>0.66999999999999993</v>
      </c>
      <c r="AF26">
        <v>0</v>
      </c>
      <c r="AG26">
        <v>0</v>
      </c>
      <c r="AH26">
        <v>0</v>
      </c>
      <c r="AI26" t="s">
        <v>49</v>
      </c>
    </row>
    <row r="27" spans="1:35" ht="12.75">
      <c r="A27" s="667" t="s">
        <v>49</v>
      </c>
      <c r="B27" s="668">
        <v>6</v>
      </c>
      <c r="C27" s="669" t="s">
        <v>769</v>
      </c>
      <c r="D27" s="670" t="s">
        <v>70</v>
      </c>
      <c r="E27" s="670" t="s">
        <v>77</v>
      </c>
      <c r="F27" s="670" t="s">
        <v>115</v>
      </c>
      <c r="G27" s="670">
        <v>0</v>
      </c>
      <c r="H27" s="670">
        <v>0</v>
      </c>
      <c r="I27" s="670">
        <v>0.33</v>
      </c>
      <c r="J27" s="670"/>
      <c r="K27" s="670" t="s">
        <v>182</v>
      </c>
      <c r="L27" s="670" t="s">
        <v>239</v>
      </c>
      <c r="M27" s="669">
        <v>7</v>
      </c>
      <c r="N27" s="670">
        <v>5</v>
      </c>
      <c r="O27" s="671" t="s">
        <v>770</v>
      </c>
      <c r="P27" s="466" t="s">
        <v>49</v>
      </c>
      <c r="Q27" s="466" t="s">
        <v>148</v>
      </c>
      <c r="R27" s="466" t="s">
        <v>49</v>
      </c>
      <c r="S27" s="466">
        <v>5</v>
      </c>
      <c r="T27" s="466">
        <v>2</v>
      </c>
      <c r="U27" s="466">
        <v>10</v>
      </c>
      <c r="V27" s="466">
        <v>3</v>
      </c>
      <c r="W27">
        <v>0</v>
      </c>
      <c r="X27">
        <v>0</v>
      </c>
      <c r="Y27">
        <v>0</v>
      </c>
      <c r="Z27">
        <v>1</v>
      </c>
      <c r="AA27" t="b">
        <v>1</v>
      </c>
      <c r="AB27" t="b">
        <v>0</v>
      </c>
      <c r="AC27">
        <v>0.66999999999999993</v>
      </c>
      <c r="AD27">
        <v>1</v>
      </c>
      <c r="AE27">
        <v>0.66999999999999993</v>
      </c>
      <c r="AF27">
        <v>0</v>
      </c>
      <c r="AG27">
        <v>0</v>
      </c>
      <c r="AH27">
        <v>0</v>
      </c>
      <c r="AI27" t="s">
        <v>49</v>
      </c>
    </row>
    <row r="28" spans="1:35" ht="12.75">
      <c r="A28" s="667" t="s">
        <v>49</v>
      </c>
      <c r="B28" s="668">
        <v>6</v>
      </c>
      <c r="C28" s="669" t="s">
        <v>773</v>
      </c>
      <c r="D28" s="670" t="s">
        <v>70</v>
      </c>
      <c r="E28" s="670" t="s">
        <v>77</v>
      </c>
      <c r="F28" s="670" t="s">
        <v>115</v>
      </c>
      <c r="G28" s="670">
        <v>0</v>
      </c>
      <c r="H28" s="670">
        <v>0</v>
      </c>
      <c r="I28" s="670">
        <v>0</v>
      </c>
      <c r="J28" s="670"/>
      <c r="K28" s="670" t="s">
        <v>182</v>
      </c>
      <c r="L28" s="670" t="s">
        <v>230</v>
      </c>
      <c r="M28" s="669">
        <v>9</v>
      </c>
      <c r="N28" s="670">
        <v>7</v>
      </c>
      <c r="O28" s="671" t="s">
        <v>774</v>
      </c>
      <c r="P28" s="466" t="s">
        <v>454</v>
      </c>
      <c r="Q28" s="466" t="s">
        <v>148</v>
      </c>
      <c r="R28" s="466" t="s">
        <v>49</v>
      </c>
      <c r="S28" s="466">
        <v>5</v>
      </c>
      <c r="T28" s="466">
        <v>2</v>
      </c>
      <c r="U28" s="466">
        <v>10</v>
      </c>
      <c r="V28" s="466">
        <v>3</v>
      </c>
      <c r="W28">
        <v>0</v>
      </c>
      <c r="X28">
        <v>0</v>
      </c>
      <c r="Y28">
        <v>0</v>
      </c>
      <c r="Z28">
        <v>1</v>
      </c>
      <c r="AA28" t="b">
        <v>1</v>
      </c>
      <c r="AB28" t="b">
        <v>0</v>
      </c>
      <c r="AC28">
        <v>1</v>
      </c>
      <c r="AD28">
        <v>1</v>
      </c>
      <c r="AE28">
        <v>1</v>
      </c>
      <c r="AF28">
        <v>0</v>
      </c>
      <c r="AG28">
        <v>0</v>
      </c>
      <c r="AH28">
        <v>0</v>
      </c>
      <c r="AI28" t="s">
        <v>49</v>
      </c>
    </row>
    <row r="29" spans="1:35" ht="12.75">
      <c r="A29" s="667" t="s">
        <v>49</v>
      </c>
      <c r="B29" s="668">
        <v>6</v>
      </c>
      <c r="C29" s="669" t="s">
        <v>775</v>
      </c>
      <c r="D29" s="670" t="s">
        <v>70</v>
      </c>
      <c r="E29" s="670" t="s">
        <v>77</v>
      </c>
      <c r="F29" s="670" t="s">
        <v>115</v>
      </c>
      <c r="G29" s="670">
        <v>0</v>
      </c>
      <c r="H29" s="670">
        <v>0</v>
      </c>
      <c r="I29" s="670">
        <v>1</v>
      </c>
      <c r="J29" s="670"/>
      <c r="K29" s="670" t="s">
        <v>182</v>
      </c>
      <c r="L29" s="670" t="s">
        <v>49</v>
      </c>
      <c r="M29" s="669">
        <v>4</v>
      </c>
      <c r="N29" s="670">
        <v>5</v>
      </c>
      <c r="O29" s="671" t="s">
        <v>776</v>
      </c>
      <c r="P29" s="466" t="s">
        <v>184</v>
      </c>
      <c r="Q29" s="466" t="s">
        <v>148</v>
      </c>
      <c r="R29" s="466" t="s">
        <v>49</v>
      </c>
      <c r="S29" s="466">
        <v>5</v>
      </c>
      <c r="T29" s="466">
        <v>2</v>
      </c>
      <c r="U29" s="466">
        <v>10</v>
      </c>
      <c r="V29" s="466">
        <v>3</v>
      </c>
      <c r="W29">
        <v>0</v>
      </c>
      <c r="X29">
        <v>0</v>
      </c>
      <c r="Y29">
        <v>0</v>
      </c>
      <c r="Z29">
        <v>1</v>
      </c>
      <c r="AA29" t="b">
        <v>1</v>
      </c>
      <c r="AB29" t="b">
        <v>0</v>
      </c>
      <c r="AC29">
        <v>0</v>
      </c>
      <c r="AD29">
        <v>1</v>
      </c>
      <c r="AE29">
        <v>0</v>
      </c>
      <c r="AF29">
        <v>0</v>
      </c>
      <c r="AG29">
        <v>0</v>
      </c>
      <c r="AH29">
        <v>0</v>
      </c>
      <c r="AI29" t="s">
        <v>49</v>
      </c>
    </row>
    <row r="30" spans="1:35" ht="12.75">
      <c r="A30" s="667" t="s">
        <v>49</v>
      </c>
      <c r="B30" s="668">
        <v>7</v>
      </c>
      <c r="C30" s="669" t="s">
        <v>781</v>
      </c>
      <c r="D30" s="670" t="s">
        <v>70</v>
      </c>
      <c r="E30" s="670" t="s">
        <v>77</v>
      </c>
      <c r="F30" s="670" t="s">
        <v>18</v>
      </c>
      <c r="G30" s="670">
        <v>0</v>
      </c>
      <c r="H30" s="670">
        <v>0</v>
      </c>
      <c r="I30" s="670">
        <v>0.33</v>
      </c>
      <c r="J30" s="670"/>
      <c r="K30" s="670" t="s">
        <v>182</v>
      </c>
      <c r="L30" s="670" t="s">
        <v>49</v>
      </c>
      <c r="M30" s="669">
        <v>7</v>
      </c>
      <c r="N30" s="670">
        <v>7</v>
      </c>
      <c r="O30" s="671" t="s">
        <v>782</v>
      </c>
      <c r="P30" s="466" t="s">
        <v>268</v>
      </c>
      <c r="Q30" s="466" t="s">
        <v>148</v>
      </c>
      <c r="R30" s="466" t="s">
        <v>49</v>
      </c>
      <c r="S30" s="466">
        <v>5</v>
      </c>
      <c r="T30" s="466">
        <v>2</v>
      </c>
      <c r="U30" s="466">
        <v>5</v>
      </c>
      <c r="V30" s="466">
        <v>3</v>
      </c>
      <c r="W30">
        <v>0</v>
      </c>
      <c r="X30">
        <v>0</v>
      </c>
      <c r="Y30">
        <v>0</v>
      </c>
      <c r="Z30">
        <v>1</v>
      </c>
      <c r="AA30" t="b">
        <v>1</v>
      </c>
      <c r="AB30" t="b">
        <v>0</v>
      </c>
      <c r="AC30">
        <v>0.66999999999999993</v>
      </c>
      <c r="AD30">
        <v>1</v>
      </c>
      <c r="AE30">
        <v>0.66999999999999993</v>
      </c>
      <c r="AF30">
        <v>0</v>
      </c>
      <c r="AG30">
        <v>0</v>
      </c>
      <c r="AH30">
        <v>0</v>
      </c>
      <c r="AI30" t="s">
        <v>49</v>
      </c>
    </row>
    <row r="31" spans="1:35" ht="12.75">
      <c r="A31" s="667" t="s">
        <v>49</v>
      </c>
      <c r="B31" s="668">
        <v>8</v>
      </c>
      <c r="C31" s="669" t="s">
        <v>788</v>
      </c>
      <c r="D31" s="670" t="s">
        <v>70</v>
      </c>
      <c r="E31" s="670" t="s">
        <v>77</v>
      </c>
      <c r="F31" s="670" t="s">
        <v>115</v>
      </c>
      <c r="G31" s="672">
        <v>0</v>
      </c>
      <c r="H31" s="670">
        <v>0</v>
      </c>
      <c r="I31" s="670">
        <v>0</v>
      </c>
      <c r="J31" s="670"/>
      <c r="K31" s="670" t="s">
        <v>182</v>
      </c>
      <c r="L31" s="670" t="s">
        <v>49</v>
      </c>
      <c r="M31" s="669">
        <v>7</v>
      </c>
      <c r="N31" s="670">
        <v>7</v>
      </c>
      <c r="O31" s="671" t="s">
        <v>789</v>
      </c>
      <c r="P31" s="466" t="s">
        <v>49</v>
      </c>
      <c r="Q31" s="466" t="s">
        <v>148</v>
      </c>
      <c r="R31" s="466" t="s">
        <v>49</v>
      </c>
      <c r="S31" s="466">
        <v>5</v>
      </c>
      <c r="T31" s="466">
        <v>2</v>
      </c>
      <c r="U31" s="466">
        <v>10</v>
      </c>
      <c r="V31" s="466">
        <v>3</v>
      </c>
      <c r="W31">
        <v>0</v>
      </c>
      <c r="X31">
        <v>0</v>
      </c>
      <c r="Y31">
        <v>0</v>
      </c>
      <c r="Z31">
        <v>1</v>
      </c>
      <c r="AA31" t="b">
        <v>1</v>
      </c>
      <c r="AB31" t="b">
        <v>0</v>
      </c>
      <c r="AC31">
        <v>1</v>
      </c>
      <c r="AD31">
        <v>1</v>
      </c>
      <c r="AE31">
        <v>1</v>
      </c>
      <c r="AF31">
        <v>0</v>
      </c>
      <c r="AG31">
        <v>0</v>
      </c>
      <c r="AH31">
        <v>0</v>
      </c>
      <c r="AI31" t="s">
        <v>49</v>
      </c>
    </row>
    <row r="32" spans="1:35" ht="12.75">
      <c r="A32" s="667" t="s">
        <v>49</v>
      </c>
      <c r="B32" s="668">
        <v>9</v>
      </c>
      <c r="C32" s="669" t="s">
        <v>800</v>
      </c>
      <c r="D32" s="670" t="s">
        <v>70</v>
      </c>
      <c r="E32" s="670" t="s">
        <v>77</v>
      </c>
      <c r="F32" s="670" t="s">
        <v>11</v>
      </c>
      <c r="G32" s="670">
        <v>0</v>
      </c>
      <c r="H32" s="670">
        <v>0</v>
      </c>
      <c r="I32" s="670">
        <v>0.33</v>
      </c>
      <c r="J32" s="670"/>
      <c r="K32" s="670" t="s">
        <v>182</v>
      </c>
      <c r="L32" s="670" t="s">
        <v>230</v>
      </c>
      <c r="M32" s="669">
        <v>8</v>
      </c>
      <c r="N32" s="670">
        <v>8</v>
      </c>
      <c r="O32" s="671" t="s">
        <v>231</v>
      </c>
      <c r="P32" s="466" t="s">
        <v>396</v>
      </c>
      <c r="Q32" s="466" t="s">
        <v>148</v>
      </c>
      <c r="R32" s="466" t="s">
        <v>49</v>
      </c>
      <c r="S32" s="466">
        <v>5</v>
      </c>
      <c r="T32" s="466">
        <v>2</v>
      </c>
      <c r="U32" s="466">
        <v>2</v>
      </c>
      <c r="V32" s="466">
        <v>3</v>
      </c>
      <c r="W32">
        <v>0</v>
      </c>
      <c r="X32">
        <v>0</v>
      </c>
      <c r="Y32">
        <v>0</v>
      </c>
      <c r="Z32">
        <v>1</v>
      </c>
      <c r="AA32" t="b">
        <v>1</v>
      </c>
      <c r="AB32" t="b">
        <v>0</v>
      </c>
      <c r="AC32">
        <v>0.66999999999999993</v>
      </c>
      <c r="AD32">
        <v>1</v>
      </c>
      <c r="AE32">
        <v>0.66999999999999993</v>
      </c>
      <c r="AF32">
        <v>0</v>
      </c>
      <c r="AG32">
        <v>0</v>
      </c>
      <c r="AH32">
        <v>0</v>
      </c>
      <c r="AI32" t="s">
        <v>49</v>
      </c>
    </row>
    <row r="33" spans="1:35" ht="12.75">
      <c r="A33" s="667" t="s">
        <v>49</v>
      </c>
      <c r="B33" s="668">
        <v>9</v>
      </c>
      <c r="C33" s="669" t="s">
        <v>805</v>
      </c>
      <c r="D33" s="670" t="s">
        <v>70</v>
      </c>
      <c r="E33" s="670" t="s">
        <v>77</v>
      </c>
      <c r="F33" s="670" t="s">
        <v>115</v>
      </c>
      <c r="G33" s="670">
        <v>0</v>
      </c>
      <c r="H33" s="670">
        <v>0</v>
      </c>
      <c r="I33" s="670">
        <v>0</v>
      </c>
      <c r="J33" s="670"/>
      <c r="K33" s="670" t="s">
        <v>182</v>
      </c>
      <c r="L33" s="670" t="s">
        <v>415</v>
      </c>
      <c r="M33" s="669">
        <v>8</v>
      </c>
      <c r="N33" s="670">
        <v>8</v>
      </c>
      <c r="O33" s="671" t="s">
        <v>806</v>
      </c>
      <c r="P33" s="466" t="s">
        <v>197</v>
      </c>
      <c r="Q33" s="466" t="s">
        <v>148</v>
      </c>
      <c r="R33" s="466" t="s">
        <v>49</v>
      </c>
      <c r="S33" s="466">
        <v>5</v>
      </c>
      <c r="T33" s="466">
        <v>2</v>
      </c>
      <c r="U33" s="466">
        <v>10</v>
      </c>
      <c r="V33" s="466">
        <v>3</v>
      </c>
      <c r="W33">
        <v>0</v>
      </c>
      <c r="X33">
        <v>0</v>
      </c>
      <c r="Y33">
        <v>0</v>
      </c>
      <c r="Z33">
        <v>1</v>
      </c>
      <c r="AA33" t="b">
        <v>1</v>
      </c>
      <c r="AB33" t="b">
        <v>0</v>
      </c>
      <c r="AC33">
        <v>1</v>
      </c>
      <c r="AD33">
        <v>1</v>
      </c>
      <c r="AE33">
        <v>1</v>
      </c>
      <c r="AF33">
        <v>0</v>
      </c>
      <c r="AG33">
        <v>0</v>
      </c>
      <c r="AH33">
        <v>0</v>
      </c>
      <c r="AI33" t="s">
        <v>49</v>
      </c>
    </row>
    <row r="34" spans="1:35" ht="12.75">
      <c r="A34" s="667" t="s">
        <v>49</v>
      </c>
      <c r="B34" s="668">
        <v>10</v>
      </c>
      <c r="C34" s="669" t="s">
        <v>811</v>
      </c>
      <c r="D34" s="670" t="s">
        <v>70</v>
      </c>
      <c r="E34" s="670" t="s">
        <v>77</v>
      </c>
      <c r="F34" s="670" t="s">
        <v>115</v>
      </c>
      <c r="G34" s="670">
        <v>0</v>
      </c>
      <c r="H34" s="670">
        <v>0</v>
      </c>
      <c r="I34" s="670">
        <v>0.33</v>
      </c>
      <c r="J34" s="670"/>
      <c r="K34" s="670" t="s">
        <v>182</v>
      </c>
      <c r="L34" s="670" t="s">
        <v>415</v>
      </c>
      <c r="M34" s="669">
        <v>12</v>
      </c>
      <c r="N34" s="670">
        <v>12</v>
      </c>
      <c r="O34" s="671" t="s">
        <v>812</v>
      </c>
      <c r="P34" s="466" t="s">
        <v>184</v>
      </c>
      <c r="Q34" s="466" t="s">
        <v>148</v>
      </c>
      <c r="R34" s="466" t="s">
        <v>49</v>
      </c>
      <c r="S34" s="466">
        <v>5</v>
      </c>
      <c r="T34" s="466">
        <v>2</v>
      </c>
      <c r="U34" s="466">
        <v>10</v>
      </c>
      <c r="V34" s="466">
        <v>3</v>
      </c>
      <c r="W34">
        <v>0</v>
      </c>
      <c r="X34">
        <v>0</v>
      </c>
      <c r="Y34">
        <v>0</v>
      </c>
      <c r="Z34">
        <v>1</v>
      </c>
      <c r="AA34" t="b">
        <v>1</v>
      </c>
      <c r="AB34" t="b">
        <v>0</v>
      </c>
      <c r="AC34">
        <v>0.66999999999999993</v>
      </c>
      <c r="AD34">
        <v>1</v>
      </c>
      <c r="AE34">
        <v>0.66999999999999993</v>
      </c>
      <c r="AF34">
        <v>0</v>
      </c>
      <c r="AG34">
        <v>0</v>
      </c>
      <c r="AH34">
        <v>0</v>
      </c>
      <c r="AI34" t="s">
        <v>49</v>
      </c>
    </row>
    <row r="35" spans="1:35" ht="12.75">
      <c r="A35" s="667" t="s">
        <v>49</v>
      </c>
      <c r="B35" s="668">
        <v>1</v>
      </c>
      <c r="C35" s="669" t="s">
        <v>813</v>
      </c>
      <c r="D35" s="670" t="s">
        <v>68</v>
      </c>
      <c r="E35" s="670" t="s">
        <v>77</v>
      </c>
      <c r="F35" s="670" t="s">
        <v>115</v>
      </c>
      <c r="G35" s="670">
        <v>0</v>
      </c>
      <c r="H35" s="670">
        <v>0</v>
      </c>
      <c r="I35" s="670">
        <v>0</v>
      </c>
      <c r="J35" s="670">
        <v>0</v>
      </c>
      <c r="K35" s="670" t="s">
        <v>182</v>
      </c>
      <c r="L35" s="670" t="s">
        <v>230</v>
      </c>
      <c r="M35" s="669">
        <v>1</v>
      </c>
      <c r="N35" s="670">
        <v>1</v>
      </c>
      <c r="O35" s="671" t="s">
        <v>814</v>
      </c>
      <c r="P35" s="466" t="s">
        <v>545</v>
      </c>
      <c r="Q35" s="466" t="s">
        <v>148</v>
      </c>
      <c r="R35" s="466" t="s">
        <v>49</v>
      </c>
      <c r="S35" s="466">
        <v>3</v>
      </c>
      <c r="T35" s="466">
        <v>2</v>
      </c>
      <c r="U35" s="466">
        <v>10</v>
      </c>
      <c r="V35" s="466">
        <v>3</v>
      </c>
      <c r="W35">
        <v>0</v>
      </c>
      <c r="X35">
        <v>0</v>
      </c>
      <c r="Y35">
        <v>0</v>
      </c>
      <c r="Z35">
        <v>0</v>
      </c>
      <c r="AA35" t="b">
        <v>1</v>
      </c>
      <c r="AB35" t="b">
        <v>1</v>
      </c>
      <c r="AC35">
        <v>1</v>
      </c>
      <c r="AD35">
        <v>1</v>
      </c>
      <c r="AE35">
        <v>2</v>
      </c>
      <c r="AF35">
        <v>0</v>
      </c>
      <c r="AG35">
        <v>0</v>
      </c>
      <c r="AH35">
        <v>0</v>
      </c>
      <c r="AI35" t="s">
        <v>49</v>
      </c>
    </row>
    <row r="36" spans="1:35" ht="12.75">
      <c r="A36" s="667" t="s">
        <v>49</v>
      </c>
      <c r="B36" s="668">
        <v>1</v>
      </c>
      <c r="C36" s="669" t="s">
        <v>817</v>
      </c>
      <c r="D36" s="670" t="s">
        <v>68</v>
      </c>
      <c r="E36" s="670" t="s">
        <v>77</v>
      </c>
      <c r="F36" s="670" t="s">
        <v>115</v>
      </c>
      <c r="G36" s="670">
        <v>1</v>
      </c>
      <c r="H36" s="670">
        <v>0</v>
      </c>
      <c r="I36" s="670">
        <v>1</v>
      </c>
      <c r="J36" s="670">
        <v>1</v>
      </c>
      <c r="K36" s="670" t="s">
        <v>182</v>
      </c>
      <c r="L36" s="670" t="s">
        <v>49</v>
      </c>
      <c r="M36" s="669">
        <v>1</v>
      </c>
      <c r="N36" s="670">
        <v>2</v>
      </c>
      <c r="O36" s="671" t="s">
        <v>818</v>
      </c>
      <c r="P36" s="466" t="s">
        <v>49</v>
      </c>
      <c r="Q36" s="466" t="s">
        <v>148</v>
      </c>
      <c r="R36" s="466" t="s">
        <v>49</v>
      </c>
      <c r="S36" s="466">
        <v>3</v>
      </c>
      <c r="T36" s="466">
        <v>2</v>
      </c>
      <c r="U36" s="466">
        <v>10</v>
      </c>
      <c r="V36" s="466">
        <v>3</v>
      </c>
      <c r="W36">
        <v>1</v>
      </c>
      <c r="X36">
        <v>1</v>
      </c>
      <c r="Y36">
        <v>0</v>
      </c>
      <c r="Z36">
        <v>1</v>
      </c>
      <c r="AA36" t="b">
        <v>0</v>
      </c>
      <c r="AB36" t="b">
        <v>1</v>
      </c>
      <c r="AC36">
        <v>0</v>
      </c>
      <c r="AD36">
        <v>0</v>
      </c>
      <c r="AE36">
        <v>1</v>
      </c>
      <c r="AF36">
        <v>0</v>
      </c>
      <c r="AG36">
        <v>1</v>
      </c>
      <c r="AH36">
        <v>0</v>
      </c>
      <c r="AI36" t="s">
        <v>49</v>
      </c>
    </row>
    <row r="37" spans="1:35" ht="12.75">
      <c r="A37" s="667" t="s">
        <v>49</v>
      </c>
      <c r="B37" s="668">
        <v>2</v>
      </c>
      <c r="C37" s="669" t="s">
        <v>829</v>
      </c>
      <c r="D37" s="670" t="s">
        <v>68</v>
      </c>
      <c r="E37" s="670" t="s">
        <v>77</v>
      </c>
      <c r="F37" s="670" t="s">
        <v>21</v>
      </c>
      <c r="G37" s="670">
        <v>0</v>
      </c>
      <c r="H37" s="670">
        <v>0</v>
      </c>
      <c r="I37" s="670">
        <v>0.33</v>
      </c>
      <c r="J37" s="670">
        <v>0.33</v>
      </c>
      <c r="K37" s="670" t="s">
        <v>146</v>
      </c>
      <c r="L37" s="670" t="s">
        <v>49</v>
      </c>
      <c r="M37" s="669"/>
      <c r="N37" s="670"/>
      <c r="O37" s="671" t="s">
        <v>830</v>
      </c>
      <c r="P37" s="466" t="s">
        <v>49</v>
      </c>
      <c r="Q37" s="466" t="s">
        <v>148</v>
      </c>
      <c r="R37" s="466" t="s">
        <v>49</v>
      </c>
      <c r="S37" s="466">
        <v>3</v>
      </c>
      <c r="T37" s="466">
        <v>2</v>
      </c>
      <c r="U37" s="466">
        <v>7</v>
      </c>
      <c r="V37" s="466">
        <v>2</v>
      </c>
      <c r="W37">
        <v>0</v>
      </c>
      <c r="X37">
        <v>0</v>
      </c>
      <c r="Y37">
        <v>0</v>
      </c>
      <c r="Z37">
        <v>0</v>
      </c>
      <c r="AA37" t="b">
        <v>1</v>
      </c>
      <c r="AB37" t="b">
        <v>1</v>
      </c>
      <c r="AC37">
        <v>0.66999999999999993</v>
      </c>
      <c r="AD37">
        <v>0.66999999999999993</v>
      </c>
      <c r="AE37">
        <v>1.3399999999999999</v>
      </c>
      <c r="AF37">
        <v>0</v>
      </c>
      <c r="AG37">
        <v>0</v>
      </c>
      <c r="AH37">
        <v>0</v>
      </c>
      <c r="AI37" t="s">
        <v>49</v>
      </c>
    </row>
    <row r="38" spans="1:35" ht="12.75">
      <c r="A38" s="667" t="s">
        <v>49</v>
      </c>
      <c r="B38" s="668">
        <v>2</v>
      </c>
      <c r="C38" s="669" t="s">
        <v>849</v>
      </c>
      <c r="D38" s="670" t="s">
        <v>68</v>
      </c>
      <c r="E38" s="670" t="s">
        <v>77</v>
      </c>
      <c r="F38" s="670" t="s">
        <v>115</v>
      </c>
      <c r="G38" s="670">
        <v>1</v>
      </c>
      <c r="H38" s="670">
        <v>0</v>
      </c>
      <c r="I38" s="670">
        <v>0</v>
      </c>
      <c r="J38" s="670">
        <v>0</v>
      </c>
      <c r="K38" s="670" t="s">
        <v>182</v>
      </c>
      <c r="L38" s="670" t="s">
        <v>49</v>
      </c>
      <c r="M38" s="669">
        <v>2</v>
      </c>
      <c r="N38" s="670">
        <v>2</v>
      </c>
      <c r="O38" s="671" t="s">
        <v>850</v>
      </c>
      <c r="P38" s="466" t="s">
        <v>235</v>
      </c>
      <c r="Q38" s="466" t="s">
        <v>148</v>
      </c>
      <c r="R38" s="466" t="s">
        <v>49</v>
      </c>
      <c r="S38" s="466">
        <v>3</v>
      </c>
      <c r="T38" s="466">
        <v>2</v>
      </c>
      <c r="U38" s="466">
        <v>10</v>
      </c>
      <c r="V38" s="466">
        <v>3</v>
      </c>
      <c r="W38">
        <v>1</v>
      </c>
      <c r="X38">
        <v>1</v>
      </c>
      <c r="Y38">
        <v>0</v>
      </c>
      <c r="Z38">
        <v>1</v>
      </c>
      <c r="AA38" t="b">
        <v>0</v>
      </c>
      <c r="AB38" t="b">
        <v>1</v>
      </c>
      <c r="AC38">
        <v>1</v>
      </c>
      <c r="AD38">
        <v>1</v>
      </c>
      <c r="AE38">
        <v>2</v>
      </c>
      <c r="AF38">
        <v>0</v>
      </c>
      <c r="AG38">
        <v>1</v>
      </c>
      <c r="AH38">
        <v>0</v>
      </c>
      <c r="AI38" t="s">
        <v>49</v>
      </c>
    </row>
    <row r="39" spans="1:35" ht="12.75">
      <c r="A39" s="667" t="s">
        <v>49</v>
      </c>
      <c r="B39" s="668">
        <v>3</v>
      </c>
      <c r="C39" s="669" t="s">
        <v>899</v>
      </c>
      <c r="D39" s="670" t="s">
        <v>68</v>
      </c>
      <c r="E39" s="670" t="s">
        <v>77</v>
      </c>
      <c r="F39" s="670" t="s">
        <v>21</v>
      </c>
      <c r="G39" s="670">
        <v>1</v>
      </c>
      <c r="H39" s="670">
        <v>0</v>
      </c>
      <c r="I39" s="670">
        <v>1</v>
      </c>
      <c r="J39" s="670">
        <v>1</v>
      </c>
      <c r="K39" s="670" t="s">
        <v>182</v>
      </c>
      <c r="L39" s="670" t="s">
        <v>257</v>
      </c>
      <c r="M39" s="669">
        <v>0</v>
      </c>
      <c r="N39" s="670">
        <v>3</v>
      </c>
      <c r="O39" s="671" t="s">
        <v>900</v>
      </c>
      <c r="P39" s="466" t="s">
        <v>49</v>
      </c>
      <c r="Q39" s="466" t="s">
        <v>148</v>
      </c>
      <c r="R39" s="466" t="s">
        <v>49</v>
      </c>
      <c r="S39" s="466">
        <v>3</v>
      </c>
      <c r="T39" s="466">
        <v>2</v>
      </c>
      <c r="U39" s="466">
        <v>7</v>
      </c>
      <c r="V39" s="466">
        <v>3</v>
      </c>
      <c r="W39">
        <v>1</v>
      </c>
      <c r="X39">
        <v>1</v>
      </c>
      <c r="Y39">
        <v>0</v>
      </c>
      <c r="Z39">
        <v>1</v>
      </c>
      <c r="AA39" t="b">
        <v>0</v>
      </c>
      <c r="AB39" t="b">
        <v>1</v>
      </c>
      <c r="AC39">
        <v>0</v>
      </c>
      <c r="AD39">
        <v>0</v>
      </c>
      <c r="AE39">
        <v>1</v>
      </c>
      <c r="AF39">
        <v>0</v>
      </c>
      <c r="AG39">
        <v>1</v>
      </c>
      <c r="AH39">
        <v>0</v>
      </c>
      <c r="AI39" t="s">
        <v>49</v>
      </c>
    </row>
    <row r="40" spans="1:35" ht="12.75">
      <c r="A40" s="667" t="s">
        <v>49</v>
      </c>
      <c r="B40" s="668">
        <v>5</v>
      </c>
      <c r="C40" s="669" t="s">
        <v>943</v>
      </c>
      <c r="D40" s="670" t="s">
        <v>68</v>
      </c>
      <c r="E40" s="670" t="s">
        <v>77</v>
      </c>
      <c r="F40" s="670" t="s">
        <v>115</v>
      </c>
      <c r="G40" s="670">
        <v>0</v>
      </c>
      <c r="H40" s="670">
        <v>0</v>
      </c>
      <c r="I40" s="670">
        <v>0</v>
      </c>
      <c r="J40" s="670">
        <v>0</v>
      </c>
      <c r="K40" s="670" t="s">
        <v>182</v>
      </c>
      <c r="L40" s="670" t="s">
        <v>49</v>
      </c>
      <c r="M40" s="669">
        <v>4</v>
      </c>
      <c r="N40" s="670">
        <v>4</v>
      </c>
      <c r="O40" s="671" t="s">
        <v>944</v>
      </c>
      <c r="P40" s="466" t="s">
        <v>945</v>
      </c>
      <c r="Q40" s="466" t="s">
        <v>148</v>
      </c>
      <c r="R40" s="466" t="s">
        <v>49</v>
      </c>
      <c r="S40" s="466">
        <v>3</v>
      </c>
      <c r="T40" s="466">
        <v>2</v>
      </c>
      <c r="U40" s="466">
        <v>10</v>
      </c>
      <c r="V40" s="466">
        <v>3</v>
      </c>
      <c r="W40">
        <v>0</v>
      </c>
      <c r="X40">
        <v>0</v>
      </c>
      <c r="Y40">
        <v>0</v>
      </c>
      <c r="Z40">
        <v>0</v>
      </c>
      <c r="AA40" t="b">
        <v>1</v>
      </c>
      <c r="AB40" t="b">
        <v>1</v>
      </c>
      <c r="AC40">
        <v>1</v>
      </c>
      <c r="AD40">
        <v>1</v>
      </c>
      <c r="AE40">
        <v>2</v>
      </c>
      <c r="AF40">
        <v>0</v>
      </c>
      <c r="AG40">
        <v>0</v>
      </c>
      <c r="AH40">
        <v>0</v>
      </c>
      <c r="AI40" t="s">
        <v>49</v>
      </c>
    </row>
    <row r="41" spans="1:35" ht="12.75">
      <c r="A41" s="667" t="s">
        <v>49</v>
      </c>
      <c r="B41" s="668">
        <v>5</v>
      </c>
      <c r="C41" s="669" t="s">
        <v>948</v>
      </c>
      <c r="D41" s="670" t="s">
        <v>68</v>
      </c>
      <c r="E41" s="670" t="s">
        <v>77</v>
      </c>
      <c r="F41" s="670" t="s">
        <v>16</v>
      </c>
      <c r="G41" s="670">
        <v>1</v>
      </c>
      <c r="H41" s="670">
        <v>0</v>
      </c>
      <c r="I41" s="670">
        <v>1</v>
      </c>
      <c r="J41" s="670">
        <v>1</v>
      </c>
      <c r="K41" s="670" t="s">
        <v>146</v>
      </c>
      <c r="L41" s="670" t="s">
        <v>49</v>
      </c>
      <c r="M41" s="669"/>
      <c r="N41" s="670"/>
      <c r="O41" s="671" t="s">
        <v>949</v>
      </c>
      <c r="P41" s="466" t="s">
        <v>49</v>
      </c>
      <c r="Q41" s="466" t="s">
        <v>148</v>
      </c>
      <c r="R41" s="466" t="s">
        <v>49</v>
      </c>
      <c r="S41" s="466">
        <v>3</v>
      </c>
      <c r="T41" s="466">
        <v>2</v>
      </c>
      <c r="U41" s="466">
        <v>4</v>
      </c>
      <c r="V41" s="466">
        <v>2</v>
      </c>
      <c r="W41">
        <v>1</v>
      </c>
      <c r="X41">
        <v>1</v>
      </c>
      <c r="Y41">
        <v>0</v>
      </c>
      <c r="Z41">
        <v>1</v>
      </c>
      <c r="AA41" t="b">
        <v>0</v>
      </c>
      <c r="AB41" t="b">
        <v>1</v>
      </c>
      <c r="AC41">
        <v>0</v>
      </c>
      <c r="AD41">
        <v>0</v>
      </c>
      <c r="AE41">
        <v>1</v>
      </c>
      <c r="AF41">
        <v>0</v>
      </c>
      <c r="AG41">
        <v>1</v>
      </c>
      <c r="AH41">
        <v>0</v>
      </c>
      <c r="AI41" t="s">
        <v>49</v>
      </c>
    </row>
    <row r="42" spans="1:35" ht="12.75">
      <c r="A42" s="667" t="s">
        <v>49</v>
      </c>
      <c r="B42" s="668">
        <v>5</v>
      </c>
      <c r="C42" s="669" t="s">
        <v>1045</v>
      </c>
      <c r="D42" s="670" t="s">
        <v>63</v>
      </c>
      <c r="E42" s="670" t="s">
        <v>80</v>
      </c>
      <c r="F42" s="670" t="s">
        <v>25</v>
      </c>
      <c r="G42" s="670">
        <v>1</v>
      </c>
      <c r="H42" s="670">
        <v>0</v>
      </c>
      <c r="I42" s="670">
        <v>0.66</v>
      </c>
      <c r="J42" s="670">
        <v>0.66</v>
      </c>
      <c r="K42" s="670" t="s">
        <v>182</v>
      </c>
      <c r="L42" s="670" t="s">
        <v>239</v>
      </c>
      <c r="M42" s="669">
        <v>4</v>
      </c>
      <c r="N42" s="670">
        <v>4</v>
      </c>
      <c r="O42" s="671" t="s">
        <v>1046</v>
      </c>
      <c r="P42" s="466" t="s">
        <v>49</v>
      </c>
      <c r="Q42" s="466" t="s">
        <v>979</v>
      </c>
      <c r="R42" s="466" t="s">
        <v>49</v>
      </c>
      <c r="S42" s="466">
        <v>2</v>
      </c>
      <c r="T42" s="466">
        <v>5</v>
      </c>
      <c r="U42" s="466">
        <v>8</v>
      </c>
      <c r="V42" s="466">
        <v>3</v>
      </c>
      <c r="W42">
        <v>1</v>
      </c>
      <c r="X42">
        <v>1</v>
      </c>
      <c r="Y42">
        <v>0</v>
      </c>
      <c r="Z42">
        <v>1</v>
      </c>
      <c r="AA42" t="b">
        <v>0</v>
      </c>
      <c r="AB42" t="b">
        <v>1</v>
      </c>
      <c r="AC42">
        <v>0.33999999999999997</v>
      </c>
      <c r="AD42">
        <v>0.33999999999999997</v>
      </c>
      <c r="AE42">
        <v>1.3399999999999999</v>
      </c>
      <c r="AF42">
        <v>0</v>
      </c>
      <c r="AG42">
        <v>1</v>
      </c>
      <c r="AH42">
        <v>0</v>
      </c>
      <c r="AI42" t="s">
        <v>49</v>
      </c>
    </row>
    <row r="43" spans="1:35" ht="12.75">
      <c r="A43" s="667" t="s">
        <v>49</v>
      </c>
      <c r="B43" s="668">
        <v>1</v>
      </c>
      <c r="C43" s="669" t="s">
        <v>1049</v>
      </c>
      <c r="D43" s="670" t="s">
        <v>69</v>
      </c>
      <c r="E43" s="670" t="s">
        <v>80</v>
      </c>
      <c r="F43" s="670" t="s">
        <v>18</v>
      </c>
      <c r="G43" s="670">
        <v>0</v>
      </c>
      <c r="H43" s="670">
        <v>0</v>
      </c>
      <c r="I43" s="670">
        <v>0</v>
      </c>
      <c r="J43" s="670">
        <v>0</v>
      </c>
      <c r="K43" s="670" t="s">
        <v>182</v>
      </c>
      <c r="L43" s="670" t="s">
        <v>49</v>
      </c>
      <c r="M43" s="669">
        <v>2</v>
      </c>
      <c r="N43" s="670">
        <v>1</v>
      </c>
      <c r="O43" s="671" t="s">
        <v>1050</v>
      </c>
      <c r="P43" s="466" t="s">
        <v>184</v>
      </c>
      <c r="Q43" s="466" t="s">
        <v>979</v>
      </c>
      <c r="R43" s="466" t="s">
        <v>49</v>
      </c>
      <c r="S43" s="466">
        <v>4</v>
      </c>
      <c r="T43" s="466">
        <v>5</v>
      </c>
      <c r="U43" s="466">
        <v>5</v>
      </c>
      <c r="V43" s="466">
        <v>3</v>
      </c>
      <c r="W43">
        <v>0</v>
      </c>
      <c r="X43">
        <v>0</v>
      </c>
      <c r="Y43">
        <v>0</v>
      </c>
      <c r="Z43">
        <v>0</v>
      </c>
      <c r="AA43" t="b">
        <v>1</v>
      </c>
      <c r="AB43" t="b">
        <v>1</v>
      </c>
      <c r="AC43">
        <v>1</v>
      </c>
      <c r="AD43">
        <v>1</v>
      </c>
      <c r="AE43">
        <v>2</v>
      </c>
      <c r="AF43">
        <v>0</v>
      </c>
      <c r="AG43">
        <v>0</v>
      </c>
      <c r="AH43">
        <v>0</v>
      </c>
      <c r="AI43" t="s">
        <v>49</v>
      </c>
    </row>
    <row r="44" spans="1:35" ht="12.75">
      <c r="A44" s="667" t="s">
        <v>49</v>
      </c>
      <c r="B44" s="668">
        <v>2</v>
      </c>
      <c r="C44" s="669" t="s">
        <v>1053</v>
      </c>
      <c r="D44" s="670" t="s">
        <v>69</v>
      </c>
      <c r="E44" s="670" t="s">
        <v>80</v>
      </c>
      <c r="F44" s="670" t="s">
        <v>115</v>
      </c>
      <c r="G44" s="670">
        <v>0</v>
      </c>
      <c r="H44" s="670">
        <v>0</v>
      </c>
      <c r="I44" s="670">
        <v>0.33</v>
      </c>
      <c r="J44" s="670">
        <v>0.33</v>
      </c>
      <c r="K44" s="670" t="s">
        <v>182</v>
      </c>
      <c r="L44" s="670" t="s">
        <v>49</v>
      </c>
      <c r="M44" s="669">
        <v>3</v>
      </c>
      <c r="N44" s="670">
        <v>2</v>
      </c>
      <c r="O44" s="671" t="s">
        <v>1054</v>
      </c>
      <c r="P44" s="466" t="s">
        <v>184</v>
      </c>
      <c r="Q44" s="466" t="s">
        <v>979</v>
      </c>
      <c r="R44" s="466" t="s">
        <v>49</v>
      </c>
      <c r="S44" s="466">
        <v>4</v>
      </c>
      <c r="T44" s="466">
        <v>5</v>
      </c>
      <c r="U44" s="466">
        <v>10</v>
      </c>
      <c r="V44" s="466">
        <v>3</v>
      </c>
      <c r="W44">
        <v>0</v>
      </c>
      <c r="X44">
        <v>0</v>
      </c>
      <c r="Y44">
        <v>0</v>
      </c>
      <c r="Z44">
        <v>0</v>
      </c>
      <c r="AA44" t="b">
        <v>1</v>
      </c>
      <c r="AB44" t="b">
        <v>1</v>
      </c>
      <c r="AC44">
        <v>0.66999999999999993</v>
      </c>
      <c r="AD44">
        <v>0.66999999999999993</v>
      </c>
      <c r="AE44">
        <v>1.3399999999999999</v>
      </c>
      <c r="AF44">
        <v>0</v>
      </c>
      <c r="AG44">
        <v>0</v>
      </c>
      <c r="AH44">
        <v>0</v>
      </c>
      <c r="AI44" t="s">
        <v>49</v>
      </c>
    </row>
    <row r="45" spans="1:35" ht="12.75">
      <c r="A45" s="667" t="s">
        <v>49</v>
      </c>
      <c r="B45" s="668">
        <v>2</v>
      </c>
      <c r="C45" s="669" t="s">
        <v>1055</v>
      </c>
      <c r="D45" s="670" t="s">
        <v>69</v>
      </c>
      <c r="E45" s="670" t="s">
        <v>80</v>
      </c>
      <c r="F45" s="670" t="s">
        <v>11</v>
      </c>
      <c r="G45" s="670">
        <v>1</v>
      </c>
      <c r="H45" s="670">
        <v>0</v>
      </c>
      <c r="I45" s="670">
        <v>0.33</v>
      </c>
      <c r="J45" s="670">
        <v>0.33</v>
      </c>
      <c r="K45" s="670" t="s">
        <v>182</v>
      </c>
      <c r="L45" s="670" t="s">
        <v>49</v>
      </c>
      <c r="M45" s="669">
        <v>2</v>
      </c>
      <c r="N45" s="670">
        <v>3</v>
      </c>
      <c r="O45" s="671" t="s">
        <v>1056</v>
      </c>
      <c r="P45" s="466" t="s">
        <v>49</v>
      </c>
      <c r="Q45" s="466" t="s">
        <v>979</v>
      </c>
      <c r="R45" s="466" t="s">
        <v>49</v>
      </c>
      <c r="S45" s="466">
        <v>4</v>
      </c>
      <c r="T45" s="466">
        <v>5</v>
      </c>
      <c r="U45" s="466">
        <v>2</v>
      </c>
      <c r="V45" s="466">
        <v>3</v>
      </c>
      <c r="W45">
        <v>1</v>
      </c>
      <c r="X45">
        <v>1</v>
      </c>
      <c r="Y45">
        <v>0</v>
      </c>
      <c r="Z45">
        <v>1</v>
      </c>
      <c r="AA45" t="b">
        <v>0</v>
      </c>
      <c r="AB45" t="b">
        <v>1</v>
      </c>
      <c r="AC45">
        <v>0.66999999999999993</v>
      </c>
      <c r="AD45">
        <v>0.66999999999999993</v>
      </c>
      <c r="AE45">
        <v>1.67</v>
      </c>
      <c r="AF45">
        <v>0</v>
      </c>
      <c r="AG45">
        <v>1</v>
      </c>
      <c r="AH45">
        <v>0</v>
      </c>
      <c r="AI45" t="s">
        <v>49</v>
      </c>
    </row>
    <row r="46" spans="1:35" ht="12.75">
      <c r="A46" s="667" t="s">
        <v>49</v>
      </c>
      <c r="B46" s="668">
        <v>3</v>
      </c>
      <c r="C46" s="669" t="s">
        <v>1061</v>
      </c>
      <c r="D46" s="670" t="s">
        <v>69</v>
      </c>
      <c r="E46" s="670" t="s">
        <v>80</v>
      </c>
      <c r="F46" s="670" t="s">
        <v>20</v>
      </c>
      <c r="G46" s="670">
        <v>1</v>
      </c>
      <c r="H46" s="670">
        <v>0</v>
      </c>
      <c r="I46" s="670">
        <v>0</v>
      </c>
      <c r="J46" s="670">
        <v>0</v>
      </c>
      <c r="K46" s="670" t="s">
        <v>207</v>
      </c>
      <c r="L46" s="670" t="s">
        <v>49</v>
      </c>
      <c r="M46" s="669">
        <v>1</v>
      </c>
      <c r="N46" s="670">
        <v>3</v>
      </c>
      <c r="O46" s="671" t="s">
        <v>1062</v>
      </c>
      <c r="P46" s="466" t="s">
        <v>49</v>
      </c>
      <c r="Q46" s="466" t="s">
        <v>979</v>
      </c>
      <c r="R46" s="466" t="s">
        <v>49</v>
      </c>
      <c r="S46" s="466">
        <v>4</v>
      </c>
      <c r="T46" s="466">
        <v>5</v>
      </c>
      <c r="U46" s="466">
        <v>6</v>
      </c>
      <c r="V46" s="466">
        <v>1</v>
      </c>
      <c r="W46">
        <v>1</v>
      </c>
      <c r="X46">
        <v>1</v>
      </c>
      <c r="Y46">
        <v>0</v>
      </c>
      <c r="Z46">
        <v>1</v>
      </c>
      <c r="AA46" t="b">
        <v>0</v>
      </c>
      <c r="AB46" t="b">
        <v>1</v>
      </c>
      <c r="AC46">
        <v>1</v>
      </c>
      <c r="AD46">
        <v>1</v>
      </c>
      <c r="AE46">
        <v>2</v>
      </c>
      <c r="AF46">
        <v>0</v>
      </c>
      <c r="AG46">
        <v>1</v>
      </c>
      <c r="AH46">
        <v>0</v>
      </c>
      <c r="AI46" t="s">
        <v>49</v>
      </c>
    </row>
    <row r="47" spans="1:35" ht="12.75">
      <c r="A47" s="667" t="s">
        <v>49</v>
      </c>
      <c r="B47" s="668">
        <v>3</v>
      </c>
      <c r="C47" s="669" t="s">
        <v>1063</v>
      </c>
      <c r="D47" s="670" t="s">
        <v>69</v>
      </c>
      <c r="E47" s="670" t="s">
        <v>80</v>
      </c>
      <c r="F47" s="670" t="s">
        <v>115</v>
      </c>
      <c r="G47" s="670">
        <v>0</v>
      </c>
      <c r="H47" s="670">
        <v>0</v>
      </c>
      <c r="I47" s="670">
        <v>0.33</v>
      </c>
      <c r="J47" s="670">
        <v>0.33</v>
      </c>
      <c r="K47" s="670" t="s">
        <v>182</v>
      </c>
      <c r="L47" s="670" t="s">
        <v>49</v>
      </c>
      <c r="M47" s="669">
        <v>2</v>
      </c>
      <c r="N47" s="670">
        <v>3</v>
      </c>
      <c r="O47" s="671" t="s">
        <v>1064</v>
      </c>
      <c r="P47" s="466" t="s">
        <v>49</v>
      </c>
      <c r="Q47" s="466" t="s">
        <v>979</v>
      </c>
      <c r="R47" s="466" t="s">
        <v>49</v>
      </c>
      <c r="S47" s="466">
        <v>4</v>
      </c>
      <c r="T47" s="466">
        <v>5</v>
      </c>
      <c r="U47" s="466">
        <v>10</v>
      </c>
      <c r="V47" s="466">
        <v>3</v>
      </c>
      <c r="W47">
        <v>0</v>
      </c>
      <c r="X47">
        <v>0</v>
      </c>
      <c r="Y47">
        <v>0</v>
      </c>
      <c r="Z47">
        <v>0</v>
      </c>
      <c r="AA47" t="b">
        <v>1</v>
      </c>
      <c r="AB47" t="b">
        <v>1</v>
      </c>
      <c r="AC47">
        <v>0.66999999999999993</v>
      </c>
      <c r="AD47">
        <v>0.66999999999999993</v>
      </c>
      <c r="AE47">
        <v>1.3399999999999999</v>
      </c>
      <c r="AF47">
        <v>0</v>
      </c>
      <c r="AG47">
        <v>0</v>
      </c>
      <c r="AH47">
        <v>0</v>
      </c>
      <c r="AI47" t="s">
        <v>49</v>
      </c>
    </row>
    <row r="48" spans="1:35" ht="12.75">
      <c r="A48" s="667" t="s">
        <v>49</v>
      </c>
      <c r="B48" s="668">
        <v>4</v>
      </c>
      <c r="C48" s="669" t="s">
        <v>1065</v>
      </c>
      <c r="D48" s="670" t="s">
        <v>69</v>
      </c>
      <c r="E48" s="670" t="s">
        <v>80</v>
      </c>
      <c r="F48" s="670" t="s">
        <v>21</v>
      </c>
      <c r="G48" s="670">
        <v>0</v>
      </c>
      <c r="H48" s="670">
        <v>0</v>
      </c>
      <c r="I48" s="670">
        <v>0.33</v>
      </c>
      <c r="J48" s="670">
        <v>0</v>
      </c>
      <c r="K48" s="670" t="s">
        <v>146</v>
      </c>
      <c r="L48" s="670" t="s">
        <v>49</v>
      </c>
      <c r="M48" s="669"/>
      <c r="N48" s="670"/>
      <c r="O48" s="671" t="s">
        <v>1066</v>
      </c>
      <c r="P48" s="466" t="s">
        <v>49</v>
      </c>
      <c r="Q48" s="466" t="s">
        <v>979</v>
      </c>
      <c r="R48" s="466" t="s">
        <v>49</v>
      </c>
      <c r="S48" s="466">
        <v>4</v>
      </c>
      <c r="T48" s="466">
        <v>5</v>
      </c>
      <c r="U48" s="466">
        <v>7</v>
      </c>
      <c r="V48" s="466">
        <v>2</v>
      </c>
      <c r="W48">
        <v>0</v>
      </c>
      <c r="X48">
        <v>0</v>
      </c>
      <c r="Y48">
        <v>0</v>
      </c>
      <c r="Z48">
        <v>0</v>
      </c>
      <c r="AA48" t="b">
        <v>1</v>
      </c>
      <c r="AB48" t="b">
        <v>1</v>
      </c>
      <c r="AC48">
        <v>0.66999999999999993</v>
      </c>
      <c r="AD48">
        <v>1</v>
      </c>
      <c r="AE48">
        <v>1.67</v>
      </c>
      <c r="AF48">
        <v>0</v>
      </c>
      <c r="AG48">
        <v>0</v>
      </c>
      <c r="AH48">
        <v>0</v>
      </c>
      <c r="AI48" t="s">
        <v>49</v>
      </c>
    </row>
    <row r="49" spans="1:35" ht="12.75">
      <c r="A49" s="667" t="s">
        <v>49</v>
      </c>
      <c r="B49" s="668">
        <v>4</v>
      </c>
      <c r="C49" s="669" t="s">
        <v>1067</v>
      </c>
      <c r="D49" s="670" t="s">
        <v>69</v>
      </c>
      <c r="E49" s="670" t="s">
        <v>80</v>
      </c>
      <c r="F49" s="670" t="s">
        <v>13</v>
      </c>
      <c r="G49" s="670">
        <v>1</v>
      </c>
      <c r="H49" s="670">
        <v>0</v>
      </c>
      <c r="I49" s="670">
        <v>1</v>
      </c>
      <c r="J49" s="670">
        <v>1</v>
      </c>
      <c r="K49" s="670" t="s">
        <v>146</v>
      </c>
      <c r="L49" s="670" t="s">
        <v>49</v>
      </c>
      <c r="M49" s="669"/>
      <c r="N49" s="670"/>
      <c r="O49" s="671" t="s">
        <v>1068</v>
      </c>
      <c r="P49" s="466" t="s">
        <v>49</v>
      </c>
      <c r="Q49" s="466" t="s">
        <v>979</v>
      </c>
      <c r="R49" s="466" t="s">
        <v>49</v>
      </c>
      <c r="S49" s="466">
        <v>4</v>
      </c>
      <c r="T49" s="466">
        <v>5</v>
      </c>
      <c r="U49" s="466">
        <v>3</v>
      </c>
      <c r="V49" s="466">
        <v>2</v>
      </c>
      <c r="W49">
        <v>1</v>
      </c>
      <c r="X49">
        <v>1</v>
      </c>
      <c r="Y49">
        <v>0</v>
      </c>
      <c r="Z49">
        <v>1</v>
      </c>
      <c r="AA49" t="b">
        <v>0</v>
      </c>
      <c r="AB49" t="b">
        <v>1</v>
      </c>
      <c r="AC49">
        <v>0</v>
      </c>
      <c r="AD49">
        <v>0</v>
      </c>
      <c r="AE49">
        <v>1</v>
      </c>
      <c r="AF49">
        <v>0</v>
      </c>
      <c r="AG49">
        <v>1</v>
      </c>
      <c r="AH49">
        <v>0</v>
      </c>
      <c r="AI49" t="s">
        <v>49</v>
      </c>
    </row>
    <row r="50" spans="1:35" ht="12.75">
      <c r="A50" s="667" t="s">
        <v>49</v>
      </c>
      <c r="B50" s="668">
        <v>4</v>
      </c>
      <c r="C50" s="669" t="s">
        <v>1069</v>
      </c>
      <c r="D50" s="670" t="s">
        <v>69</v>
      </c>
      <c r="E50" s="670" t="s">
        <v>80</v>
      </c>
      <c r="F50" s="670" t="s">
        <v>115</v>
      </c>
      <c r="G50" s="670">
        <v>1</v>
      </c>
      <c r="H50" s="670">
        <v>0</v>
      </c>
      <c r="I50" s="670">
        <v>0.33</v>
      </c>
      <c r="J50" s="670">
        <v>0.33</v>
      </c>
      <c r="K50" s="670" t="s">
        <v>182</v>
      </c>
      <c r="L50" s="670" t="s">
        <v>602</v>
      </c>
      <c r="M50" s="669">
        <v>3</v>
      </c>
      <c r="N50" s="670">
        <v>2</v>
      </c>
      <c r="O50" s="671" t="s">
        <v>1070</v>
      </c>
      <c r="P50" s="466" t="s">
        <v>184</v>
      </c>
      <c r="Q50" s="466" t="s">
        <v>979</v>
      </c>
      <c r="R50" s="466" t="s">
        <v>49</v>
      </c>
      <c r="S50" s="466">
        <v>4</v>
      </c>
      <c r="T50" s="466">
        <v>5</v>
      </c>
      <c r="U50" s="466">
        <v>10</v>
      </c>
      <c r="V50" s="466">
        <v>3</v>
      </c>
      <c r="W50">
        <v>1</v>
      </c>
      <c r="X50">
        <v>1</v>
      </c>
      <c r="Y50">
        <v>0</v>
      </c>
      <c r="Z50">
        <v>1</v>
      </c>
      <c r="AA50" t="b">
        <v>0</v>
      </c>
      <c r="AB50" t="b">
        <v>1</v>
      </c>
      <c r="AC50">
        <v>0.66999999999999993</v>
      </c>
      <c r="AD50">
        <v>0.66999999999999993</v>
      </c>
      <c r="AE50">
        <v>1.67</v>
      </c>
      <c r="AF50">
        <v>0</v>
      </c>
      <c r="AG50">
        <v>1</v>
      </c>
      <c r="AH50">
        <v>0</v>
      </c>
      <c r="AI50" t="s">
        <v>49</v>
      </c>
    </row>
    <row r="51" spans="1:35" ht="12.75">
      <c r="A51" s="667" t="s">
        <v>49</v>
      </c>
      <c r="B51" s="668">
        <v>4</v>
      </c>
      <c r="C51" s="669" t="s">
        <v>1071</v>
      </c>
      <c r="D51" s="670" t="s">
        <v>69</v>
      </c>
      <c r="E51" s="670" t="s">
        <v>80</v>
      </c>
      <c r="F51" s="670" t="s">
        <v>115</v>
      </c>
      <c r="G51" s="670">
        <v>0</v>
      </c>
      <c r="H51" s="670">
        <v>0</v>
      </c>
      <c r="I51" s="670">
        <v>0</v>
      </c>
      <c r="J51" s="670">
        <v>0</v>
      </c>
      <c r="K51" s="670" t="s">
        <v>182</v>
      </c>
      <c r="L51" s="670" t="s">
        <v>49</v>
      </c>
      <c r="M51" s="669">
        <v>4</v>
      </c>
      <c r="N51" s="670">
        <v>1</v>
      </c>
      <c r="O51" s="671" t="s">
        <v>1072</v>
      </c>
      <c r="P51" s="466" t="s">
        <v>268</v>
      </c>
      <c r="Q51" s="466" t="s">
        <v>979</v>
      </c>
      <c r="R51" s="466" t="s">
        <v>49</v>
      </c>
      <c r="S51" s="466">
        <v>4</v>
      </c>
      <c r="T51" s="466">
        <v>5</v>
      </c>
      <c r="U51" s="466">
        <v>10</v>
      </c>
      <c r="V51" s="466">
        <v>3</v>
      </c>
      <c r="W51">
        <v>0</v>
      </c>
      <c r="X51">
        <v>0</v>
      </c>
      <c r="Y51">
        <v>0</v>
      </c>
      <c r="Z51">
        <v>0</v>
      </c>
      <c r="AA51" t="b">
        <v>1</v>
      </c>
      <c r="AB51" t="b">
        <v>1</v>
      </c>
      <c r="AC51">
        <v>1</v>
      </c>
      <c r="AD51">
        <v>1</v>
      </c>
      <c r="AE51">
        <v>2</v>
      </c>
      <c r="AF51">
        <v>0</v>
      </c>
      <c r="AG51">
        <v>0</v>
      </c>
      <c r="AH51">
        <v>0</v>
      </c>
      <c r="AI51" t="s">
        <v>49</v>
      </c>
    </row>
    <row r="52" spans="1:35" ht="12.75">
      <c r="A52" s="667" t="s">
        <v>49</v>
      </c>
      <c r="B52" s="668">
        <v>4</v>
      </c>
      <c r="C52" s="669" t="s">
        <v>1073</v>
      </c>
      <c r="D52" s="670" t="s">
        <v>69</v>
      </c>
      <c r="E52" s="670" t="s">
        <v>80</v>
      </c>
      <c r="F52" s="670" t="s">
        <v>20</v>
      </c>
      <c r="G52" s="670">
        <v>1</v>
      </c>
      <c r="H52" s="670">
        <v>0</v>
      </c>
      <c r="I52" s="670">
        <v>0.33</v>
      </c>
      <c r="J52" s="670">
        <v>0.33</v>
      </c>
      <c r="K52" s="670" t="s">
        <v>146</v>
      </c>
      <c r="L52" s="670" t="s">
        <v>49</v>
      </c>
      <c r="M52" s="669"/>
      <c r="N52" s="670"/>
      <c r="O52" s="671" t="s">
        <v>1074</v>
      </c>
      <c r="P52" s="466" t="s">
        <v>49</v>
      </c>
      <c r="Q52" s="466" t="s">
        <v>979</v>
      </c>
      <c r="R52" s="466" t="s">
        <v>49</v>
      </c>
      <c r="S52" s="466">
        <v>4</v>
      </c>
      <c r="T52" s="466">
        <v>5</v>
      </c>
      <c r="U52" s="466">
        <v>6</v>
      </c>
      <c r="V52" s="466">
        <v>2</v>
      </c>
      <c r="W52">
        <v>1</v>
      </c>
      <c r="X52">
        <v>1</v>
      </c>
      <c r="Y52">
        <v>0</v>
      </c>
      <c r="Z52">
        <v>1</v>
      </c>
      <c r="AA52" t="b">
        <v>0</v>
      </c>
      <c r="AB52" t="b">
        <v>1</v>
      </c>
      <c r="AC52">
        <v>0.66999999999999993</v>
      </c>
      <c r="AD52">
        <v>0.66999999999999993</v>
      </c>
      <c r="AE52">
        <v>1.67</v>
      </c>
      <c r="AF52">
        <v>0</v>
      </c>
      <c r="AG52">
        <v>1</v>
      </c>
      <c r="AH52">
        <v>0</v>
      </c>
      <c r="AI52" t="s">
        <v>49</v>
      </c>
    </row>
    <row r="53" spans="1:35" ht="12.75">
      <c r="A53" s="667" t="s">
        <v>49</v>
      </c>
      <c r="B53" s="668">
        <v>4</v>
      </c>
      <c r="C53" s="669" t="s">
        <v>1075</v>
      </c>
      <c r="D53" s="670" t="s">
        <v>69</v>
      </c>
      <c r="E53" s="670" t="s">
        <v>80</v>
      </c>
      <c r="F53" s="670" t="s">
        <v>21</v>
      </c>
      <c r="G53" s="670">
        <v>0</v>
      </c>
      <c r="H53" s="670">
        <v>0</v>
      </c>
      <c r="I53" s="670">
        <v>0.33</v>
      </c>
      <c r="J53" s="670">
        <v>0.33</v>
      </c>
      <c r="K53" s="670" t="s">
        <v>182</v>
      </c>
      <c r="L53" s="670" t="s">
        <v>195</v>
      </c>
      <c r="M53" s="669">
        <v>2</v>
      </c>
      <c r="N53" s="670">
        <v>5</v>
      </c>
      <c r="O53" s="671" t="s">
        <v>1076</v>
      </c>
      <c r="P53" s="466" t="s">
        <v>49</v>
      </c>
      <c r="Q53" s="466" t="s">
        <v>979</v>
      </c>
      <c r="R53" s="466" t="s">
        <v>49</v>
      </c>
      <c r="S53" s="466">
        <v>4</v>
      </c>
      <c r="T53" s="466">
        <v>5</v>
      </c>
      <c r="U53" s="466">
        <v>7</v>
      </c>
      <c r="V53" s="466">
        <v>3</v>
      </c>
      <c r="W53">
        <v>0</v>
      </c>
      <c r="X53">
        <v>0</v>
      </c>
      <c r="Y53">
        <v>0</v>
      </c>
      <c r="Z53">
        <v>0</v>
      </c>
      <c r="AA53" t="b">
        <v>1</v>
      </c>
      <c r="AB53" t="b">
        <v>1</v>
      </c>
      <c r="AC53">
        <v>0.66999999999999993</v>
      </c>
      <c r="AD53">
        <v>0.66999999999999993</v>
      </c>
      <c r="AE53">
        <v>1.3399999999999999</v>
      </c>
      <c r="AF53">
        <v>0</v>
      </c>
      <c r="AG53">
        <v>0</v>
      </c>
      <c r="AH53">
        <v>0</v>
      </c>
      <c r="AI53" t="s">
        <v>49</v>
      </c>
    </row>
    <row r="54" spans="1:35" ht="12.75">
      <c r="A54" s="667" t="s">
        <v>49</v>
      </c>
      <c r="B54" s="668">
        <v>4</v>
      </c>
      <c r="C54" s="669" t="s">
        <v>1077</v>
      </c>
      <c r="D54" s="670" t="s">
        <v>69</v>
      </c>
      <c r="E54" s="670" t="s">
        <v>80</v>
      </c>
      <c r="F54" s="670" t="s">
        <v>13</v>
      </c>
      <c r="G54" s="670">
        <v>0</v>
      </c>
      <c r="H54" s="670">
        <v>0</v>
      </c>
      <c r="I54" s="670">
        <v>0.33</v>
      </c>
      <c r="J54" s="670">
        <v>0.33</v>
      </c>
      <c r="K54" s="670" t="s">
        <v>182</v>
      </c>
      <c r="L54" s="670" t="s">
        <v>49</v>
      </c>
      <c r="M54" s="669">
        <v>2</v>
      </c>
      <c r="N54" s="670">
        <v>5</v>
      </c>
      <c r="O54" s="671" t="s">
        <v>1078</v>
      </c>
      <c r="P54" s="466" t="s">
        <v>49</v>
      </c>
      <c r="Q54" s="466" t="s">
        <v>979</v>
      </c>
      <c r="R54" s="466" t="s">
        <v>49</v>
      </c>
      <c r="S54" s="466">
        <v>4</v>
      </c>
      <c r="T54" s="466">
        <v>5</v>
      </c>
      <c r="U54" s="466">
        <v>3</v>
      </c>
      <c r="V54" s="466">
        <v>3</v>
      </c>
      <c r="W54">
        <v>0</v>
      </c>
      <c r="X54">
        <v>0</v>
      </c>
      <c r="Y54">
        <v>0</v>
      </c>
      <c r="Z54">
        <v>0</v>
      </c>
      <c r="AA54" t="b">
        <v>1</v>
      </c>
      <c r="AB54" t="b">
        <v>1</v>
      </c>
      <c r="AC54">
        <v>0.66999999999999993</v>
      </c>
      <c r="AD54">
        <v>0.66999999999999993</v>
      </c>
      <c r="AE54">
        <v>1.3399999999999999</v>
      </c>
      <c r="AF54">
        <v>0</v>
      </c>
      <c r="AG54">
        <v>0</v>
      </c>
      <c r="AH54">
        <v>0</v>
      </c>
      <c r="AI54" t="s">
        <v>49</v>
      </c>
    </row>
    <row r="55" spans="1:35" ht="12.75">
      <c r="A55" s="667" t="s">
        <v>49</v>
      </c>
      <c r="B55" s="668">
        <v>5</v>
      </c>
      <c r="C55" s="669" t="s">
        <v>1079</v>
      </c>
      <c r="D55" s="670" t="s">
        <v>69</v>
      </c>
      <c r="E55" s="670" t="s">
        <v>80</v>
      </c>
      <c r="F55" s="670" t="s">
        <v>25</v>
      </c>
      <c r="G55" s="670">
        <v>1</v>
      </c>
      <c r="H55" s="670">
        <v>0</v>
      </c>
      <c r="I55" s="670">
        <v>0.66</v>
      </c>
      <c r="J55" s="670">
        <v>0.33</v>
      </c>
      <c r="K55" s="670" t="s">
        <v>146</v>
      </c>
      <c r="L55" s="670" t="s">
        <v>49</v>
      </c>
      <c r="M55" s="669"/>
      <c r="N55" s="670"/>
      <c r="O55" s="671" t="s">
        <v>1080</v>
      </c>
      <c r="P55" s="466" t="s">
        <v>49</v>
      </c>
      <c r="Q55" s="466" t="s">
        <v>979</v>
      </c>
      <c r="R55" s="466" t="s">
        <v>49</v>
      </c>
      <c r="S55" s="466">
        <v>4</v>
      </c>
      <c r="T55" s="466">
        <v>5</v>
      </c>
      <c r="U55" s="466">
        <v>8</v>
      </c>
      <c r="V55" s="466">
        <v>2</v>
      </c>
      <c r="W55">
        <v>1</v>
      </c>
      <c r="X55">
        <v>1</v>
      </c>
      <c r="Y55">
        <v>0</v>
      </c>
      <c r="Z55">
        <v>1</v>
      </c>
      <c r="AA55" t="b">
        <v>0</v>
      </c>
      <c r="AB55" t="b">
        <v>1</v>
      </c>
      <c r="AC55">
        <v>0.33999999999999997</v>
      </c>
      <c r="AD55">
        <v>0.66999999999999993</v>
      </c>
      <c r="AE55">
        <v>1.67</v>
      </c>
      <c r="AF55">
        <v>0</v>
      </c>
      <c r="AG55">
        <v>1</v>
      </c>
      <c r="AH55">
        <v>0</v>
      </c>
      <c r="AI55" t="s">
        <v>49</v>
      </c>
    </row>
    <row r="56" spans="1:35" ht="12.75">
      <c r="A56" s="667" t="s">
        <v>49</v>
      </c>
      <c r="B56" s="668">
        <v>5</v>
      </c>
      <c r="C56" s="669" t="s">
        <v>1083</v>
      </c>
      <c r="D56" s="670" t="s">
        <v>69</v>
      </c>
      <c r="E56" s="670" t="s">
        <v>80</v>
      </c>
      <c r="F56" s="670" t="s">
        <v>115</v>
      </c>
      <c r="G56" s="670">
        <v>0</v>
      </c>
      <c r="H56" s="670">
        <v>0</v>
      </c>
      <c r="I56" s="670">
        <v>0</v>
      </c>
      <c r="J56" s="670">
        <v>0</v>
      </c>
      <c r="K56" s="670" t="s">
        <v>182</v>
      </c>
      <c r="L56" s="670" t="s">
        <v>602</v>
      </c>
      <c r="M56" s="669">
        <v>1</v>
      </c>
      <c r="N56" s="670">
        <v>5</v>
      </c>
      <c r="O56" s="671" t="s">
        <v>1084</v>
      </c>
      <c r="P56" s="466" t="s">
        <v>49</v>
      </c>
      <c r="Q56" s="466" t="s">
        <v>979</v>
      </c>
      <c r="R56" s="466" t="s">
        <v>49</v>
      </c>
      <c r="S56" s="466">
        <v>4</v>
      </c>
      <c r="T56" s="466">
        <v>5</v>
      </c>
      <c r="U56" s="466">
        <v>10</v>
      </c>
      <c r="V56" s="466">
        <v>3</v>
      </c>
      <c r="W56">
        <v>0</v>
      </c>
      <c r="X56">
        <v>0</v>
      </c>
      <c r="Y56">
        <v>0</v>
      </c>
      <c r="Z56">
        <v>0</v>
      </c>
      <c r="AA56" t="b">
        <v>1</v>
      </c>
      <c r="AB56" t="b">
        <v>1</v>
      </c>
      <c r="AC56">
        <v>1</v>
      </c>
      <c r="AD56">
        <v>1</v>
      </c>
      <c r="AE56">
        <v>2</v>
      </c>
      <c r="AF56">
        <v>0</v>
      </c>
      <c r="AG56">
        <v>0</v>
      </c>
      <c r="AH56">
        <v>0</v>
      </c>
      <c r="AI56" t="s">
        <v>49</v>
      </c>
    </row>
    <row r="57" spans="1:35" ht="12.75">
      <c r="A57" s="667" t="s">
        <v>49</v>
      </c>
      <c r="B57" s="668">
        <v>6</v>
      </c>
      <c r="C57" s="669" t="s">
        <v>1087</v>
      </c>
      <c r="D57" s="670" t="s">
        <v>69</v>
      </c>
      <c r="E57" s="670" t="s">
        <v>80</v>
      </c>
      <c r="F57" s="670" t="s">
        <v>25</v>
      </c>
      <c r="G57" s="670">
        <v>1</v>
      </c>
      <c r="H57" s="670">
        <v>0</v>
      </c>
      <c r="I57" s="670">
        <v>0</v>
      </c>
      <c r="J57" s="670">
        <v>0</v>
      </c>
      <c r="K57" s="670" t="s">
        <v>182</v>
      </c>
      <c r="L57" s="670" t="s">
        <v>602</v>
      </c>
      <c r="M57" s="669">
        <v>9</v>
      </c>
      <c r="N57" s="670">
        <v>9</v>
      </c>
      <c r="O57" s="671" t="s">
        <v>1088</v>
      </c>
      <c r="P57" s="466" t="s">
        <v>49</v>
      </c>
      <c r="Q57" s="466" t="s">
        <v>979</v>
      </c>
      <c r="R57" s="466" t="s">
        <v>49</v>
      </c>
      <c r="S57" s="466">
        <v>4</v>
      </c>
      <c r="T57" s="466">
        <v>5</v>
      </c>
      <c r="U57" s="466">
        <v>8</v>
      </c>
      <c r="V57" s="466">
        <v>3</v>
      </c>
      <c r="W57">
        <v>1</v>
      </c>
      <c r="X57">
        <v>1</v>
      </c>
      <c r="Y57">
        <v>0</v>
      </c>
      <c r="Z57">
        <v>1</v>
      </c>
      <c r="AA57" t="b">
        <v>0</v>
      </c>
      <c r="AB57" t="b">
        <v>1</v>
      </c>
      <c r="AC57">
        <v>1</v>
      </c>
      <c r="AD57">
        <v>1</v>
      </c>
      <c r="AE57">
        <v>2</v>
      </c>
      <c r="AF57">
        <v>0</v>
      </c>
      <c r="AG57">
        <v>1</v>
      </c>
      <c r="AH57">
        <v>0</v>
      </c>
      <c r="AI57" t="s">
        <v>49</v>
      </c>
    </row>
    <row r="58" spans="1:35" ht="12.75">
      <c r="A58" s="667" t="s">
        <v>49</v>
      </c>
      <c r="B58" s="668">
        <v>6</v>
      </c>
      <c r="C58" s="669" t="s">
        <v>1089</v>
      </c>
      <c r="D58" s="670" t="s">
        <v>69</v>
      </c>
      <c r="E58" s="670" t="s">
        <v>80</v>
      </c>
      <c r="F58" s="670" t="s">
        <v>8</v>
      </c>
      <c r="G58" s="670">
        <v>1</v>
      </c>
      <c r="H58" s="670">
        <v>0</v>
      </c>
      <c r="I58" s="670">
        <v>0.66</v>
      </c>
      <c r="J58" s="670">
        <v>0.66</v>
      </c>
      <c r="K58" s="670" t="s">
        <v>146</v>
      </c>
      <c r="L58" s="670" t="s">
        <v>49</v>
      </c>
      <c r="M58" s="669"/>
      <c r="N58" s="670"/>
      <c r="O58" s="671" t="s">
        <v>1090</v>
      </c>
      <c r="P58" s="466" t="s">
        <v>49</v>
      </c>
      <c r="Q58" s="466" t="s">
        <v>979</v>
      </c>
      <c r="R58" s="466" t="s">
        <v>49</v>
      </c>
      <c r="S58" s="466">
        <v>4</v>
      </c>
      <c r="T58" s="466">
        <v>5</v>
      </c>
      <c r="U58" s="466">
        <v>1</v>
      </c>
      <c r="V58" s="466">
        <v>2</v>
      </c>
      <c r="W58">
        <v>1</v>
      </c>
      <c r="X58">
        <v>1</v>
      </c>
      <c r="Y58">
        <v>0</v>
      </c>
      <c r="Z58">
        <v>1</v>
      </c>
      <c r="AA58" t="b">
        <v>0</v>
      </c>
      <c r="AB58" t="b">
        <v>1</v>
      </c>
      <c r="AC58">
        <v>0.33999999999999997</v>
      </c>
      <c r="AD58">
        <v>0.33999999999999997</v>
      </c>
      <c r="AE58">
        <v>1.3399999999999999</v>
      </c>
      <c r="AF58">
        <v>0</v>
      </c>
      <c r="AG58">
        <v>1</v>
      </c>
      <c r="AH58">
        <v>0</v>
      </c>
      <c r="AI58" t="s">
        <v>49</v>
      </c>
    </row>
    <row r="59" spans="1:35" ht="12.75">
      <c r="A59" s="667" t="s">
        <v>49</v>
      </c>
      <c r="B59" s="668">
        <v>6</v>
      </c>
      <c r="C59" s="669" t="s">
        <v>1093</v>
      </c>
      <c r="D59" s="670" t="s">
        <v>69</v>
      </c>
      <c r="E59" s="670" t="s">
        <v>80</v>
      </c>
      <c r="F59" s="670" t="s">
        <v>115</v>
      </c>
      <c r="G59" s="670">
        <v>1</v>
      </c>
      <c r="H59" s="670">
        <v>0</v>
      </c>
      <c r="I59" s="670">
        <v>1</v>
      </c>
      <c r="J59" s="670">
        <v>1</v>
      </c>
      <c r="K59" s="670" t="s">
        <v>182</v>
      </c>
      <c r="L59" s="670" t="s">
        <v>602</v>
      </c>
      <c r="M59" s="669">
        <v>6</v>
      </c>
      <c r="N59" s="670">
        <v>4</v>
      </c>
      <c r="O59" s="671" t="s">
        <v>1094</v>
      </c>
      <c r="P59" s="466" t="s">
        <v>454</v>
      </c>
      <c r="Q59" s="466" t="s">
        <v>979</v>
      </c>
      <c r="R59" s="466" t="s">
        <v>49</v>
      </c>
      <c r="S59" s="466">
        <v>4</v>
      </c>
      <c r="T59" s="466">
        <v>5</v>
      </c>
      <c r="U59" s="466">
        <v>10</v>
      </c>
      <c r="V59" s="466">
        <v>3</v>
      </c>
      <c r="W59">
        <v>1</v>
      </c>
      <c r="X59">
        <v>1</v>
      </c>
      <c r="Y59">
        <v>0</v>
      </c>
      <c r="Z59">
        <v>1</v>
      </c>
      <c r="AA59" t="b">
        <v>0</v>
      </c>
      <c r="AB59" t="b">
        <v>1</v>
      </c>
      <c r="AC59">
        <v>0</v>
      </c>
      <c r="AD59">
        <v>0</v>
      </c>
      <c r="AE59">
        <v>1</v>
      </c>
      <c r="AF59">
        <v>0</v>
      </c>
      <c r="AG59">
        <v>1</v>
      </c>
      <c r="AH59">
        <v>0</v>
      </c>
      <c r="AI59" t="s">
        <v>49</v>
      </c>
    </row>
    <row r="60" spans="1:35" ht="12.75">
      <c r="A60" s="667" t="s">
        <v>49</v>
      </c>
      <c r="B60" s="668">
        <v>9</v>
      </c>
      <c r="C60" s="669" t="s">
        <v>1097</v>
      </c>
      <c r="D60" s="670" t="s">
        <v>69</v>
      </c>
      <c r="E60" s="670" t="s">
        <v>80</v>
      </c>
      <c r="F60" s="670" t="s">
        <v>8</v>
      </c>
      <c r="G60" s="670">
        <v>1</v>
      </c>
      <c r="H60" s="670">
        <v>0</v>
      </c>
      <c r="I60" s="670">
        <v>0.33</v>
      </c>
      <c r="J60" s="670">
        <v>0</v>
      </c>
      <c r="K60" s="670" t="s">
        <v>146</v>
      </c>
      <c r="L60" s="670" t="s">
        <v>49</v>
      </c>
      <c r="M60" s="669"/>
      <c r="N60" s="670"/>
      <c r="O60" s="671" t="s">
        <v>1098</v>
      </c>
      <c r="P60" s="466" t="s">
        <v>49</v>
      </c>
      <c r="Q60" s="466" t="s">
        <v>979</v>
      </c>
      <c r="R60" s="466" t="s">
        <v>49</v>
      </c>
      <c r="S60" s="466">
        <v>4</v>
      </c>
      <c r="T60" s="466">
        <v>5</v>
      </c>
      <c r="U60" s="466">
        <v>1</v>
      </c>
      <c r="V60" s="466">
        <v>2</v>
      </c>
      <c r="W60">
        <v>1</v>
      </c>
      <c r="X60">
        <v>1</v>
      </c>
      <c r="Y60">
        <v>0</v>
      </c>
      <c r="Z60">
        <v>1</v>
      </c>
      <c r="AA60" t="b">
        <v>0</v>
      </c>
      <c r="AB60" t="b">
        <v>1</v>
      </c>
      <c r="AC60">
        <v>0.66999999999999993</v>
      </c>
      <c r="AD60">
        <v>1</v>
      </c>
      <c r="AE60">
        <v>2</v>
      </c>
      <c r="AF60">
        <v>0</v>
      </c>
      <c r="AG60">
        <v>1</v>
      </c>
      <c r="AH60">
        <v>0</v>
      </c>
      <c r="AI60" t="s">
        <v>49</v>
      </c>
    </row>
    <row r="61" spans="1:35" ht="12.75">
      <c r="A61" s="667" t="s">
        <v>49</v>
      </c>
      <c r="B61" s="668">
        <v>12</v>
      </c>
      <c r="C61" s="669" t="s">
        <v>1099</v>
      </c>
      <c r="D61" s="670" t="s">
        <v>69</v>
      </c>
      <c r="E61" s="670" t="s">
        <v>80</v>
      </c>
      <c r="F61" s="670" t="s">
        <v>115</v>
      </c>
      <c r="G61" s="670">
        <v>0</v>
      </c>
      <c r="H61" s="670">
        <v>0</v>
      </c>
      <c r="I61" s="670">
        <v>0.33</v>
      </c>
      <c r="J61" s="670">
        <v>0.33</v>
      </c>
      <c r="K61" s="670" t="s">
        <v>182</v>
      </c>
      <c r="L61" s="670" t="s">
        <v>602</v>
      </c>
      <c r="M61" s="669">
        <v>8</v>
      </c>
      <c r="N61" s="670">
        <v>8</v>
      </c>
      <c r="O61" s="671" t="s">
        <v>1100</v>
      </c>
      <c r="P61" s="466" t="s">
        <v>49</v>
      </c>
      <c r="Q61" s="466" t="s">
        <v>979</v>
      </c>
      <c r="R61" s="466" t="s">
        <v>49</v>
      </c>
      <c r="S61" s="466">
        <v>4</v>
      </c>
      <c r="T61" s="466">
        <v>5</v>
      </c>
      <c r="U61" s="466">
        <v>10</v>
      </c>
      <c r="V61" s="466">
        <v>3</v>
      </c>
      <c r="W61">
        <v>0</v>
      </c>
      <c r="X61">
        <v>0</v>
      </c>
      <c r="Y61">
        <v>0</v>
      </c>
      <c r="Z61">
        <v>0</v>
      </c>
      <c r="AA61" t="b">
        <v>1</v>
      </c>
      <c r="AB61" t="b">
        <v>1</v>
      </c>
      <c r="AC61">
        <v>0.66999999999999993</v>
      </c>
      <c r="AD61">
        <v>0.66999999999999993</v>
      </c>
      <c r="AE61">
        <v>1.3399999999999999</v>
      </c>
      <c r="AF61">
        <v>0</v>
      </c>
      <c r="AG61">
        <v>0</v>
      </c>
      <c r="AH61">
        <v>0</v>
      </c>
      <c r="AI61" t="s">
        <v>49</v>
      </c>
    </row>
    <row r="62" spans="1:35" ht="12.75">
      <c r="A62" s="667" t="s">
        <v>49</v>
      </c>
      <c r="B62" s="668">
        <v>5</v>
      </c>
      <c r="C62" s="669" t="s">
        <v>1101</v>
      </c>
      <c r="D62" s="670" t="s">
        <v>70</v>
      </c>
      <c r="E62" s="670" t="s">
        <v>80</v>
      </c>
      <c r="F62" s="670" t="s">
        <v>115</v>
      </c>
      <c r="G62" s="670">
        <v>0</v>
      </c>
      <c r="H62" s="670">
        <v>0</v>
      </c>
      <c r="I62" s="670">
        <v>0.33</v>
      </c>
      <c r="J62" s="670"/>
      <c r="K62" s="670" t="s">
        <v>182</v>
      </c>
      <c r="L62" s="670" t="s">
        <v>602</v>
      </c>
      <c r="M62" s="669">
        <v>3</v>
      </c>
      <c r="N62" s="670">
        <v>4</v>
      </c>
      <c r="O62" s="671" t="s">
        <v>1102</v>
      </c>
      <c r="P62" s="466" t="s">
        <v>275</v>
      </c>
      <c r="Q62" s="466" t="s">
        <v>979</v>
      </c>
      <c r="R62" s="466" t="s">
        <v>49</v>
      </c>
      <c r="S62" s="466">
        <v>5</v>
      </c>
      <c r="T62" s="466">
        <v>5</v>
      </c>
      <c r="U62" s="466">
        <v>10</v>
      </c>
      <c r="V62" s="466">
        <v>3</v>
      </c>
      <c r="W62">
        <v>0</v>
      </c>
      <c r="X62">
        <v>0</v>
      </c>
      <c r="Y62">
        <v>0</v>
      </c>
      <c r="Z62">
        <v>1</v>
      </c>
      <c r="AA62" t="b">
        <v>1</v>
      </c>
      <c r="AB62" t="b">
        <v>0</v>
      </c>
      <c r="AC62">
        <v>0.66999999999999993</v>
      </c>
      <c r="AD62">
        <v>1</v>
      </c>
      <c r="AE62">
        <v>0.66999999999999993</v>
      </c>
      <c r="AF62">
        <v>0</v>
      </c>
      <c r="AG62">
        <v>0</v>
      </c>
      <c r="AH62">
        <v>0</v>
      </c>
      <c r="AI62" t="s">
        <v>49</v>
      </c>
    </row>
    <row r="63" spans="1:35" ht="12.75">
      <c r="A63" s="667" t="s">
        <v>49</v>
      </c>
      <c r="B63" s="668">
        <v>5</v>
      </c>
      <c r="C63" s="669" t="s">
        <v>1103</v>
      </c>
      <c r="D63" s="670" t="s">
        <v>70</v>
      </c>
      <c r="E63" s="670" t="s">
        <v>80</v>
      </c>
      <c r="F63" s="670" t="s">
        <v>16</v>
      </c>
      <c r="G63" s="670">
        <v>0</v>
      </c>
      <c r="H63" s="670">
        <v>0</v>
      </c>
      <c r="I63" s="670">
        <v>0</v>
      </c>
      <c r="J63" s="670"/>
      <c r="K63" s="670" t="s">
        <v>182</v>
      </c>
      <c r="L63" s="670" t="s">
        <v>49</v>
      </c>
      <c r="M63" s="669">
        <v>1</v>
      </c>
      <c r="N63" s="670">
        <v>7</v>
      </c>
      <c r="O63" s="671" t="s">
        <v>1104</v>
      </c>
      <c r="P63" s="466" t="s">
        <v>49</v>
      </c>
      <c r="Q63" s="466" t="s">
        <v>979</v>
      </c>
      <c r="R63" s="466" t="s">
        <v>49</v>
      </c>
      <c r="S63" s="466">
        <v>5</v>
      </c>
      <c r="T63" s="466">
        <v>5</v>
      </c>
      <c r="U63" s="466">
        <v>4</v>
      </c>
      <c r="V63" s="466">
        <v>3</v>
      </c>
      <c r="W63">
        <v>0</v>
      </c>
      <c r="X63">
        <v>0</v>
      </c>
      <c r="Y63">
        <v>0</v>
      </c>
      <c r="Z63">
        <v>1</v>
      </c>
      <c r="AA63" t="b">
        <v>1</v>
      </c>
      <c r="AB63" t="b">
        <v>0</v>
      </c>
      <c r="AC63">
        <v>1</v>
      </c>
      <c r="AD63">
        <v>1</v>
      </c>
      <c r="AE63">
        <v>1</v>
      </c>
      <c r="AF63">
        <v>0</v>
      </c>
      <c r="AG63">
        <v>0</v>
      </c>
      <c r="AH63">
        <v>0</v>
      </c>
      <c r="AI63" t="s">
        <v>49</v>
      </c>
    </row>
    <row r="64" spans="1:35" ht="12.75">
      <c r="A64" s="667" t="s">
        <v>49</v>
      </c>
      <c r="B64" s="668">
        <v>5</v>
      </c>
      <c r="C64" s="669" t="s">
        <v>1105</v>
      </c>
      <c r="D64" s="670" t="s">
        <v>70</v>
      </c>
      <c r="E64" s="670" t="s">
        <v>80</v>
      </c>
      <c r="F64" s="670" t="s">
        <v>115</v>
      </c>
      <c r="G64" s="670">
        <v>0</v>
      </c>
      <c r="H64" s="670">
        <v>0</v>
      </c>
      <c r="I64" s="670">
        <v>0</v>
      </c>
      <c r="J64" s="670"/>
      <c r="K64" s="670" t="s">
        <v>182</v>
      </c>
      <c r="L64" s="670" t="s">
        <v>49</v>
      </c>
      <c r="M64" s="669">
        <v>6</v>
      </c>
      <c r="N64" s="670">
        <v>3</v>
      </c>
      <c r="O64" s="671" t="s">
        <v>1106</v>
      </c>
      <c r="P64" s="466" t="s">
        <v>275</v>
      </c>
      <c r="Q64" s="466" t="s">
        <v>979</v>
      </c>
      <c r="R64" s="466" t="s">
        <v>49</v>
      </c>
      <c r="S64" s="466">
        <v>5</v>
      </c>
      <c r="T64" s="466">
        <v>5</v>
      </c>
      <c r="U64" s="466">
        <v>10</v>
      </c>
      <c r="V64" s="466">
        <v>3</v>
      </c>
      <c r="W64">
        <v>0</v>
      </c>
      <c r="X64">
        <v>0</v>
      </c>
      <c r="Y64">
        <v>0</v>
      </c>
      <c r="Z64">
        <v>1</v>
      </c>
      <c r="AA64" t="b">
        <v>1</v>
      </c>
      <c r="AB64" t="b">
        <v>0</v>
      </c>
      <c r="AC64">
        <v>1</v>
      </c>
      <c r="AD64">
        <v>1</v>
      </c>
      <c r="AE64">
        <v>1</v>
      </c>
      <c r="AF64">
        <v>0</v>
      </c>
      <c r="AG64">
        <v>0</v>
      </c>
      <c r="AH64">
        <v>0</v>
      </c>
      <c r="AI64" t="s">
        <v>49</v>
      </c>
    </row>
    <row r="65" spans="1:35" ht="12.75">
      <c r="A65" s="667" t="s">
        <v>49</v>
      </c>
      <c r="B65" s="668">
        <v>5</v>
      </c>
      <c r="C65" s="669" t="s">
        <v>1107</v>
      </c>
      <c r="D65" s="670" t="s">
        <v>70</v>
      </c>
      <c r="E65" s="670" t="s">
        <v>80</v>
      </c>
      <c r="F65" s="670" t="s">
        <v>115</v>
      </c>
      <c r="G65" s="670">
        <v>0</v>
      </c>
      <c r="H65" s="670">
        <v>0</v>
      </c>
      <c r="I65" s="670">
        <v>0</v>
      </c>
      <c r="J65" s="670"/>
      <c r="K65" s="670" t="s">
        <v>182</v>
      </c>
      <c r="L65" s="670" t="s">
        <v>602</v>
      </c>
      <c r="M65" s="669">
        <v>4</v>
      </c>
      <c r="N65" s="670">
        <v>5</v>
      </c>
      <c r="O65" s="671" t="s">
        <v>1108</v>
      </c>
      <c r="P65" s="466" t="s">
        <v>49</v>
      </c>
      <c r="Q65" s="466" t="s">
        <v>979</v>
      </c>
      <c r="R65" s="466" t="s">
        <v>49</v>
      </c>
      <c r="S65" s="466">
        <v>5</v>
      </c>
      <c r="T65" s="466">
        <v>5</v>
      </c>
      <c r="U65" s="466">
        <v>10</v>
      </c>
      <c r="V65" s="466">
        <v>3</v>
      </c>
      <c r="W65">
        <v>0</v>
      </c>
      <c r="X65">
        <v>0</v>
      </c>
      <c r="Y65">
        <v>0</v>
      </c>
      <c r="Z65">
        <v>1</v>
      </c>
      <c r="AA65" t="b">
        <v>1</v>
      </c>
      <c r="AB65" t="b">
        <v>0</v>
      </c>
      <c r="AC65">
        <v>1</v>
      </c>
      <c r="AD65">
        <v>1</v>
      </c>
      <c r="AE65">
        <v>1</v>
      </c>
      <c r="AF65">
        <v>0</v>
      </c>
      <c r="AG65">
        <v>0</v>
      </c>
      <c r="AH65">
        <v>0</v>
      </c>
      <c r="AI65" t="s">
        <v>49</v>
      </c>
    </row>
    <row r="66" spans="1:35" ht="12.75">
      <c r="A66" s="667" t="s">
        <v>49</v>
      </c>
      <c r="B66" s="668">
        <v>6</v>
      </c>
      <c r="C66" s="669" t="s">
        <v>1113</v>
      </c>
      <c r="D66" s="670" t="s">
        <v>70</v>
      </c>
      <c r="E66" s="670" t="s">
        <v>80</v>
      </c>
      <c r="F66" s="670" t="s">
        <v>26</v>
      </c>
      <c r="G66" s="670">
        <v>0</v>
      </c>
      <c r="H66" s="670">
        <v>0</v>
      </c>
      <c r="I66" s="670">
        <v>0.33</v>
      </c>
      <c r="J66" s="670"/>
      <c r="K66" s="670" t="s">
        <v>182</v>
      </c>
      <c r="L66" s="670" t="s">
        <v>602</v>
      </c>
      <c r="M66" s="669">
        <v>6</v>
      </c>
      <c r="N66" s="670">
        <v>5</v>
      </c>
      <c r="O66" s="671" t="s">
        <v>1114</v>
      </c>
      <c r="P66" s="466" t="s">
        <v>184</v>
      </c>
      <c r="Q66" s="466" t="s">
        <v>979</v>
      </c>
      <c r="R66" s="466" t="s">
        <v>49</v>
      </c>
      <c r="S66" s="466">
        <v>5</v>
      </c>
      <c r="T66" s="466">
        <v>5</v>
      </c>
      <c r="U66" s="466">
        <v>9</v>
      </c>
      <c r="V66" s="466">
        <v>3</v>
      </c>
      <c r="W66">
        <v>0</v>
      </c>
      <c r="X66">
        <v>0</v>
      </c>
      <c r="Y66">
        <v>0</v>
      </c>
      <c r="Z66">
        <v>1</v>
      </c>
      <c r="AA66" t="b">
        <v>1</v>
      </c>
      <c r="AB66" t="b">
        <v>0</v>
      </c>
      <c r="AC66">
        <v>0.66999999999999993</v>
      </c>
      <c r="AD66">
        <v>1</v>
      </c>
      <c r="AE66">
        <v>0.66999999999999993</v>
      </c>
      <c r="AF66">
        <v>0</v>
      </c>
      <c r="AG66">
        <v>0</v>
      </c>
      <c r="AH66">
        <v>0</v>
      </c>
      <c r="AI66" t="s">
        <v>49</v>
      </c>
    </row>
    <row r="67" spans="1:35" ht="12.75">
      <c r="A67" s="667" t="s">
        <v>49</v>
      </c>
      <c r="B67" s="668">
        <v>6</v>
      </c>
      <c r="C67" s="669" t="s">
        <v>1115</v>
      </c>
      <c r="D67" s="670" t="s">
        <v>70</v>
      </c>
      <c r="E67" s="670" t="s">
        <v>80</v>
      </c>
      <c r="F67" s="670" t="s">
        <v>115</v>
      </c>
      <c r="G67" s="670">
        <v>0</v>
      </c>
      <c r="H67" s="670">
        <v>0</v>
      </c>
      <c r="I67" s="670">
        <v>0</v>
      </c>
      <c r="J67" s="670"/>
      <c r="K67" s="670" t="s">
        <v>182</v>
      </c>
      <c r="L67" s="670" t="s">
        <v>49</v>
      </c>
      <c r="M67" s="669">
        <v>7</v>
      </c>
      <c r="N67" s="670">
        <v>6</v>
      </c>
      <c r="O67" s="671" t="s">
        <v>1116</v>
      </c>
      <c r="P67" s="466" t="s">
        <v>49</v>
      </c>
      <c r="Q67" s="466" t="s">
        <v>979</v>
      </c>
      <c r="R67" s="466" t="s">
        <v>49</v>
      </c>
      <c r="S67" s="466">
        <v>5</v>
      </c>
      <c r="T67" s="466">
        <v>5</v>
      </c>
      <c r="U67" s="466">
        <v>10</v>
      </c>
      <c r="V67" s="466">
        <v>3</v>
      </c>
      <c r="W67">
        <v>0</v>
      </c>
      <c r="X67">
        <v>0</v>
      </c>
      <c r="Y67">
        <v>0</v>
      </c>
      <c r="Z67">
        <v>1</v>
      </c>
      <c r="AA67" t="b">
        <v>1</v>
      </c>
      <c r="AB67" t="b">
        <v>0</v>
      </c>
      <c r="AC67">
        <v>1</v>
      </c>
      <c r="AD67">
        <v>1</v>
      </c>
      <c r="AE67">
        <v>1</v>
      </c>
      <c r="AF67">
        <v>0</v>
      </c>
      <c r="AG67">
        <v>0</v>
      </c>
      <c r="AH67">
        <v>0</v>
      </c>
      <c r="AI67" t="s">
        <v>49</v>
      </c>
    </row>
    <row r="68" spans="1:35" ht="12.75">
      <c r="A68" s="667" t="s">
        <v>49</v>
      </c>
      <c r="B68" s="668">
        <v>6</v>
      </c>
      <c r="C68" s="669" t="s">
        <v>1117</v>
      </c>
      <c r="D68" s="670" t="s">
        <v>70</v>
      </c>
      <c r="E68" s="670" t="s">
        <v>80</v>
      </c>
      <c r="F68" s="670" t="s">
        <v>115</v>
      </c>
      <c r="G68" s="670">
        <v>0</v>
      </c>
      <c r="H68" s="670">
        <v>0</v>
      </c>
      <c r="I68" s="670">
        <v>0.66</v>
      </c>
      <c r="J68" s="670"/>
      <c r="K68" s="670" t="s">
        <v>182</v>
      </c>
      <c r="L68" s="670" t="s">
        <v>49</v>
      </c>
      <c r="M68" s="669">
        <v>5</v>
      </c>
      <c r="N68" s="670">
        <v>7</v>
      </c>
      <c r="O68" s="671" t="s">
        <v>1118</v>
      </c>
      <c r="P68" s="466" t="s">
        <v>1119</v>
      </c>
      <c r="Q68" s="466" t="s">
        <v>979</v>
      </c>
      <c r="R68" s="466" t="s">
        <v>49</v>
      </c>
      <c r="S68" s="466">
        <v>5</v>
      </c>
      <c r="T68" s="466">
        <v>5</v>
      </c>
      <c r="U68" s="466">
        <v>10</v>
      </c>
      <c r="V68" s="466">
        <v>3</v>
      </c>
      <c r="W68">
        <v>0</v>
      </c>
      <c r="X68">
        <v>0</v>
      </c>
      <c r="Y68">
        <v>0</v>
      </c>
      <c r="Z68">
        <v>1</v>
      </c>
      <c r="AA68" t="b">
        <v>1</v>
      </c>
      <c r="AB68" t="b">
        <v>0</v>
      </c>
      <c r="AC68">
        <v>0.33999999999999997</v>
      </c>
      <c r="AD68">
        <v>1</v>
      </c>
      <c r="AE68">
        <v>0.33999999999999997</v>
      </c>
      <c r="AF68">
        <v>0</v>
      </c>
      <c r="AG68">
        <v>0</v>
      </c>
      <c r="AH68">
        <v>0</v>
      </c>
      <c r="AI68" t="s">
        <v>49</v>
      </c>
    </row>
    <row r="69" spans="1:35" ht="12.75">
      <c r="A69" s="667" t="s">
        <v>49</v>
      </c>
      <c r="B69" s="668">
        <v>6</v>
      </c>
      <c r="C69" s="669" t="s">
        <v>1120</v>
      </c>
      <c r="D69" s="670" t="s">
        <v>70</v>
      </c>
      <c r="E69" s="670" t="s">
        <v>80</v>
      </c>
      <c r="F69" s="670" t="s">
        <v>20</v>
      </c>
      <c r="G69" s="670">
        <v>0</v>
      </c>
      <c r="H69" s="670">
        <v>0</v>
      </c>
      <c r="I69" s="670">
        <v>0.33</v>
      </c>
      <c r="J69" s="670"/>
      <c r="K69" s="670" t="s">
        <v>182</v>
      </c>
      <c r="L69" s="670" t="s">
        <v>49</v>
      </c>
      <c r="M69" s="669">
        <v>5</v>
      </c>
      <c r="N69" s="670">
        <v>8</v>
      </c>
      <c r="O69" s="671" t="s">
        <v>1121</v>
      </c>
      <c r="P69" s="466" t="s">
        <v>49</v>
      </c>
      <c r="Q69" s="466" t="s">
        <v>979</v>
      </c>
      <c r="R69" s="466" t="s">
        <v>49</v>
      </c>
      <c r="S69" s="466">
        <v>5</v>
      </c>
      <c r="T69" s="466">
        <v>5</v>
      </c>
      <c r="U69" s="466">
        <v>6</v>
      </c>
      <c r="V69" s="466">
        <v>3</v>
      </c>
      <c r="W69">
        <v>0</v>
      </c>
      <c r="X69">
        <v>0</v>
      </c>
      <c r="Y69">
        <v>0</v>
      </c>
      <c r="Z69">
        <v>1</v>
      </c>
      <c r="AA69" t="b">
        <v>1</v>
      </c>
      <c r="AB69" t="b">
        <v>0</v>
      </c>
      <c r="AC69">
        <v>0.66999999999999993</v>
      </c>
      <c r="AD69">
        <v>1</v>
      </c>
      <c r="AE69">
        <v>0.66999999999999993</v>
      </c>
      <c r="AF69">
        <v>0</v>
      </c>
      <c r="AG69">
        <v>0</v>
      </c>
      <c r="AH69">
        <v>0</v>
      </c>
      <c r="AI69" t="s">
        <v>49</v>
      </c>
    </row>
    <row r="70" spans="1:35" ht="12.75">
      <c r="A70" s="667" t="s">
        <v>49</v>
      </c>
      <c r="B70" s="668">
        <v>7</v>
      </c>
      <c r="C70" s="669" t="s">
        <v>1124</v>
      </c>
      <c r="D70" s="670" t="s">
        <v>70</v>
      </c>
      <c r="E70" s="670" t="s">
        <v>80</v>
      </c>
      <c r="F70" s="670" t="s">
        <v>13</v>
      </c>
      <c r="G70" s="670">
        <v>0</v>
      </c>
      <c r="H70" s="670">
        <v>0</v>
      </c>
      <c r="I70" s="670">
        <v>0</v>
      </c>
      <c r="J70" s="670"/>
      <c r="K70" s="670" t="s">
        <v>182</v>
      </c>
      <c r="L70" s="670" t="s">
        <v>602</v>
      </c>
      <c r="M70" s="669">
        <v>7</v>
      </c>
      <c r="N70" s="670">
        <v>7</v>
      </c>
      <c r="O70" s="671" t="s">
        <v>1125</v>
      </c>
      <c r="P70" s="466" t="s">
        <v>49</v>
      </c>
      <c r="Q70" s="466" t="s">
        <v>979</v>
      </c>
      <c r="R70" s="466" t="s">
        <v>49</v>
      </c>
      <c r="S70" s="466">
        <v>5</v>
      </c>
      <c r="T70" s="466">
        <v>5</v>
      </c>
      <c r="U70" s="466">
        <v>3</v>
      </c>
      <c r="V70" s="466">
        <v>3</v>
      </c>
      <c r="W70">
        <v>0</v>
      </c>
      <c r="X70">
        <v>0</v>
      </c>
      <c r="Y70">
        <v>0</v>
      </c>
      <c r="Z70">
        <v>1</v>
      </c>
      <c r="AA70" t="b">
        <v>1</v>
      </c>
      <c r="AB70" t="b">
        <v>0</v>
      </c>
      <c r="AC70">
        <v>1</v>
      </c>
      <c r="AD70">
        <v>1</v>
      </c>
      <c r="AE70">
        <v>1</v>
      </c>
      <c r="AF70">
        <v>0</v>
      </c>
      <c r="AG70">
        <v>0</v>
      </c>
      <c r="AH70">
        <v>0</v>
      </c>
      <c r="AI70" t="s">
        <v>49</v>
      </c>
    </row>
    <row r="71" spans="1:35" ht="12.75">
      <c r="A71" s="667" t="s">
        <v>49</v>
      </c>
      <c r="B71" s="668">
        <v>7</v>
      </c>
      <c r="C71" s="669" t="s">
        <v>1126</v>
      </c>
      <c r="D71" s="670" t="s">
        <v>70</v>
      </c>
      <c r="E71" s="670" t="s">
        <v>80</v>
      </c>
      <c r="F71" s="670" t="s">
        <v>11</v>
      </c>
      <c r="G71" s="670">
        <v>0</v>
      </c>
      <c r="H71" s="670">
        <v>0</v>
      </c>
      <c r="I71" s="670">
        <v>0.66</v>
      </c>
      <c r="J71" s="670"/>
      <c r="K71" s="670" t="s">
        <v>182</v>
      </c>
      <c r="L71" s="670" t="s">
        <v>230</v>
      </c>
      <c r="M71" s="669">
        <v>6</v>
      </c>
      <c r="N71" s="670">
        <v>9</v>
      </c>
      <c r="O71" s="671" t="s">
        <v>1127</v>
      </c>
      <c r="P71" s="466" t="s">
        <v>49</v>
      </c>
      <c r="Q71" s="466" t="s">
        <v>979</v>
      </c>
      <c r="R71" s="466" t="s">
        <v>49</v>
      </c>
      <c r="S71" s="466">
        <v>5</v>
      </c>
      <c r="T71" s="466">
        <v>5</v>
      </c>
      <c r="U71" s="466">
        <v>2</v>
      </c>
      <c r="V71" s="466">
        <v>3</v>
      </c>
      <c r="W71">
        <v>0</v>
      </c>
      <c r="X71">
        <v>0</v>
      </c>
      <c r="Y71">
        <v>0</v>
      </c>
      <c r="Z71">
        <v>1</v>
      </c>
      <c r="AA71" t="b">
        <v>1</v>
      </c>
      <c r="AB71" t="b">
        <v>0</v>
      </c>
      <c r="AC71">
        <v>0.33999999999999997</v>
      </c>
      <c r="AD71">
        <v>1</v>
      </c>
      <c r="AE71">
        <v>0.33999999999999997</v>
      </c>
      <c r="AF71">
        <v>0</v>
      </c>
      <c r="AG71">
        <v>0</v>
      </c>
      <c r="AH71">
        <v>0</v>
      </c>
      <c r="AI71" t="s">
        <v>49</v>
      </c>
    </row>
    <row r="72" spans="1:35" ht="12.75">
      <c r="A72" s="667" t="s">
        <v>49</v>
      </c>
      <c r="B72" s="668">
        <v>7</v>
      </c>
      <c r="C72" s="669" t="s">
        <v>1128</v>
      </c>
      <c r="D72" s="670" t="s">
        <v>70</v>
      </c>
      <c r="E72" s="670" t="s">
        <v>80</v>
      </c>
      <c r="F72" s="670" t="s">
        <v>8</v>
      </c>
      <c r="G72" s="670">
        <v>0</v>
      </c>
      <c r="H72" s="670">
        <v>0</v>
      </c>
      <c r="I72" s="670">
        <v>0</v>
      </c>
      <c r="J72" s="670"/>
      <c r="K72" s="670" t="s">
        <v>182</v>
      </c>
      <c r="L72" s="670" t="s">
        <v>230</v>
      </c>
      <c r="M72" s="669">
        <v>9</v>
      </c>
      <c r="N72" s="670">
        <v>7</v>
      </c>
      <c r="O72" s="671" t="s">
        <v>1129</v>
      </c>
      <c r="P72" s="466" t="s">
        <v>454</v>
      </c>
      <c r="Q72" s="466" t="s">
        <v>979</v>
      </c>
      <c r="R72" s="466" t="s">
        <v>49</v>
      </c>
      <c r="S72" s="466">
        <v>5</v>
      </c>
      <c r="T72" s="466">
        <v>5</v>
      </c>
      <c r="U72" s="466">
        <v>1</v>
      </c>
      <c r="V72" s="466">
        <v>3</v>
      </c>
      <c r="W72">
        <v>0</v>
      </c>
      <c r="X72">
        <v>0</v>
      </c>
      <c r="Y72">
        <v>0</v>
      </c>
      <c r="Z72">
        <v>1</v>
      </c>
      <c r="AA72" t="b">
        <v>1</v>
      </c>
      <c r="AB72" t="b">
        <v>0</v>
      </c>
      <c r="AC72">
        <v>1</v>
      </c>
      <c r="AD72">
        <v>1</v>
      </c>
      <c r="AE72">
        <v>1</v>
      </c>
      <c r="AF72">
        <v>0</v>
      </c>
      <c r="AG72">
        <v>0</v>
      </c>
      <c r="AH72">
        <v>0</v>
      </c>
      <c r="AI72" t="s">
        <v>49</v>
      </c>
    </row>
    <row r="73" spans="1:35" ht="12.75">
      <c r="A73" s="667" t="s">
        <v>49</v>
      </c>
      <c r="B73" s="668">
        <v>7</v>
      </c>
      <c r="C73" s="669" t="s">
        <v>1130</v>
      </c>
      <c r="D73" s="670" t="s">
        <v>70</v>
      </c>
      <c r="E73" s="670" t="s">
        <v>80</v>
      </c>
      <c r="F73" s="670" t="s">
        <v>21</v>
      </c>
      <c r="G73" s="670">
        <v>0</v>
      </c>
      <c r="H73" s="670">
        <v>0</v>
      </c>
      <c r="I73" s="670">
        <v>1</v>
      </c>
      <c r="J73" s="670"/>
      <c r="K73" s="670" t="s">
        <v>182</v>
      </c>
      <c r="L73" s="670" t="s">
        <v>49</v>
      </c>
      <c r="M73" s="669">
        <v>7</v>
      </c>
      <c r="N73" s="670">
        <v>7</v>
      </c>
      <c r="O73" s="671" t="s">
        <v>1131</v>
      </c>
      <c r="P73" s="466" t="s">
        <v>184</v>
      </c>
      <c r="Q73" s="466" t="s">
        <v>979</v>
      </c>
      <c r="R73" s="466" t="s">
        <v>49</v>
      </c>
      <c r="S73" s="466">
        <v>5</v>
      </c>
      <c r="T73" s="466">
        <v>5</v>
      </c>
      <c r="U73" s="466">
        <v>7</v>
      </c>
      <c r="V73" s="466">
        <v>3</v>
      </c>
      <c r="W73">
        <v>0</v>
      </c>
      <c r="X73">
        <v>0</v>
      </c>
      <c r="Y73">
        <v>0</v>
      </c>
      <c r="Z73">
        <v>1</v>
      </c>
      <c r="AA73" t="b">
        <v>1</v>
      </c>
      <c r="AB73" t="b">
        <v>0</v>
      </c>
      <c r="AC73">
        <v>0</v>
      </c>
      <c r="AD73">
        <v>1</v>
      </c>
      <c r="AE73">
        <v>0</v>
      </c>
      <c r="AF73">
        <v>0</v>
      </c>
      <c r="AG73">
        <v>0</v>
      </c>
      <c r="AH73">
        <v>0</v>
      </c>
      <c r="AI73" t="s">
        <v>49</v>
      </c>
    </row>
    <row r="74" spans="1:35" ht="12.75">
      <c r="A74" s="667" t="s">
        <v>49</v>
      </c>
      <c r="B74" s="668">
        <v>8</v>
      </c>
      <c r="C74" s="669" t="s">
        <v>1134</v>
      </c>
      <c r="D74" s="670" t="s">
        <v>70</v>
      </c>
      <c r="E74" s="670" t="s">
        <v>80</v>
      </c>
      <c r="F74" s="670" t="s">
        <v>115</v>
      </c>
      <c r="G74" s="670">
        <v>0</v>
      </c>
      <c r="H74" s="670">
        <v>0</v>
      </c>
      <c r="I74" s="670">
        <v>0.33</v>
      </c>
      <c r="J74" s="670"/>
      <c r="K74" s="670" t="s">
        <v>182</v>
      </c>
      <c r="L74" s="670" t="s">
        <v>602</v>
      </c>
      <c r="M74" s="669">
        <v>6</v>
      </c>
      <c r="N74" s="670">
        <v>9</v>
      </c>
      <c r="O74" s="671" t="s">
        <v>1135</v>
      </c>
      <c r="P74" s="466" t="s">
        <v>49</v>
      </c>
      <c r="Q74" s="466" t="s">
        <v>979</v>
      </c>
      <c r="R74" s="466" t="s">
        <v>49</v>
      </c>
      <c r="S74" s="466">
        <v>5</v>
      </c>
      <c r="T74" s="466">
        <v>5</v>
      </c>
      <c r="U74" s="466">
        <v>10</v>
      </c>
      <c r="V74" s="466">
        <v>3</v>
      </c>
      <c r="W74">
        <v>0</v>
      </c>
      <c r="X74">
        <v>0</v>
      </c>
      <c r="Y74">
        <v>0</v>
      </c>
      <c r="Z74">
        <v>1</v>
      </c>
      <c r="AA74" t="b">
        <v>1</v>
      </c>
      <c r="AB74" t="b">
        <v>0</v>
      </c>
      <c r="AC74">
        <v>0.66999999999999993</v>
      </c>
      <c r="AD74">
        <v>1</v>
      </c>
      <c r="AE74">
        <v>0.66999999999999993</v>
      </c>
      <c r="AF74">
        <v>0</v>
      </c>
      <c r="AG74">
        <v>0</v>
      </c>
      <c r="AH74">
        <v>0</v>
      </c>
      <c r="AI74" t="s">
        <v>49</v>
      </c>
    </row>
    <row r="75" spans="1:35" ht="12.75">
      <c r="A75" s="667" t="s">
        <v>49</v>
      </c>
      <c r="B75" s="668">
        <v>8</v>
      </c>
      <c r="C75" s="669" t="s">
        <v>1136</v>
      </c>
      <c r="D75" s="670" t="s">
        <v>70</v>
      </c>
      <c r="E75" s="670" t="s">
        <v>80</v>
      </c>
      <c r="F75" s="670" t="s">
        <v>115</v>
      </c>
      <c r="G75" s="670">
        <v>0</v>
      </c>
      <c r="H75" s="670">
        <v>0</v>
      </c>
      <c r="I75" s="670">
        <v>0.66</v>
      </c>
      <c r="J75" s="670"/>
      <c r="K75" s="670" t="s">
        <v>182</v>
      </c>
      <c r="L75" s="670" t="s">
        <v>602</v>
      </c>
      <c r="M75" s="669">
        <v>5</v>
      </c>
      <c r="N75" s="670">
        <v>7</v>
      </c>
      <c r="O75" s="671" t="s">
        <v>1137</v>
      </c>
      <c r="P75" s="466" t="s">
        <v>454</v>
      </c>
      <c r="Q75" s="466" t="s">
        <v>979</v>
      </c>
      <c r="R75" s="466" t="s">
        <v>49</v>
      </c>
      <c r="S75" s="466">
        <v>5</v>
      </c>
      <c r="T75" s="466">
        <v>5</v>
      </c>
      <c r="U75" s="466">
        <v>10</v>
      </c>
      <c r="V75" s="466">
        <v>3</v>
      </c>
      <c r="W75">
        <v>0</v>
      </c>
      <c r="X75">
        <v>0</v>
      </c>
      <c r="Y75">
        <v>0</v>
      </c>
      <c r="Z75">
        <v>1</v>
      </c>
      <c r="AA75" t="b">
        <v>1</v>
      </c>
      <c r="AB75" t="b">
        <v>0</v>
      </c>
      <c r="AC75">
        <v>0.33999999999999997</v>
      </c>
      <c r="AD75">
        <v>1</v>
      </c>
      <c r="AE75">
        <v>0.33999999999999997</v>
      </c>
      <c r="AF75">
        <v>0</v>
      </c>
      <c r="AG75">
        <v>0</v>
      </c>
      <c r="AH75">
        <v>0</v>
      </c>
      <c r="AI75" t="s">
        <v>49</v>
      </c>
    </row>
    <row r="76" spans="1:35" ht="12.75">
      <c r="A76" s="667" t="s">
        <v>49</v>
      </c>
      <c r="B76" s="668">
        <v>9</v>
      </c>
      <c r="C76" s="669" t="s">
        <v>1140</v>
      </c>
      <c r="D76" s="670" t="s">
        <v>70</v>
      </c>
      <c r="E76" s="670" t="s">
        <v>80</v>
      </c>
      <c r="F76" s="670" t="s">
        <v>115</v>
      </c>
      <c r="G76" s="670">
        <v>0</v>
      </c>
      <c r="H76" s="670">
        <v>0</v>
      </c>
      <c r="I76" s="670">
        <v>0</v>
      </c>
      <c r="J76" s="670"/>
      <c r="K76" s="670" t="s">
        <v>182</v>
      </c>
      <c r="L76" s="670" t="s">
        <v>602</v>
      </c>
      <c r="M76" s="669">
        <v>9</v>
      </c>
      <c r="N76" s="670">
        <v>7</v>
      </c>
      <c r="O76" s="671" t="s">
        <v>1141</v>
      </c>
      <c r="P76" s="466" t="s">
        <v>49</v>
      </c>
      <c r="Q76" s="466" t="s">
        <v>979</v>
      </c>
      <c r="R76" s="466" t="s">
        <v>49</v>
      </c>
      <c r="S76" s="466">
        <v>5</v>
      </c>
      <c r="T76" s="466">
        <v>5</v>
      </c>
      <c r="U76" s="466">
        <v>10</v>
      </c>
      <c r="V76" s="466">
        <v>3</v>
      </c>
      <c r="W76">
        <v>0</v>
      </c>
      <c r="X76">
        <v>0</v>
      </c>
      <c r="Y76">
        <v>0</v>
      </c>
      <c r="Z76">
        <v>1</v>
      </c>
      <c r="AA76" t="b">
        <v>1</v>
      </c>
      <c r="AB76" t="b">
        <v>0</v>
      </c>
      <c r="AC76">
        <v>1</v>
      </c>
      <c r="AD76">
        <v>1</v>
      </c>
      <c r="AE76">
        <v>1</v>
      </c>
      <c r="AF76">
        <v>0</v>
      </c>
      <c r="AG76">
        <v>0</v>
      </c>
      <c r="AH76">
        <v>0</v>
      </c>
      <c r="AI76" t="s">
        <v>49</v>
      </c>
    </row>
    <row r="77" spans="1:35" ht="12.75">
      <c r="A77" s="667" t="s">
        <v>49</v>
      </c>
      <c r="B77" s="668">
        <v>2</v>
      </c>
      <c r="C77" s="669" t="s">
        <v>1156</v>
      </c>
      <c r="D77" s="670" t="s">
        <v>68</v>
      </c>
      <c r="E77" s="670" t="s">
        <v>80</v>
      </c>
      <c r="F77" s="670" t="s">
        <v>21</v>
      </c>
      <c r="G77" s="670">
        <v>1</v>
      </c>
      <c r="H77" s="670">
        <v>0</v>
      </c>
      <c r="I77" s="670">
        <v>0</v>
      </c>
      <c r="J77" s="670">
        <v>0</v>
      </c>
      <c r="K77" s="670" t="s">
        <v>182</v>
      </c>
      <c r="L77" s="670" t="s">
        <v>257</v>
      </c>
      <c r="M77" s="669">
        <v>0</v>
      </c>
      <c r="N77" s="670">
        <v>3</v>
      </c>
      <c r="O77" s="671" t="s">
        <v>1157</v>
      </c>
      <c r="P77" s="466" t="s">
        <v>49</v>
      </c>
      <c r="Q77" s="466" t="s">
        <v>979</v>
      </c>
      <c r="R77" s="466" t="s">
        <v>49</v>
      </c>
      <c r="S77" s="466">
        <v>3</v>
      </c>
      <c r="T77" s="466">
        <v>5</v>
      </c>
      <c r="U77" s="466">
        <v>7</v>
      </c>
      <c r="V77" s="466">
        <v>3</v>
      </c>
      <c r="W77">
        <v>1</v>
      </c>
      <c r="X77">
        <v>1</v>
      </c>
      <c r="Y77">
        <v>0</v>
      </c>
      <c r="Z77">
        <v>1</v>
      </c>
      <c r="AA77" t="b">
        <v>0</v>
      </c>
      <c r="AB77" t="b">
        <v>1</v>
      </c>
      <c r="AC77">
        <v>1</v>
      </c>
      <c r="AD77">
        <v>1</v>
      </c>
      <c r="AE77">
        <v>2</v>
      </c>
      <c r="AF77">
        <v>0</v>
      </c>
      <c r="AG77">
        <v>1</v>
      </c>
      <c r="AH77">
        <v>0</v>
      </c>
      <c r="AI77" t="s">
        <v>49</v>
      </c>
    </row>
    <row r="78" spans="1:35" ht="12.75">
      <c r="A78" s="667" t="s">
        <v>49</v>
      </c>
      <c r="B78" s="668">
        <v>3</v>
      </c>
      <c r="C78" s="669" t="s">
        <v>1158</v>
      </c>
      <c r="D78" s="670" t="s">
        <v>68</v>
      </c>
      <c r="E78" s="670" t="s">
        <v>80</v>
      </c>
      <c r="F78" s="670" t="s">
        <v>115</v>
      </c>
      <c r="G78" s="670">
        <v>0</v>
      </c>
      <c r="H78" s="670">
        <v>0</v>
      </c>
      <c r="I78" s="670">
        <v>0.66</v>
      </c>
      <c r="J78" s="670">
        <v>0.66</v>
      </c>
      <c r="K78" s="670" t="s">
        <v>182</v>
      </c>
      <c r="L78" s="670" t="s">
        <v>49</v>
      </c>
      <c r="M78" s="669">
        <v>3</v>
      </c>
      <c r="N78" s="670">
        <v>2</v>
      </c>
      <c r="O78" s="671" t="s">
        <v>1159</v>
      </c>
      <c r="P78" s="466" t="s">
        <v>184</v>
      </c>
      <c r="Q78" s="466" t="s">
        <v>979</v>
      </c>
      <c r="R78" s="466" t="s">
        <v>49</v>
      </c>
      <c r="S78" s="466">
        <v>3</v>
      </c>
      <c r="T78" s="466">
        <v>5</v>
      </c>
      <c r="U78" s="466">
        <v>10</v>
      </c>
      <c r="V78" s="466">
        <v>3</v>
      </c>
      <c r="W78">
        <v>0</v>
      </c>
      <c r="X78">
        <v>0</v>
      </c>
      <c r="Y78">
        <v>0</v>
      </c>
      <c r="Z78">
        <v>0</v>
      </c>
      <c r="AA78" t="b">
        <v>1</v>
      </c>
      <c r="AB78" t="b">
        <v>1</v>
      </c>
      <c r="AC78">
        <v>0.33999999999999997</v>
      </c>
      <c r="AD78">
        <v>0.33999999999999997</v>
      </c>
      <c r="AE78">
        <v>0.67999999999999994</v>
      </c>
      <c r="AF78">
        <v>0</v>
      </c>
      <c r="AG78">
        <v>0</v>
      </c>
      <c r="AH78">
        <v>0</v>
      </c>
      <c r="AI78" t="s">
        <v>49</v>
      </c>
    </row>
    <row r="79" spans="1:35" ht="12.75">
      <c r="A79" s="667" t="s">
        <v>49</v>
      </c>
      <c r="B79" s="668">
        <v>3</v>
      </c>
      <c r="C79" s="669" t="s">
        <v>1166</v>
      </c>
      <c r="D79" s="670" t="s">
        <v>68</v>
      </c>
      <c r="E79" s="670" t="s">
        <v>80</v>
      </c>
      <c r="F79" s="670" t="s">
        <v>20</v>
      </c>
      <c r="G79" s="670">
        <v>1</v>
      </c>
      <c r="H79" s="670">
        <v>0</v>
      </c>
      <c r="I79" s="670">
        <v>0.66</v>
      </c>
      <c r="J79" s="670">
        <v>0.66</v>
      </c>
      <c r="K79" s="670" t="s">
        <v>182</v>
      </c>
      <c r="L79" s="670" t="s">
        <v>602</v>
      </c>
      <c r="M79" s="669">
        <v>2</v>
      </c>
      <c r="N79" s="670">
        <v>2</v>
      </c>
      <c r="O79" s="671" t="s">
        <v>1167</v>
      </c>
      <c r="P79" s="466" t="s">
        <v>49</v>
      </c>
      <c r="Q79" s="466" t="s">
        <v>979</v>
      </c>
      <c r="R79" s="466" t="s">
        <v>49</v>
      </c>
      <c r="S79" s="466">
        <v>3</v>
      </c>
      <c r="T79" s="466">
        <v>5</v>
      </c>
      <c r="U79" s="466">
        <v>6</v>
      </c>
      <c r="V79" s="466">
        <v>3</v>
      </c>
      <c r="W79">
        <v>1</v>
      </c>
      <c r="X79">
        <v>1</v>
      </c>
      <c r="Y79">
        <v>0</v>
      </c>
      <c r="Z79">
        <v>1</v>
      </c>
      <c r="AA79" t="b">
        <v>0</v>
      </c>
      <c r="AB79" t="b">
        <v>1</v>
      </c>
      <c r="AC79">
        <v>0.33999999999999997</v>
      </c>
      <c r="AD79">
        <v>0.33999999999999997</v>
      </c>
      <c r="AE79">
        <v>1.3399999999999999</v>
      </c>
      <c r="AF79">
        <v>0</v>
      </c>
      <c r="AG79">
        <v>1</v>
      </c>
      <c r="AH79">
        <v>0</v>
      </c>
      <c r="AI79" t="s">
        <v>49</v>
      </c>
    </row>
    <row r="80" spans="1:35" ht="12.75">
      <c r="A80" s="667" t="s">
        <v>49</v>
      </c>
      <c r="B80" s="668">
        <v>3</v>
      </c>
      <c r="C80" s="669" t="s">
        <v>1168</v>
      </c>
      <c r="D80" s="670" t="s">
        <v>68</v>
      </c>
      <c r="E80" s="670" t="s">
        <v>80</v>
      </c>
      <c r="F80" s="670" t="s">
        <v>115</v>
      </c>
      <c r="G80" s="670">
        <v>0</v>
      </c>
      <c r="H80" s="670">
        <v>0</v>
      </c>
      <c r="I80" s="670">
        <v>0.33</v>
      </c>
      <c r="J80" s="670">
        <v>0.33</v>
      </c>
      <c r="K80" s="670" t="s">
        <v>182</v>
      </c>
      <c r="L80" s="670" t="s">
        <v>49</v>
      </c>
      <c r="M80" s="669">
        <v>2</v>
      </c>
      <c r="N80" s="670">
        <v>3</v>
      </c>
      <c r="O80" s="671" t="s">
        <v>1169</v>
      </c>
      <c r="P80" s="466" t="s">
        <v>193</v>
      </c>
      <c r="Q80" s="466" t="s">
        <v>979</v>
      </c>
      <c r="R80" s="466" t="s">
        <v>49</v>
      </c>
      <c r="S80" s="466">
        <v>3</v>
      </c>
      <c r="T80" s="466">
        <v>5</v>
      </c>
      <c r="U80" s="466">
        <v>10</v>
      </c>
      <c r="V80" s="466">
        <v>3</v>
      </c>
      <c r="W80">
        <v>0</v>
      </c>
      <c r="X80">
        <v>0</v>
      </c>
      <c r="Y80">
        <v>0</v>
      </c>
      <c r="Z80">
        <v>0</v>
      </c>
      <c r="AA80" t="b">
        <v>1</v>
      </c>
      <c r="AB80" t="b">
        <v>1</v>
      </c>
      <c r="AC80">
        <v>0.66999999999999993</v>
      </c>
      <c r="AD80">
        <v>0.66999999999999993</v>
      </c>
      <c r="AE80">
        <v>1.3399999999999999</v>
      </c>
      <c r="AF80">
        <v>0</v>
      </c>
      <c r="AG80">
        <v>0</v>
      </c>
      <c r="AH80">
        <v>0</v>
      </c>
      <c r="AI80" t="s">
        <v>49</v>
      </c>
    </row>
    <row r="81" spans="1:35" ht="12.75">
      <c r="A81" s="667" t="s">
        <v>49</v>
      </c>
      <c r="B81" s="668">
        <v>3</v>
      </c>
      <c r="C81" s="669" t="s">
        <v>1176</v>
      </c>
      <c r="D81" s="670" t="s">
        <v>68</v>
      </c>
      <c r="E81" s="670" t="s">
        <v>80</v>
      </c>
      <c r="F81" s="670" t="s">
        <v>16</v>
      </c>
      <c r="G81" s="670">
        <v>1</v>
      </c>
      <c r="H81" s="670">
        <v>0</v>
      </c>
      <c r="I81" s="670">
        <v>0.66</v>
      </c>
      <c r="J81" s="670">
        <v>0.33</v>
      </c>
      <c r="K81" s="670" t="s">
        <v>182</v>
      </c>
      <c r="L81" s="670" t="s">
        <v>49</v>
      </c>
      <c r="M81" s="669">
        <v>4</v>
      </c>
      <c r="N81" s="670">
        <v>3</v>
      </c>
      <c r="O81" s="671" t="s">
        <v>1177</v>
      </c>
      <c r="P81" s="466" t="s">
        <v>184</v>
      </c>
      <c r="Q81" s="466" t="s">
        <v>979</v>
      </c>
      <c r="R81" s="466" t="s">
        <v>49</v>
      </c>
      <c r="S81" s="466">
        <v>3</v>
      </c>
      <c r="T81" s="466">
        <v>5</v>
      </c>
      <c r="U81" s="466">
        <v>4</v>
      </c>
      <c r="V81" s="466">
        <v>3</v>
      </c>
      <c r="W81">
        <v>1</v>
      </c>
      <c r="X81">
        <v>1</v>
      </c>
      <c r="Y81">
        <v>0</v>
      </c>
      <c r="Z81">
        <v>1</v>
      </c>
      <c r="AA81" t="b">
        <v>0</v>
      </c>
      <c r="AB81" t="b">
        <v>1</v>
      </c>
      <c r="AC81">
        <v>0.33999999999999997</v>
      </c>
      <c r="AD81">
        <v>0.66999999999999993</v>
      </c>
      <c r="AE81">
        <v>1.67</v>
      </c>
      <c r="AF81">
        <v>0</v>
      </c>
      <c r="AG81">
        <v>1</v>
      </c>
      <c r="AH81">
        <v>0</v>
      </c>
      <c r="AI81" t="s">
        <v>49</v>
      </c>
    </row>
    <row r="82" spans="1:35" ht="12.75">
      <c r="A82" s="667" t="s">
        <v>49</v>
      </c>
      <c r="B82" s="668">
        <v>3</v>
      </c>
      <c r="C82" s="669" t="s">
        <v>1178</v>
      </c>
      <c r="D82" s="670" t="s">
        <v>68</v>
      </c>
      <c r="E82" s="670" t="s">
        <v>80</v>
      </c>
      <c r="F82" s="670" t="s">
        <v>13</v>
      </c>
      <c r="G82" s="670">
        <v>1</v>
      </c>
      <c r="H82" s="670">
        <v>0</v>
      </c>
      <c r="I82" s="670">
        <v>0.33</v>
      </c>
      <c r="J82" s="670">
        <v>0.33</v>
      </c>
      <c r="K82" s="670" t="s">
        <v>182</v>
      </c>
      <c r="L82" s="670" t="s">
        <v>602</v>
      </c>
      <c r="M82" s="669">
        <v>3</v>
      </c>
      <c r="N82" s="670">
        <v>3</v>
      </c>
      <c r="O82" s="671" t="s">
        <v>267</v>
      </c>
      <c r="P82" s="466" t="s">
        <v>268</v>
      </c>
      <c r="Q82" s="466" t="s">
        <v>979</v>
      </c>
      <c r="R82" s="466" t="s">
        <v>49</v>
      </c>
      <c r="S82" s="466">
        <v>3</v>
      </c>
      <c r="T82" s="466">
        <v>5</v>
      </c>
      <c r="U82" s="466">
        <v>3</v>
      </c>
      <c r="V82" s="466">
        <v>3</v>
      </c>
      <c r="W82">
        <v>1</v>
      </c>
      <c r="X82">
        <v>1</v>
      </c>
      <c r="Y82">
        <v>0</v>
      </c>
      <c r="Z82">
        <v>1</v>
      </c>
      <c r="AA82" t="b">
        <v>0</v>
      </c>
      <c r="AB82" t="b">
        <v>1</v>
      </c>
      <c r="AC82">
        <v>0.66999999999999993</v>
      </c>
      <c r="AD82">
        <v>0.66999999999999993</v>
      </c>
      <c r="AE82">
        <v>1.67</v>
      </c>
      <c r="AF82">
        <v>0</v>
      </c>
      <c r="AG82">
        <v>1</v>
      </c>
      <c r="AH82">
        <v>0</v>
      </c>
      <c r="AI82" t="s">
        <v>49</v>
      </c>
    </row>
    <row r="83" spans="1:35" ht="12.75">
      <c r="A83" s="667" t="s">
        <v>49</v>
      </c>
      <c r="B83" s="668">
        <v>4</v>
      </c>
      <c r="C83" s="669" t="s">
        <v>1181</v>
      </c>
      <c r="D83" s="670" t="s">
        <v>68</v>
      </c>
      <c r="E83" s="670" t="s">
        <v>80</v>
      </c>
      <c r="F83" s="670" t="s">
        <v>21</v>
      </c>
      <c r="G83" s="670">
        <v>1</v>
      </c>
      <c r="H83" s="670">
        <v>0</v>
      </c>
      <c r="I83" s="670">
        <v>0</v>
      </c>
      <c r="J83" s="670">
        <v>0</v>
      </c>
      <c r="K83" s="670" t="s">
        <v>182</v>
      </c>
      <c r="L83" s="670" t="s">
        <v>49</v>
      </c>
      <c r="M83" s="669">
        <v>5</v>
      </c>
      <c r="N83" s="670">
        <v>4</v>
      </c>
      <c r="O83" s="671" t="s">
        <v>1182</v>
      </c>
      <c r="P83" s="466" t="s">
        <v>1183</v>
      </c>
      <c r="Q83" s="466" t="s">
        <v>979</v>
      </c>
      <c r="R83" s="466" t="s">
        <v>49</v>
      </c>
      <c r="S83" s="466">
        <v>3</v>
      </c>
      <c r="T83" s="466">
        <v>5</v>
      </c>
      <c r="U83" s="466">
        <v>7</v>
      </c>
      <c r="V83" s="466">
        <v>3</v>
      </c>
      <c r="W83">
        <v>1</v>
      </c>
      <c r="X83">
        <v>1</v>
      </c>
      <c r="Y83">
        <v>0</v>
      </c>
      <c r="Z83">
        <v>1</v>
      </c>
      <c r="AA83" t="b">
        <v>0</v>
      </c>
      <c r="AB83" t="b">
        <v>1</v>
      </c>
      <c r="AC83">
        <v>1</v>
      </c>
      <c r="AD83">
        <v>1</v>
      </c>
      <c r="AE83">
        <v>2</v>
      </c>
      <c r="AF83">
        <v>0</v>
      </c>
      <c r="AG83">
        <v>1</v>
      </c>
      <c r="AH83">
        <v>0</v>
      </c>
      <c r="AI83" t="s">
        <v>49</v>
      </c>
    </row>
    <row r="84" spans="1:35" ht="12.75">
      <c r="A84" s="667" t="s">
        <v>49</v>
      </c>
      <c r="B84" s="668">
        <v>5</v>
      </c>
      <c r="C84" s="669" t="s">
        <v>1196</v>
      </c>
      <c r="D84" s="670" t="s">
        <v>68</v>
      </c>
      <c r="E84" s="670" t="s">
        <v>80</v>
      </c>
      <c r="F84" s="670" t="s">
        <v>115</v>
      </c>
      <c r="G84" s="670">
        <v>1</v>
      </c>
      <c r="H84" s="670">
        <v>0</v>
      </c>
      <c r="I84" s="670">
        <v>0.66</v>
      </c>
      <c r="J84" s="670">
        <v>0.66</v>
      </c>
      <c r="K84" s="670" t="s">
        <v>182</v>
      </c>
      <c r="L84" s="670" t="s">
        <v>49</v>
      </c>
      <c r="M84" s="669">
        <v>3</v>
      </c>
      <c r="N84" s="670">
        <v>3</v>
      </c>
      <c r="O84" s="671" t="s">
        <v>1197</v>
      </c>
      <c r="P84" s="466" t="s">
        <v>184</v>
      </c>
      <c r="Q84" s="466" t="s">
        <v>979</v>
      </c>
      <c r="R84" s="466" t="s">
        <v>49</v>
      </c>
      <c r="S84" s="466">
        <v>3</v>
      </c>
      <c r="T84" s="466">
        <v>5</v>
      </c>
      <c r="U84" s="466">
        <v>10</v>
      </c>
      <c r="V84" s="466">
        <v>3</v>
      </c>
      <c r="W84">
        <v>1</v>
      </c>
      <c r="X84">
        <v>1</v>
      </c>
      <c r="Y84">
        <v>0</v>
      </c>
      <c r="Z84">
        <v>1</v>
      </c>
      <c r="AA84" t="b">
        <v>0</v>
      </c>
      <c r="AB84" t="b">
        <v>1</v>
      </c>
      <c r="AC84">
        <v>0.33999999999999997</v>
      </c>
      <c r="AD84">
        <v>0.33999999999999997</v>
      </c>
      <c r="AE84">
        <v>1.3399999999999999</v>
      </c>
      <c r="AF84">
        <v>0</v>
      </c>
      <c r="AG84">
        <v>1</v>
      </c>
      <c r="AH84">
        <v>0</v>
      </c>
      <c r="AI84" t="s">
        <v>49</v>
      </c>
    </row>
    <row r="85" spans="1:35" ht="12.75">
      <c r="A85" s="667" t="s">
        <v>49</v>
      </c>
      <c r="B85" s="668">
        <v>5</v>
      </c>
      <c r="C85" s="669" t="s">
        <v>1200</v>
      </c>
      <c r="D85" s="670" t="s">
        <v>68</v>
      </c>
      <c r="E85" s="670" t="s">
        <v>80</v>
      </c>
      <c r="F85" s="670" t="s">
        <v>11</v>
      </c>
      <c r="G85" s="670">
        <v>1</v>
      </c>
      <c r="H85" s="670">
        <v>0</v>
      </c>
      <c r="I85" s="670">
        <v>0</v>
      </c>
      <c r="J85" s="670">
        <v>0</v>
      </c>
      <c r="K85" s="670" t="s">
        <v>182</v>
      </c>
      <c r="L85" s="670" t="s">
        <v>230</v>
      </c>
      <c r="M85" s="669">
        <v>2</v>
      </c>
      <c r="N85" s="670">
        <v>6</v>
      </c>
      <c r="O85" s="671" t="s">
        <v>1201</v>
      </c>
      <c r="P85" s="466" t="s">
        <v>193</v>
      </c>
      <c r="Q85" s="466" t="s">
        <v>979</v>
      </c>
      <c r="R85" s="466" t="s">
        <v>49</v>
      </c>
      <c r="S85" s="466">
        <v>3</v>
      </c>
      <c r="T85" s="466">
        <v>5</v>
      </c>
      <c r="U85" s="466">
        <v>2</v>
      </c>
      <c r="V85" s="466">
        <v>3</v>
      </c>
      <c r="W85">
        <v>1</v>
      </c>
      <c r="X85">
        <v>1</v>
      </c>
      <c r="Y85">
        <v>0</v>
      </c>
      <c r="Z85">
        <v>1</v>
      </c>
      <c r="AA85" t="b">
        <v>0</v>
      </c>
      <c r="AB85" t="b">
        <v>1</v>
      </c>
      <c r="AC85">
        <v>1</v>
      </c>
      <c r="AD85">
        <v>1</v>
      </c>
      <c r="AE85">
        <v>2</v>
      </c>
      <c r="AF85">
        <v>0</v>
      </c>
      <c r="AG85">
        <v>1</v>
      </c>
      <c r="AH85">
        <v>0</v>
      </c>
      <c r="AI85" t="s">
        <v>49</v>
      </c>
    </row>
    <row r="86" spans="1:35" ht="12.75">
      <c r="A86" s="667" t="s">
        <v>49</v>
      </c>
      <c r="B86" s="668">
        <v>5</v>
      </c>
      <c r="C86" s="669" t="s">
        <v>1202</v>
      </c>
      <c r="D86" s="670" t="s">
        <v>68</v>
      </c>
      <c r="E86" s="670" t="s">
        <v>80</v>
      </c>
      <c r="F86" s="670" t="s">
        <v>115</v>
      </c>
      <c r="G86" s="670">
        <v>1</v>
      </c>
      <c r="H86" s="670">
        <v>0</v>
      </c>
      <c r="I86" s="670">
        <v>0.33</v>
      </c>
      <c r="J86" s="670">
        <v>0.33</v>
      </c>
      <c r="K86" s="670" t="s">
        <v>182</v>
      </c>
      <c r="L86" s="670" t="s">
        <v>49</v>
      </c>
      <c r="M86" s="669">
        <v>5</v>
      </c>
      <c r="N86" s="670">
        <v>4</v>
      </c>
      <c r="O86" s="671" t="s">
        <v>1203</v>
      </c>
      <c r="P86" s="466" t="s">
        <v>184</v>
      </c>
      <c r="Q86" s="466" t="s">
        <v>979</v>
      </c>
      <c r="R86" s="466" t="s">
        <v>49</v>
      </c>
      <c r="S86" s="466">
        <v>3</v>
      </c>
      <c r="T86" s="466">
        <v>5</v>
      </c>
      <c r="U86" s="466">
        <v>10</v>
      </c>
      <c r="V86" s="466">
        <v>3</v>
      </c>
      <c r="W86">
        <v>1</v>
      </c>
      <c r="X86">
        <v>1</v>
      </c>
      <c r="Y86">
        <v>0</v>
      </c>
      <c r="Z86">
        <v>1</v>
      </c>
      <c r="AA86" t="b">
        <v>0</v>
      </c>
      <c r="AB86" t="b">
        <v>1</v>
      </c>
      <c r="AC86">
        <v>0.66999999999999993</v>
      </c>
      <c r="AD86">
        <v>0.66999999999999993</v>
      </c>
      <c r="AE86">
        <v>1.67</v>
      </c>
      <c r="AF86">
        <v>0</v>
      </c>
      <c r="AG86">
        <v>1</v>
      </c>
      <c r="AH86">
        <v>0</v>
      </c>
      <c r="AI86" t="s">
        <v>49</v>
      </c>
    </row>
    <row r="87" spans="1:35" ht="12.75">
      <c r="A87" s="667" t="s">
        <v>49</v>
      </c>
      <c r="B87" s="668">
        <v>6</v>
      </c>
      <c r="C87" s="669" t="s">
        <v>1210</v>
      </c>
      <c r="D87" s="670" t="s">
        <v>68</v>
      </c>
      <c r="E87" s="670" t="s">
        <v>80</v>
      </c>
      <c r="F87" s="670" t="s">
        <v>8</v>
      </c>
      <c r="G87" s="670">
        <v>1</v>
      </c>
      <c r="H87" s="670">
        <v>0</v>
      </c>
      <c r="I87" s="670">
        <v>0.33</v>
      </c>
      <c r="J87" s="670">
        <v>0.33</v>
      </c>
      <c r="K87" s="670" t="s">
        <v>182</v>
      </c>
      <c r="L87" s="670" t="s">
        <v>602</v>
      </c>
      <c r="M87" s="669">
        <v>7</v>
      </c>
      <c r="N87" s="670">
        <v>6</v>
      </c>
      <c r="O87" s="671" t="s">
        <v>1211</v>
      </c>
      <c r="P87" s="466" t="s">
        <v>49</v>
      </c>
      <c r="Q87" s="466" t="s">
        <v>979</v>
      </c>
      <c r="R87" s="466" t="s">
        <v>49</v>
      </c>
      <c r="S87" s="466">
        <v>3</v>
      </c>
      <c r="T87" s="466">
        <v>5</v>
      </c>
      <c r="U87" s="466">
        <v>1</v>
      </c>
      <c r="V87" s="466">
        <v>3</v>
      </c>
      <c r="W87">
        <v>1</v>
      </c>
      <c r="X87">
        <v>1</v>
      </c>
      <c r="Y87">
        <v>0</v>
      </c>
      <c r="Z87">
        <v>1</v>
      </c>
      <c r="AA87" t="b">
        <v>0</v>
      </c>
      <c r="AB87" t="b">
        <v>1</v>
      </c>
      <c r="AC87">
        <v>0.66999999999999993</v>
      </c>
      <c r="AD87">
        <v>0.66999999999999993</v>
      </c>
      <c r="AE87">
        <v>1.67</v>
      </c>
      <c r="AF87">
        <v>0</v>
      </c>
      <c r="AG87">
        <v>1</v>
      </c>
      <c r="AH87">
        <v>0</v>
      </c>
      <c r="AI87" t="s">
        <v>49</v>
      </c>
    </row>
    <row r="88" spans="1:35" ht="12.75">
      <c r="A88" s="667" t="s">
        <v>49</v>
      </c>
      <c r="B88" s="668">
        <v>5</v>
      </c>
      <c r="C88" s="669" t="s">
        <v>1368</v>
      </c>
      <c r="D88" s="670" t="s">
        <v>70</v>
      </c>
      <c r="E88" s="670" t="s">
        <v>78</v>
      </c>
      <c r="F88" s="670" t="s">
        <v>115</v>
      </c>
      <c r="G88" s="670">
        <v>0</v>
      </c>
      <c r="H88" s="670">
        <v>0</v>
      </c>
      <c r="I88" s="670">
        <v>0.2</v>
      </c>
      <c r="J88" s="670"/>
      <c r="K88" s="670" t="s">
        <v>182</v>
      </c>
      <c r="L88" s="670" t="s">
        <v>49</v>
      </c>
      <c r="M88" s="669">
        <v>5</v>
      </c>
      <c r="N88" s="670">
        <v>5</v>
      </c>
      <c r="O88" s="671" t="s">
        <v>1369</v>
      </c>
      <c r="P88" s="466" t="s">
        <v>275</v>
      </c>
      <c r="Q88" s="466" t="s">
        <v>979</v>
      </c>
      <c r="R88" s="466" t="s">
        <v>49</v>
      </c>
      <c r="S88" s="466">
        <v>5</v>
      </c>
      <c r="T88" s="466">
        <v>3</v>
      </c>
      <c r="U88" s="466">
        <v>10</v>
      </c>
      <c r="V88" s="466">
        <v>3</v>
      </c>
      <c r="W88">
        <v>0</v>
      </c>
      <c r="X88">
        <v>0</v>
      </c>
      <c r="Y88">
        <v>0</v>
      </c>
      <c r="Z88">
        <v>1</v>
      </c>
      <c r="AA88" t="b">
        <v>1</v>
      </c>
      <c r="AB88" t="b">
        <v>0</v>
      </c>
      <c r="AC88">
        <v>0.8</v>
      </c>
      <c r="AD88">
        <v>1</v>
      </c>
      <c r="AE88">
        <v>0.8</v>
      </c>
      <c r="AF88">
        <v>0</v>
      </c>
      <c r="AG88">
        <v>0</v>
      </c>
      <c r="AH88">
        <v>0</v>
      </c>
      <c r="AI88" t="s">
        <v>49</v>
      </c>
    </row>
    <row r="89" spans="1:35" ht="12.75">
      <c r="A89" s="667" t="s">
        <v>49</v>
      </c>
      <c r="B89" s="668">
        <v>1</v>
      </c>
      <c r="C89" s="669" t="s">
        <v>1466</v>
      </c>
      <c r="D89" s="670" t="s">
        <v>69</v>
      </c>
      <c r="E89" s="670" t="s">
        <v>82</v>
      </c>
      <c r="F89" s="670" t="s">
        <v>13</v>
      </c>
      <c r="G89" s="670">
        <v>1</v>
      </c>
      <c r="H89" s="670">
        <v>0</v>
      </c>
      <c r="I89" s="670">
        <v>0.33</v>
      </c>
      <c r="J89" s="670">
        <v>0.33</v>
      </c>
      <c r="K89" s="670" t="s">
        <v>146</v>
      </c>
      <c r="L89" s="670" t="s">
        <v>49</v>
      </c>
      <c r="M89" s="669"/>
      <c r="N89" s="670"/>
      <c r="O89" s="671" t="s">
        <v>1467</v>
      </c>
      <c r="P89" s="466" t="s">
        <v>49</v>
      </c>
      <c r="Q89" s="466" t="s">
        <v>148</v>
      </c>
      <c r="R89" s="466" t="s">
        <v>49</v>
      </c>
      <c r="S89" s="466">
        <v>4</v>
      </c>
      <c r="T89" s="466">
        <v>7</v>
      </c>
      <c r="U89" s="466">
        <v>3</v>
      </c>
      <c r="V89" s="466">
        <v>2</v>
      </c>
      <c r="W89">
        <v>1</v>
      </c>
      <c r="X89">
        <v>1</v>
      </c>
      <c r="Y89">
        <v>0</v>
      </c>
      <c r="Z89">
        <v>1</v>
      </c>
      <c r="AA89" t="b">
        <v>0</v>
      </c>
      <c r="AB89" t="b">
        <v>1</v>
      </c>
      <c r="AC89">
        <v>0.66999999999999993</v>
      </c>
      <c r="AD89">
        <v>0.66999999999999993</v>
      </c>
      <c r="AE89">
        <v>1.67</v>
      </c>
      <c r="AF89">
        <v>0</v>
      </c>
      <c r="AG89">
        <v>1</v>
      </c>
      <c r="AH89">
        <v>0</v>
      </c>
      <c r="AI89" t="s">
        <v>49</v>
      </c>
    </row>
    <row r="90" spans="1:35" ht="12.75">
      <c r="A90" s="667" t="s">
        <v>49</v>
      </c>
      <c r="B90" s="668">
        <v>2</v>
      </c>
      <c r="C90" s="669" t="s">
        <v>1470</v>
      </c>
      <c r="D90" s="670" t="s">
        <v>69</v>
      </c>
      <c r="E90" s="670" t="s">
        <v>82</v>
      </c>
      <c r="F90" s="670" t="s">
        <v>115</v>
      </c>
      <c r="G90" s="670">
        <v>0</v>
      </c>
      <c r="H90" s="670">
        <v>0</v>
      </c>
      <c r="I90" s="670">
        <v>0.66</v>
      </c>
      <c r="J90" s="670">
        <v>0.33</v>
      </c>
      <c r="K90" s="670" t="s">
        <v>182</v>
      </c>
      <c r="L90" s="670" t="s">
        <v>49</v>
      </c>
      <c r="M90" s="669">
        <v>2</v>
      </c>
      <c r="N90" s="670">
        <v>3</v>
      </c>
      <c r="O90" s="671" t="s">
        <v>1471</v>
      </c>
      <c r="P90" s="466" t="s">
        <v>49</v>
      </c>
      <c r="Q90" s="466" t="s">
        <v>148</v>
      </c>
      <c r="R90" s="466" t="s">
        <v>49</v>
      </c>
      <c r="S90" s="466">
        <v>4</v>
      </c>
      <c r="T90" s="466">
        <v>7</v>
      </c>
      <c r="U90" s="466">
        <v>10</v>
      </c>
      <c r="V90" s="466">
        <v>3</v>
      </c>
      <c r="W90">
        <v>0</v>
      </c>
      <c r="X90">
        <v>0</v>
      </c>
      <c r="Y90">
        <v>0</v>
      </c>
      <c r="Z90">
        <v>0</v>
      </c>
      <c r="AA90" t="b">
        <v>1</v>
      </c>
      <c r="AB90" t="b">
        <v>1</v>
      </c>
      <c r="AC90">
        <v>0.33999999999999997</v>
      </c>
      <c r="AD90">
        <v>0.66999999999999993</v>
      </c>
      <c r="AE90">
        <v>1.0099999999999998</v>
      </c>
      <c r="AF90">
        <v>0</v>
      </c>
      <c r="AG90">
        <v>0</v>
      </c>
      <c r="AH90">
        <v>0</v>
      </c>
      <c r="AI90" t="s">
        <v>49</v>
      </c>
    </row>
    <row r="91" spans="1:35" ht="12.75">
      <c r="A91" s="667" t="s">
        <v>49</v>
      </c>
      <c r="B91" s="668">
        <v>3</v>
      </c>
      <c r="C91" s="669" t="s">
        <v>1478</v>
      </c>
      <c r="D91" s="670" t="s">
        <v>69</v>
      </c>
      <c r="E91" s="670" t="s">
        <v>82</v>
      </c>
      <c r="F91" s="670" t="s">
        <v>115</v>
      </c>
      <c r="G91" s="670">
        <v>0</v>
      </c>
      <c r="H91" s="670">
        <v>0</v>
      </c>
      <c r="I91" s="670">
        <v>0.33</v>
      </c>
      <c r="J91" s="670">
        <v>0.33</v>
      </c>
      <c r="K91" s="670" t="s">
        <v>182</v>
      </c>
      <c r="L91" s="670" t="s">
        <v>49</v>
      </c>
      <c r="M91" s="669">
        <v>4</v>
      </c>
      <c r="N91" s="670">
        <v>2</v>
      </c>
      <c r="O91" s="671" t="s">
        <v>1479</v>
      </c>
      <c r="P91" s="466" t="s">
        <v>184</v>
      </c>
      <c r="Q91" s="466" t="s">
        <v>148</v>
      </c>
      <c r="R91" s="466" t="s">
        <v>49</v>
      </c>
      <c r="S91" s="466">
        <v>4</v>
      </c>
      <c r="T91" s="466">
        <v>7</v>
      </c>
      <c r="U91" s="466">
        <v>10</v>
      </c>
      <c r="V91" s="466">
        <v>3</v>
      </c>
      <c r="W91">
        <v>0</v>
      </c>
      <c r="X91">
        <v>0</v>
      </c>
      <c r="Y91">
        <v>0</v>
      </c>
      <c r="Z91">
        <v>0</v>
      </c>
      <c r="AA91" t="b">
        <v>1</v>
      </c>
      <c r="AB91" t="b">
        <v>1</v>
      </c>
      <c r="AC91">
        <v>0.66999999999999993</v>
      </c>
      <c r="AD91">
        <v>0.66999999999999993</v>
      </c>
      <c r="AE91">
        <v>1.3399999999999999</v>
      </c>
      <c r="AF91">
        <v>0</v>
      </c>
      <c r="AG91">
        <v>0</v>
      </c>
      <c r="AH91">
        <v>0</v>
      </c>
      <c r="AI91" t="s">
        <v>49</v>
      </c>
    </row>
    <row r="92" spans="1:35" ht="12.75">
      <c r="A92" s="667" t="s">
        <v>49</v>
      </c>
      <c r="B92" s="668">
        <v>3</v>
      </c>
      <c r="C92" s="669" t="s">
        <v>1480</v>
      </c>
      <c r="D92" s="670" t="s">
        <v>69</v>
      </c>
      <c r="E92" s="670" t="s">
        <v>82</v>
      </c>
      <c r="F92" s="670" t="s">
        <v>8</v>
      </c>
      <c r="G92" s="670">
        <v>1</v>
      </c>
      <c r="H92" s="670">
        <v>0</v>
      </c>
      <c r="I92" s="670">
        <v>0.33</v>
      </c>
      <c r="J92" s="670">
        <v>0.33</v>
      </c>
      <c r="K92" s="670" t="s">
        <v>146</v>
      </c>
      <c r="L92" s="670" t="s">
        <v>49</v>
      </c>
      <c r="M92" s="669"/>
      <c r="N92" s="670"/>
      <c r="O92" s="671" t="s">
        <v>1481</v>
      </c>
      <c r="P92" s="466" t="s">
        <v>49</v>
      </c>
      <c r="Q92" s="466" t="s">
        <v>148</v>
      </c>
      <c r="R92" s="466" t="s">
        <v>49</v>
      </c>
      <c r="S92" s="466">
        <v>4</v>
      </c>
      <c r="T92" s="466">
        <v>7</v>
      </c>
      <c r="U92" s="466">
        <v>1</v>
      </c>
      <c r="V92" s="466">
        <v>2</v>
      </c>
      <c r="W92">
        <v>1</v>
      </c>
      <c r="X92">
        <v>1</v>
      </c>
      <c r="Y92">
        <v>0</v>
      </c>
      <c r="Z92">
        <v>1</v>
      </c>
      <c r="AA92" t="b">
        <v>0</v>
      </c>
      <c r="AB92" t="b">
        <v>1</v>
      </c>
      <c r="AC92">
        <v>0.66999999999999993</v>
      </c>
      <c r="AD92">
        <v>0.66999999999999993</v>
      </c>
      <c r="AE92">
        <v>1.67</v>
      </c>
      <c r="AF92">
        <v>0</v>
      </c>
      <c r="AG92">
        <v>1</v>
      </c>
      <c r="AH92">
        <v>0</v>
      </c>
      <c r="AI92" t="s">
        <v>49</v>
      </c>
    </row>
    <row r="93" spans="1:35" ht="12.75">
      <c r="A93" s="667" t="s">
        <v>49</v>
      </c>
      <c r="B93" s="668">
        <v>3</v>
      </c>
      <c r="C93" s="669" t="s">
        <v>1482</v>
      </c>
      <c r="D93" s="670" t="s">
        <v>69</v>
      </c>
      <c r="E93" s="670" t="s">
        <v>82</v>
      </c>
      <c r="F93" s="670" t="s">
        <v>18</v>
      </c>
      <c r="G93" s="670">
        <v>1</v>
      </c>
      <c r="H93" s="670">
        <v>0</v>
      </c>
      <c r="I93" s="670">
        <v>0.33</v>
      </c>
      <c r="J93" s="670">
        <v>0.33</v>
      </c>
      <c r="K93" s="670" t="s">
        <v>182</v>
      </c>
      <c r="L93" s="670" t="s">
        <v>49</v>
      </c>
      <c r="M93" s="669">
        <v>3</v>
      </c>
      <c r="N93" s="670">
        <v>3</v>
      </c>
      <c r="O93" s="671" t="s">
        <v>1483</v>
      </c>
      <c r="P93" s="466" t="s">
        <v>49</v>
      </c>
      <c r="Q93" s="466" t="s">
        <v>148</v>
      </c>
      <c r="R93" s="466" t="s">
        <v>49</v>
      </c>
      <c r="S93" s="466">
        <v>4</v>
      </c>
      <c r="T93" s="466">
        <v>7</v>
      </c>
      <c r="U93" s="466">
        <v>5</v>
      </c>
      <c r="V93" s="466">
        <v>3</v>
      </c>
      <c r="W93">
        <v>1</v>
      </c>
      <c r="X93">
        <v>1</v>
      </c>
      <c r="Y93">
        <v>0</v>
      </c>
      <c r="Z93">
        <v>1</v>
      </c>
      <c r="AA93" t="b">
        <v>0</v>
      </c>
      <c r="AB93" t="b">
        <v>1</v>
      </c>
      <c r="AC93">
        <v>0.66999999999999993</v>
      </c>
      <c r="AD93">
        <v>0.66999999999999993</v>
      </c>
      <c r="AE93">
        <v>1.67</v>
      </c>
      <c r="AF93">
        <v>0</v>
      </c>
      <c r="AG93">
        <v>1</v>
      </c>
      <c r="AH93">
        <v>0</v>
      </c>
      <c r="AI93" t="s">
        <v>49</v>
      </c>
    </row>
    <row r="94" spans="1:35" ht="12.75">
      <c r="A94" s="667" t="s">
        <v>49</v>
      </c>
      <c r="B94" s="668">
        <v>4</v>
      </c>
      <c r="C94" s="669" t="s">
        <v>1488</v>
      </c>
      <c r="D94" s="670" t="s">
        <v>69</v>
      </c>
      <c r="E94" s="670" t="s">
        <v>82</v>
      </c>
      <c r="F94" s="670" t="s">
        <v>21</v>
      </c>
      <c r="G94" s="670">
        <v>0</v>
      </c>
      <c r="H94" s="670">
        <v>0</v>
      </c>
      <c r="I94" s="670">
        <v>0.33</v>
      </c>
      <c r="J94" s="670">
        <v>0</v>
      </c>
      <c r="K94" s="670" t="s">
        <v>207</v>
      </c>
      <c r="L94" s="670" t="s">
        <v>49</v>
      </c>
      <c r="M94" s="669">
        <v>2</v>
      </c>
      <c r="N94" s="670">
        <v>4</v>
      </c>
      <c r="O94" s="671" t="s">
        <v>1489</v>
      </c>
      <c r="P94" s="466" t="s">
        <v>49</v>
      </c>
      <c r="Q94" s="466" t="s">
        <v>148</v>
      </c>
      <c r="R94" s="466" t="s">
        <v>49</v>
      </c>
      <c r="S94" s="466">
        <v>4</v>
      </c>
      <c r="T94" s="466">
        <v>7</v>
      </c>
      <c r="U94" s="466">
        <v>7</v>
      </c>
      <c r="V94" s="466">
        <v>1</v>
      </c>
      <c r="W94">
        <v>0</v>
      </c>
      <c r="X94">
        <v>0</v>
      </c>
      <c r="Y94">
        <v>0</v>
      </c>
      <c r="Z94">
        <v>0</v>
      </c>
      <c r="AA94" t="b">
        <v>1</v>
      </c>
      <c r="AB94" t="b">
        <v>1</v>
      </c>
      <c r="AC94">
        <v>0.66999999999999993</v>
      </c>
      <c r="AD94">
        <v>1</v>
      </c>
      <c r="AE94">
        <v>1.67</v>
      </c>
      <c r="AF94">
        <v>0</v>
      </c>
      <c r="AG94">
        <v>0</v>
      </c>
      <c r="AH94">
        <v>0</v>
      </c>
      <c r="AI94" t="s">
        <v>49</v>
      </c>
    </row>
    <row r="95" spans="1:35" ht="12.75">
      <c r="A95" s="667" t="s">
        <v>49</v>
      </c>
      <c r="B95" s="668">
        <v>4</v>
      </c>
      <c r="C95" s="669" t="s">
        <v>1490</v>
      </c>
      <c r="D95" s="670" t="s">
        <v>69</v>
      </c>
      <c r="E95" s="670" t="s">
        <v>82</v>
      </c>
      <c r="F95" s="670" t="s">
        <v>115</v>
      </c>
      <c r="G95" s="670">
        <v>1</v>
      </c>
      <c r="H95" s="670">
        <v>0</v>
      </c>
      <c r="I95" s="670">
        <v>0.33</v>
      </c>
      <c r="J95" s="670">
        <v>0</v>
      </c>
      <c r="K95" s="670" t="s">
        <v>182</v>
      </c>
      <c r="L95" s="670" t="s">
        <v>49</v>
      </c>
      <c r="M95" s="669">
        <v>4</v>
      </c>
      <c r="N95" s="670">
        <v>4</v>
      </c>
      <c r="O95" s="671" t="s">
        <v>1491</v>
      </c>
      <c r="P95" s="466" t="s">
        <v>49</v>
      </c>
      <c r="Q95" s="466" t="s">
        <v>148</v>
      </c>
      <c r="R95" s="466" t="s">
        <v>49</v>
      </c>
      <c r="S95" s="466">
        <v>4</v>
      </c>
      <c r="T95" s="466">
        <v>7</v>
      </c>
      <c r="U95" s="466">
        <v>10</v>
      </c>
      <c r="V95" s="466">
        <v>3</v>
      </c>
      <c r="W95">
        <v>1</v>
      </c>
      <c r="X95">
        <v>1</v>
      </c>
      <c r="Y95">
        <v>0</v>
      </c>
      <c r="Z95">
        <v>1</v>
      </c>
      <c r="AA95" t="b">
        <v>0</v>
      </c>
      <c r="AB95" t="b">
        <v>1</v>
      </c>
      <c r="AC95">
        <v>0.66999999999999993</v>
      </c>
      <c r="AD95">
        <v>1</v>
      </c>
      <c r="AE95">
        <v>2</v>
      </c>
      <c r="AF95">
        <v>0</v>
      </c>
      <c r="AG95">
        <v>1</v>
      </c>
      <c r="AH95">
        <v>0</v>
      </c>
      <c r="AI95" t="s">
        <v>49</v>
      </c>
    </row>
    <row r="96" spans="1:35" ht="12.75">
      <c r="A96" s="667" t="s">
        <v>49</v>
      </c>
      <c r="B96" s="668">
        <v>4</v>
      </c>
      <c r="C96" s="669" t="s">
        <v>1494</v>
      </c>
      <c r="D96" s="670" t="s">
        <v>69</v>
      </c>
      <c r="E96" s="670" t="s">
        <v>82</v>
      </c>
      <c r="F96" s="670" t="s">
        <v>26</v>
      </c>
      <c r="G96" s="670">
        <v>0</v>
      </c>
      <c r="H96" s="670">
        <v>0</v>
      </c>
      <c r="I96" s="670">
        <v>0</v>
      </c>
      <c r="J96" s="670">
        <v>0</v>
      </c>
      <c r="K96" s="670" t="s">
        <v>182</v>
      </c>
      <c r="L96" s="670" t="s">
        <v>49</v>
      </c>
      <c r="M96" s="669">
        <v>5</v>
      </c>
      <c r="N96" s="670">
        <v>3</v>
      </c>
      <c r="O96" s="671" t="s">
        <v>1135</v>
      </c>
      <c r="P96" s="466" t="s">
        <v>49</v>
      </c>
      <c r="Q96" s="466" t="s">
        <v>148</v>
      </c>
      <c r="R96" s="466" t="s">
        <v>49</v>
      </c>
      <c r="S96" s="466">
        <v>4</v>
      </c>
      <c r="T96" s="466">
        <v>7</v>
      </c>
      <c r="U96" s="466">
        <v>9</v>
      </c>
      <c r="V96" s="466">
        <v>3</v>
      </c>
      <c r="W96">
        <v>0</v>
      </c>
      <c r="X96">
        <v>0</v>
      </c>
      <c r="Y96">
        <v>0</v>
      </c>
      <c r="Z96">
        <v>0</v>
      </c>
      <c r="AA96" t="b">
        <v>1</v>
      </c>
      <c r="AB96" t="b">
        <v>1</v>
      </c>
      <c r="AC96">
        <v>1</v>
      </c>
      <c r="AD96">
        <v>1</v>
      </c>
      <c r="AE96">
        <v>2</v>
      </c>
      <c r="AF96">
        <v>0</v>
      </c>
      <c r="AG96">
        <v>0</v>
      </c>
      <c r="AH96">
        <v>0</v>
      </c>
      <c r="AI96" t="s">
        <v>49</v>
      </c>
    </row>
    <row r="97" spans="1:35" ht="12.75">
      <c r="A97" s="667" t="s">
        <v>49</v>
      </c>
      <c r="B97" s="668">
        <v>4</v>
      </c>
      <c r="C97" s="669" t="s">
        <v>1495</v>
      </c>
      <c r="D97" s="670" t="s">
        <v>69</v>
      </c>
      <c r="E97" s="670" t="s">
        <v>82</v>
      </c>
      <c r="F97" s="670" t="s">
        <v>20</v>
      </c>
      <c r="G97" s="670">
        <v>0</v>
      </c>
      <c r="H97" s="670">
        <v>0</v>
      </c>
      <c r="I97" s="670">
        <v>0</v>
      </c>
      <c r="J97" s="670">
        <v>0</v>
      </c>
      <c r="K97" s="670" t="s">
        <v>207</v>
      </c>
      <c r="L97" s="670" t="s">
        <v>49</v>
      </c>
      <c r="M97" s="669">
        <v>1</v>
      </c>
      <c r="N97" s="670">
        <v>3</v>
      </c>
      <c r="O97" s="671" t="s">
        <v>1496</v>
      </c>
      <c r="P97" s="466" t="s">
        <v>49</v>
      </c>
      <c r="Q97" s="466" t="s">
        <v>148</v>
      </c>
      <c r="R97" s="466" t="s">
        <v>49</v>
      </c>
      <c r="S97" s="466">
        <v>4</v>
      </c>
      <c r="T97" s="466">
        <v>7</v>
      </c>
      <c r="U97" s="466">
        <v>6</v>
      </c>
      <c r="V97" s="466">
        <v>1</v>
      </c>
      <c r="W97">
        <v>0</v>
      </c>
      <c r="X97">
        <v>0</v>
      </c>
      <c r="Y97">
        <v>0</v>
      </c>
      <c r="Z97">
        <v>0</v>
      </c>
      <c r="AA97" t="b">
        <v>1</v>
      </c>
      <c r="AB97" t="b">
        <v>1</v>
      </c>
      <c r="AC97">
        <v>1</v>
      </c>
      <c r="AD97">
        <v>1</v>
      </c>
      <c r="AE97">
        <v>2</v>
      </c>
      <c r="AF97">
        <v>0</v>
      </c>
      <c r="AG97">
        <v>0</v>
      </c>
      <c r="AH97">
        <v>0</v>
      </c>
      <c r="AI97" t="s">
        <v>49</v>
      </c>
    </row>
    <row r="98" spans="1:35" ht="12.75">
      <c r="A98" s="667" t="s">
        <v>49</v>
      </c>
      <c r="B98" s="668">
        <v>5</v>
      </c>
      <c r="C98" s="669" t="s">
        <v>1499</v>
      </c>
      <c r="D98" s="670" t="s">
        <v>69</v>
      </c>
      <c r="E98" s="670" t="s">
        <v>82</v>
      </c>
      <c r="F98" s="670" t="s">
        <v>115</v>
      </c>
      <c r="G98" s="670">
        <v>1</v>
      </c>
      <c r="H98" s="670">
        <v>0</v>
      </c>
      <c r="I98" s="670">
        <v>0</v>
      </c>
      <c r="J98" s="670">
        <v>0</v>
      </c>
      <c r="K98" s="670" t="s">
        <v>182</v>
      </c>
      <c r="L98" s="670" t="s">
        <v>49</v>
      </c>
      <c r="M98" s="669">
        <v>5</v>
      </c>
      <c r="N98" s="670">
        <v>4</v>
      </c>
      <c r="O98" s="671" t="s">
        <v>1500</v>
      </c>
      <c r="P98" s="466" t="s">
        <v>1374</v>
      </c>
      <c r="Q98" s="466" t="s">
        <v>148</v>
      </c>
      <c r="R98" s="466" t="s">
        <v>49</v>
      </c>
      <c r="S98" s="466">
        <v>4</v>
      </c>
      <c r="T98" s="466">
        <v>7</v>
      </c>
      <c r="U98" s="466">
        <v>10</v>
      </c>
      <c r="V98" s="466">
        <v>3</v>
      </c>
      <c r="W98">
        <v>1</v>
      </c>
      <c r="X98">
        <v>1</v>
      </c>
      <c r="Y98">
        <v>0</v>
      </c>
      <c r="Z98">
        <v>1</v>
      </c>
      <c r="AA98" t="b">
        <v>0</v>
      </c>
      <c r="AB98" t="b">
        <v>1</v>
      </c>
      <c r="AC98">
        <v>1</v>
      </c>
      <c r="AD98">
        <v>1</v>
      </c>
      <c r="AE98">
        <v>2</v>
      </c>
      <c r="AF98">
        <v>0</v>
      </c>
      <c r="AG98">
        <v>1</v>
      </c>
      <c r="AH98">
        <v>0</v>
      </c>
      <c r="AI98" t="s">
        <v>49</v>
      </c>
    </row>
    <row r="99" spans="1:35" ht="12.75">
      <c r="A99" s="667" t="s">
        <v>49</v>
      </c>
      <c r="B99" s="668">
        <v>6</v>
      </c>
      <c r="C99" s="669" t="s">
        <v>1501</v>
      </c>
      <c r="D99" s="670" t="s">
        <v>69</v>
      </c>
      <c r="E99" s="670" t="s">
        <v>82</v>
      </c>
      <c r="F99" s="670" t="s">
        <v>13</v>
      </c>
      <c r="G99" s="670">
        <v>1</v>
      </c>
      <c r="H99" s="670">
        <v>0</v>
      </c>
      <c r="I99" s="670">
        <v>1</v>
      </c>
      <c r="J99" s="670">
        <v>1</v>
      </c>
      <c r="K99" s="670" t="s">
        <v>182</v>
      </c>
      <c r="L99" s="670" t="s">
        <v>415</v>
      </c>
      <c r="M99" s="669">
        <v>6</v>
      </c>
      <c r="N99" s="670">
        <v>6</v>
      </c>
      <c r="O99" s="671" t="s">
        <v>1502</v>
      </c>
      <c r="P99" s="466" t="s">
        <v>49</v>
      </c>
      <c r="Q99" s="466" t="s">
        <v>148</v>
      </c>
      <c r="R99" s="466" t="s">
        <v>49</v>
      </c>
      <c r="S99" s="466">
        <v>4</v>
      </c>
      <c r="T99" s="466">
        <v>7</v>
      </c>
      <c r="U99" s="466">
        <v>3</v>
      </c>
      <c r="V99" s="466">
        <v>3</v>
      </c>
      <c r="W99">
        <v>1</v>
      </c>
      <c r="X99">
        <v>1</v>
      </c>
      <c r="Y99">
        <v>0</v>
      </c>
      <c r="Z99">
        <v>1</v>
      </c>
      <c r="AA99" t="b">
        <v>0</v>
      </c>
      <c r="AB99" t="b">
        <v>1</v>
      </c>
      <c r="AC99">
        <v>0</v>
      </c>
      <c r="AD99">
        <v>0</v>
      </c>
      <c r="AE99">
        <v>1</v>
      </c>
      <c r="AF99">
        <v>0</v>
      </c>
      <c r="AG99">
        <v>1</v>
      </c>
      <c r="AH99">
        <v>0</v>
      </c>
      <c r="AI99" t="s">
        <v>49</v>
      </c>
    </row>
    <row r="100" spans="1:35" ht="12.75">
      <c r="A100" s="667" t="s">
        <v>49</v>
      </c>
      <c r="B100" s="668">
        <v>6</v>
      </c>
      <c r="C100" s="669" t="s">
        <v>1509</v>
      </c>
      <c r="D100" s="670" t="s">
        <v>69</v>
      </c>
      <c r="E100" s="670" t="s">
        <v>82</v>
      </c>
      <c r="F100" s="670" t="s">
        <v>115</v>
      </c>
      <c r="G100" s="670">
        <v>0</v>
      </c>
      <c r="H100" s="670">
        <v>0</v>
      </c>
      <c r="I100" s="670">
        <v>0.33</v>
      </c>
      <c r="J100" s="670">
        <v>0.33</v>
      </c>
      <c r="K100" s="670" t="s">
        <v>182</v>
      </c>
      <c r="L100" s="670" t="s">
        <v>49</v>
      </c>
      <c r="M100" s="669">
        <v>3</v>
      </c>
      <c r="N100" s="670">
        <v>5</v>
      </c>
      <c r="O100" s="671" t="s">
        <v>1510</v>
      </c>
      <c r="P100" s="466" t="s">
        <v>1374</v>
      </c>
      <c r="Q100" s="466" t="s">
        <v>148</v>
      </c>
      <c r="R100" s="466" t="s">
        <v>49</v>
      </c>
      <c r="S100" s="466">
        <v>4</v>
      </c>
      <c r="T100" s="466">
        <v>7</v>
      </c>
      <c r="U100" s="466">
        <v>10</v>
      </c>
      <c r="V100" s="466">
        <v>3</v>
      </c>
      <c r="W100">
        <v>0</v>
      </c>
      <c r="X100">
        <v>0</v>
      </c>
      <c r="Y100">
        <v>0</v>
      </c>
      <c r="Z100">
        <v>0</v>
      </c>
      <c r="AA100" t="b">
        <v>1</v>
      </c>
      <c r="AB100" t="b">
        <v>1</v>
      </c>
      <c r="AC100">
        <v>0.66999999999999993</v>
      </c>
      <c r="AD100">
        <v>0.66999999999999993</v>
      </c>
      <c r="AE100">
        <v>1.3399999999999999</v>
      </c>
      <c r="AF100">
        <v>0</v>
      </c>
      <c r="AG100">
        <v>0</v>
      </c>
      <c r="AH100">
        <v>0</v>
      </c>
      <c r="AI100" t="s">
        <v>49</v>
      </c>
    </row>
    <row r="101" spans="1:35" ht="12.75">
      <c r="A101" s="667" t="s">
        <v>49</v>
      </c>
      <c r="B101" s="668">
        <v>6</v>
      </c>
      <c r="C101" s="669" t="s">
        <v>1513</v>
      </c>
      <c r="D101" s="670" t="s">
        <v>69</v>
      </c>
      <c r="E101" s="670" t="s">
        <v>82</v>
      </c>
      <c r="F101" s="670" t="s">
        <v>26</v>
      </c>
      <c r="G101" s="670">
        <v>0</v>
      </c>
      <c r="H101" s="670">
        <v>0</v>
      </c>
      <c r="I101" s="670">
        <v>0</v>
      </c>
      <c r="J101" s="670">
        <v>0</v>
      </c>
      <c r="K101" s="670" t="s">
        <v>182</v>
      </c>
      <c r="L101" s="670" t="s">
        <v>49</v>
      </c>
      <c r="M101" s="669">
        <v>6</v>
      </c>
      <c r="N101" s="670">
        <v>7</v>
      </c>
      <c r="O101" s="671" t="s">
        <v>1514</v>
      </c>
      <c r="P101" s="466" t="s">
        <v>49</v>
      </c>
      <c r="Q101" s="466" t="s">
        <v>148</v>
      </c>
      <c r="R101" s="466" t="s">
        <v>49</v>
      </c>
      <c r="S101" s="466">
        <v>4</v>
      </c>
      <c r="T101" s="466">
        <v>7</v>
      </c>
      <c r="U101" s="466">
        <v>9</v>
      </c>
      <c r="V101" s="466">
        <v>3</v>
      </c>
      <c r="W101">
        <v>0</v>
      </c>
      <c r="X101">
        <v>0</v>
      </c>
      <c r="Y101">
        <v>0</v>
      </c>
      <c r="Z101">
        <v>0</v>
      </c>
      <c r="AA101" t="b">
        <v>1</v>
      </c>
      <c r="AB101" t="b">
        <v>1</v>
      </c>
      <c r="AC101">
        <v>1</v>
      </c>
      <c r="AD101">
        <v>1</v>
      </c>
      <c r="AE101">
        <v>2</v>
      </c>
      <c r="AF101">
        <v>0</v>
      </c>
      <c r="AG101">
        <v>0</v>
      </c>
      <c r="AH101">
        <v>0</v>
      </c>
      <c r="AI101" t="s">
        <v>49</v>
      </c>
    </row>
    <row r="102" spans="1:35" ht="12.75">
      <c r="A102" s="667" t="s">
        <v>49</v>
      </c>
      <c r="B102" s="668">
        <v>6</v>
      </c>
      <c r="C102" s="669" t="s">
        <v>1515</v>
      </c>
      <c r="D102" s="670" t="s">
        <v>69</v>
      </c>
      <c r="E102" s="670" t="s">
        <v>82</v>
      </c>
      <c r="F102" s="670" t="s">
        <v>115</v>
      </c>
      <c r="G102" s="670">
        <v>1</v>
      </c>
      <c r="H102" s="670">
        <v>0</v>
      </c>
      <c r="I102" s="670">
        <v>0</v>
      </c>
      <c r="J102" s="670">
        <v>0</v>
      </c>
      <c r="K102" s="670" t="s">
        <v>182</v>
      </c>
      <c r="L102" s="670" t="s">
        <v>49</v>
      </c>
      <c r="M102" s="669">
        <v>6</v>
      </c>
      <c r="N102" s="670">
        <v>5</v>
      </c>
      <c r="O102" s="671" t="s">
        <v>1516</v>
      </c>
      <c r="P102" s="466" t="s">
        <v>184</v>
      </c>
      <c r="Q102" s="466" t="s">
        <v>148</v>
      </c>
      <c r="R102" s="466" t="s">
        <v>49</v>
      </c>
      <c r="S102" s="466">
        <v>4</v>
      </c>
      <c r="T102" s="466">
        <v>7</v>
      </c>
      <c r="U102" s="466">
        <v>10</v>
      </c>
      <c r="V102" s="466">
        <v>3</v>
      </c>
      <c r="W102">
        <v>1</v>
      </c>
      <c r="X102">
        <v>1</v>
      </c>
      <c r="Y102">
        <v>0</v>
      </c>
      <c r="Z102">
        <v>1</v>
      </c>
      <c r="AA102" t="b">
        <v>0</v>
      </c>
      <c r="AB102" t="b">
        <v>1</v>
      </c>
      <c r="AC102">
        <v>1</v>
      </c>
      <c r="AD102">
        <v>1</v>
      </c>
      <c r="AE102">
        <v>2</v>
      </c>
      <c r="AF102">
        <v>0</v>
      </c>
      <c r="AG102">
        <v>1</v>
      </c>
      <c r="AH102">
        <v>0</v>
      </c>
      <c r="AI102" t="s">
        <v>49</v>
      </c>
    </row>
    <row r="103" spans="1:35" ht="12.75">
      <c r="A103" s="667" t="s">
        <v>49</v>
      </c>
      <c r="B103" s="668">
        <v>3</v>
      </c>
      <c r="C103" s="669" t="s">
        <v>1521</v>
      </c>
      <c r="D103" s="670" t="s">
        <v>70</v>
      </c>
      <c r="E103" s="670" t="s">
        <v>82</v>
      </c>
      <c r="F103" s="670" t="s">
        <v>115</v>
      </c>
      <c r="G103" s="670">
        <v>0</v>
      </c>
      <c r="H103" s="670">
        <v>0</v>
      </c>
      <c r="I103" s="670">
        <v>0.33</v>
      </c>
      <c r="J103" s="670"/>
      <c r="K103" s="670" t="s">
        <v>182</v>
      </c>
      <c r="L103" s="670" t="s">
        <v>49</v>
      </c>
      <c r="M103" s="669">
        <v>3</v>
      </c>
      <c r="N103" s="670">
        <v>4</v>
      </c>
      <c r="O103" s="671" t="s">
        <v>1522</v>
      </c>
      <c r="P103" s="466" t="s">
        <v>49</v>
      </c>
      <c r="Q103" s="466" t="s">
        <v>148</v>
      </c>
      <c r="R103" s="466" t="s">
        <v>49</v>
      </c>
      <c r="S103" s="466">
        <v>5</v>
      </c>
      <c r="T103" s="466">
        <v>7</v>
      </c>
      <c r="U103" s="466">
        <v>10</v>
      </c>
      <c r="V103" s="466">
        <v>3</v>
      </c>
      <c r="W103">
        <v>0</v>
      </c>
      <c r="X103">
        <v>0</v>
      </c>
      <c r="Y103">
        <v>0</v>
      </c>
      <c r="Z103">
        <v>1</v>
      </c>
      <c r="AA103" t="b">
        <v>1</v>
      </c>
      <c r="AB103" t="b">
        <v>0</v>
      </c>
      <c r="AC103">
        <v>0.66999999999999993</v>
      </c>
      <c r="AD103">
        <v>1</v>
      </c>
      <c r="AE103">
        <v>0.66999999999999993</v>
      </c>
      <c r="AF103">
        <v>0</v>
      </c>
      <c r="AG103">
        <v>0</v>
      </c>
      <c r="AH103">
        <v>0</v>
      </c>
      <c r="AI103" t="s">
        <v>49</v>
      </c>
    </row>
    <row r="104" spans="1:35" ht="12.75">
      <c r="A104" s="667" t="s">
        <v>49</v>
      </c>
      <c r="B104" s="668">
        <v>5</v>
      </c>
      <c r="C104" s="669" t="s">
        <v>1527</v>
      </c>
      <c r="D104" s="670" t="s">
        <v>70</v>
      </c>
      <c r="E104" s="670" t="s">
        <v>82</v>
      </c>
      <c r="F104" s="670" t="s">
        <v>115</v>
      </c>
      <c r="G104" s="670">
        <v>0</v>
      </c>
      <c r="H104" s="670">
        <v>0</v>
      </c>
      <c r="I104" s="670">
        <v>0.66</v>
      </c>
      <c r="J104" s="670"/>
      <c r="K104" s="670" t="s">
        <v>182</v>
      </c>
      <c r="L104" s="670" t="s">
        <v>49</v>
      </c>
      <c r="M104" s="669">
        <v>4</v>
      </c>
      <c r="N104" s="670">
        <v>5</v>
      </c>
      <c r="O104" s="671" t="s">
        <v>1528</v>
      </c>
      <c r="P104" s="466" t="s">
        <v>1374</v>
      </c>
      <c r="Q104" s="466" t="s">
        <v>148</v>
      </c>
      <c r="R104" s="466" t="s">
        <v>49</v>
      </c>
      <c r="S104" s="466">
        <v>5</v>
      </c>
      <c r="T104" s="466">
        <v>7</v>
      </c>
      <c r="U104" s="466">
        <v>10</v>
      </c>
      <c r="V104" s="466">
        <v>3</v>
      </c>
      <c r="W104">
        <v>0</v>
      </c>
      <c r="X104">
        <v>0</v>
      </c>
      <c r="Y104">
        <v>0</v>
      </c>
      <c r="Z104">
        <v>1</v>
      </c>
      <c r="AA104" t="b">
        <v>1</v>
      </c>
      <c r="AB104" t="b">
        <v>0</v>
      </c>
      <c r="AC104">
        <v>0.33999999999999997</v>
      </c>
      <c r="AD104">
        <v>1</v>
      </c>
      <c r="AE104">
        <v>0.33999999999999997</v>
      </c>
      <c r="AF104">
        <v>0</v>
      </c>
      <c r="AG104">
        <v>0</v>
      </c>
      <c r="AH104">
        <v>0</v>
      </c>
      <c r="AI104" t="s">
        <v>49</v>
      </c>
    </row>
    <row r="105" spans="1:35" ht="12.75">
      <c r="A105" s="667" t="s">
        <v>49</v>
      </c>
      <c r="B105" s="668">
        <v>6</v>
      </c>
      <c r="C105" s="669" t="s">
        <v>1529</v>
      </c>
      <c r="D105" s="670" t="s">
        <v>70</v>
      </c>
      <c r="E105" s="670" t="s">
        <v>82</v>
      </c>
      <c r="F105" s="670" t="s">
        <v>115</v>
      </c>
      <c r="G105" s="670">
        <v>0</v>
      </c>
      <c r="H105" s="670">
        <v>0</v>
      </c>
      <c r="I105" s="670">
        <v>0</v>
      </c>
      <c r="J105" s="670"/>
      <c r="K105" s="670" t="s">
        <v>182</v>
      </c>
      <c r="L105" s="670" t="s">
        <v>49</v>
      </c>
      <c r="M105" s="669">
        <v>3</v>
      </c>
      <c r="N105" s="670">
        <v>9</v>
      </c>
      <c r="O105" s="671" t="s">
        <v>1530</v>
      </c>
      <c r="P105" s="466" t="s">
        <v>193</v>
      </c>
      <c r="Q105" s="466" t="s">
        <v>148</v>
      </c>
      <c r="R105" s="466" t="s">
        <v>49</v>
      </c>
      <c r="S105" s="466">
        <v>5</v>
      </c>
      <c r="T105" s="466">
        <v>7</v>
      </c>
      <c r="U105" s="466">
        <v>10</v>
      </c>
      <c r="V105" s="466">
        <v>3</v>
      </c>
      <c r="W105">
        <v>0</v>
      </c>
      <c r="X105">
        <v>0</v>
      </c>
      <c r="Y105">
        <v>0</v>
      </c>
      <c r="Z105">
        <v>1</v>
      </c>
      <c r="AA105" t="b">
        <v>1</v>
      </c>
      <c r="AB105" t="b">
        <v>0</v>
      </c>
      <c r="AC105">
        <v>1</v>
      </c>
      <c r="AD105">
        <v>1</v>
      </c>
      <c r="AE105">
        <v>1</v>
      </c>
      <c r="AF105">
        <v>0</v>
      </c>
      <c r="AG105">
        <v>0</v>
      </c>
      <c r="AH105">
        <v>0</v>
      </c>
      <c r="AI105" t="s">
        <v>49</v>
      </c>
    </row>
    <row r="106" spans="1:35" ht="12.75">
      <c r="A106" s="667" t="s">
        <v>49</v>
      </c>
      <c r="B106" s="668">
        <v>6</v>
      </c>
      <c r="C106" s="669" t="s">
        <v>1533</v>
      </c>
      <c r="D106" s="670" t="s">
        <v>70</v>
      </c>
      <c r="E106" s="670" t="s">
        <v>82</v>
      </c>
      <c r="F106" s="670" t="s">
        <v>21</v>
      </c>
      <c r="G106" s="670">
        <v>0</v>
      </c>
      <c r="H106" s="670">
        <v>0</v>
      </c>
      <c r="I106" s="670">
        <v>0.33</v>
      </c>
      <c r="J106" s="670"/>
      <c r="K106" s="670" t="s">
        <v>182</v>
      </c>
      <c r="L106" s="670" t="s">
        <v>49</v>
      </c>
      <c r="M106" s="669">
        <v>4</v>
      </c>
      <c r="N106" s="670">
        <v>4</v>
      </c>
      <c r="O106" s="671" t="s">
        <v>1534</v>
      </c>
      <c r="P106" s="466" t="s">
        <v>184</v>
      </c>
      <c r="Q106" s="466" t="s">
        <v>148</v>
      </c>
      <c r="R106" s="466" t="s">
        <v>49</v>
      </c>
      <c r="S106" s="466">
        <v>5</v>
      </c>
      <c r="T106" s="466">
        <v>7</v>
      </c>
      <c r="U106" s="466">
        <v>7</v>
      </c>
      <c r="V106" s="466">
        <v>3</v>
      </c>
      <c r="W106">
        <v>0</v>
      </c>
      <c r="X106">
        <v>0</v>
      </c>
      <c r="Y106">
        <v>0</v>
      </c>
      <c r="Z106">
        <v>1</v>
      </c>
      <c r="AA106" t="b">
        <v>1</v>
      </c>
      <c r="AB106" t="b">
        <v>0</v>
      </c>
      <c r="AC106">
        <v>0.66999999999999993</v>
      </c>
      <c r="AD106">
        <v>1</v>
      </c>
      <c r="AE106">
        <v>0.66999999999999993</v>
      </c>
      <c r="AF106">
        <v>0</v>
      </c>
      <c r="AG106">
        <v>0</v>
      </c>
      <c r="AH106">
        <v>0</v>
      </c>
      <c r="AI106" t="s">
        <v>49</v>
      </c>
    </row>
    <row r="107" spans="1:35" ht="12.75">
      <c r="A107" s="667" t="s">
        <v>49</v>
      </c>
      <c r="B107" s="668">
        <v>6</v>
      </c>
      <c r="C107" s="669" t="s">
        <v>1535</v>
      </c>
      <c r="D107" s="670" t="s">
        <v>70</v>
      </c>
      <c r="E107" s="670" t="s">
        <v>82</v>
      </c>
      <c r="F107" s="670" t="s">
        <v>115</v>
      </c>
      <c r="G107" s="670">
        <v>0</v>
      </c>
      <c r="H107" s="670">
        <v>0</v>
      </c>
      <c r="I107" s="670">
        <v>0</v>
      </c>
      <c r="J107" s="670"/>
      <c r="K107" s="670" t="s">
        <v>182</v>
      </c>
      <c r="L107" s="670" t="s">
        <v>49</v>
      </c>
      <c r="M107" s="669">
        <v>7</v>
      </c>
      <c r="N107" s="670">
        <v>4</v>
      </c>
      <c r="O107" s="671" t="s">
        <v>1536</v>
      </c>
      <c r="P107" s="466" t="s">
        <v>454</v>
      </c>
      <c r="Q107" s="466" t="s">
        <v>148</v>
      </c>
      <c r="R107" s="466" t="s">
        <v>49</v>
      </c>
      <c r="S107" s="466">
        <v>5</v>
      </c>
      <c r="T107" s="466">
        <v>7</v>
      </c>
      <c r="U107" s="466">
        <v>10</v>
      </c>
      <c r="V107" s="466">
        <v>3</v>
      </c>
      <c r="W107">
        <v>0</v>
      </c>
      <c r="X107">
        <v>0</v>
      </c>
      <c r="Y107">
        <v>0</v>
      </c>
      <c r="Z107">
        <v>1</v>
      </c>
      <c r="AA107" t="b">
        <v>1</v>
      </c>
      <c r="AB107" t="b">
        <v>0</v>
      </c>
      <c r="AC107">
        <v>1</v>
      </c>
      <c r="AD107">
        <v>1</v>
      </c>
      <c r="AE107">
        <v>1</v>
      </c>
      <c r="AF107">
        <v>0</v>
      </c>
      <c r="AG107">
        <v>0</v>
      </c>
      <c r="AH107">
        <v>0</v>
      </c>
      <c r="AI107" t="s">
        <v>49</v>
      </c>
    </row>
    <row r="108" spans="1:35" ht="12.75">
      <c r="A108" s="667" t="s">
        <v>49</v>
      </c>
      <c r="B108" s="668">
        <v>6</v>
      </c>
      <c r="C108" s="669" t="s">
        <v>1537</v>
      </c>
      <c r="D108" s="670" t="s">
        <v>70</v>
      </c>
      <c r="E108" s="670" t="s">
        <v>82</v>
      </c>
      <c r="F108" s="670" t="s">
        <v>25</v>
      </c>
      <c r="G108" s="670">
        <v>0</v>
      </c>
      <c r="H108" s="670">
        <v>0</v>
      </c>
      <c r="I108" s="670">
        <v>0</v>
      </c>
      <c r="J108" s="670"/>
      <c r="K108" s="670" t="s">
        <v>182</v>
      </c>
      <c r="L108" s="670" t="s">
        <v>49</v>
      </c>
      <c r="M108" s="669">
        <v>4</v>
      </c>
      <c r="N108" s="670">
        <v>4</v>
      </c>
      <c r="O108" s="671" t="s">
        <v>1538</v>
      </c>
      <c r="P108" s="466" t="s">
        <v>49</v>
      </c>
      <c r="Q108" s="466" t="s">
        <v>148</v>
      </c>
      <c r="R108" s="466" t="s">
        <v>49</v>
      </c>
      <c r="S108" s="466">
        <v>5</v>
      </c>
      <c r="T108" s="466">
        <v>7</v>
      </c>
      <c r="U108" s="466">
        <v>8</v>
      </c>
      <c r="V108" s="466">
        <v>3</v>
      </c>
      <c r="W108">
        <v>0</v>
      </c>
      <c r="X108">
        <v>0</v>
      </c>
      <c r="Y108">
        <v>0</v>
      </c>
      <c r="Z108">
        <v>1</v>
      </c>
      <c r="AA108" t="b">
        <v>1</v>
      </c>
      <c r="AB108" t="b">
        <v>0</v>
      </c>
      <c r="AC108">
        <v>1</v>
      </c>
      <c r="AD108">
        <v>1</v>
      </c>
      <c r="AE108">
        <v>1</v>
      </c>
      <c r="AF108">
        <v>0</v>
      </c>
      <c r="AG108">
        <v>0</v>
      </c>
      <c r="AH108">
        <v>0</v>
      </c>
      <c r="AI108" t="s">
        <v>49</v>
      </c>
    </row>
    <row r="109" spans="1:35" ht="12.75">
      <c r="A109" s="667" t="s">
        <v>49</v>
      </c>
      <c r="B109" s="668">
        <v>7</v>
      </c>
      <c r="C109" s="669" t="s">
        <v>1539</v>
      </c>
      <c r="D109" s="670" t="s">
        <v>70</v>
      </c>
      <c r="E109" s="670" t="s">
        <v>82</v>
      </c>
      <c r="F109" s="670" t="s">
        <v>11</v>
      </c>
      <c r="G109" s="670">
        <v>0</v>
      </c>
      <c r="H109" s="670">
        <v>0</v>
      </c>
      <c r="I109" s="670">
        <v>0.66</v>
      </c>
      <c r="J109" s="670"/>
      <c r="K109" s="670" t="s">
        <v>182</v>
      </c>
      <c r="L109" s="670" t="s">
        <v>230</v>
      </c>
      <c r="M109" s="669">
        <v>4</v>
      </c>
      <c r="N109" s="670">
        <v>2</v>
      </c>
      <c r="O109" s="671" t="s">
        <v>1540</v>
      </c>
      <c r="P109" s="466" t="s">
        <v>49</v>
      </c>
      <c r="Q109" s="466" t="s">
        <v>148</v>
      </c>
      <c r="R109" s="466" t="s">
        <v>49</v>
      </c>
      <c r="S109" s="466">
        <v>5</v>
      </c>
      <c r="T109" s="466">
        <v>7</v>
      </c>
      <c r="U109" s="466">
        <v>2</v>
      </c>
      <c r="V109" s="466">
        <v>3</v>
      </c>
      <c r="W109">
        <v>0</v>
      </c>
      <c r="X109">
        <v>0</v>
      </c>
      <c r="Y109">
        <v>0</v>
      </c>
      <c r="Z109">
        <v>1</v>
      </c>
      <c r="AA109" t="b">
        <v>1</v>
      </c>
      <c r="AB109" t="b">
        <v>0</v>
      </c>
      <c r="AC109">
        <v>0.33999999999999997</v>
      </c>
      <c r="AD109">
        <v>1</v>
      </c>
      <c r="AE109">
        <v>0.33999999999999997</v>
      </c>
      <c r="AF109">
        <v>0</v>
      </c>
      <c r="AG109">
        <v>0</v>
      </c>
      <c r="AH109">
        <v>0</v>
      </c>
      <c r="AI109" t="s">
        <v>49</v>
      </c>
    </row>
    <row r="110" spans="1:35" ht="12.75">
      <c r="A110" s="667" t="s">
        <v>49</v>
      </c>
      <c r="B110" s="668">
        <v>7</v>
      </c>
      <c r="C110" s="669" t="s">
        <v>1547</v>
      </c>
      <c r="D110" s="670" t="s">
        <v>70</v>
      </c>
      <c r="E110" s="670" t="s">
        <v>82</v>
      </c>
      <c r="F110" s="670" t="s">
        <v>115</v>
      </c>
      <c r="G110" s="670">
        <v>0</v>
      </c>
      <c r="H110" s="670">
        <v>0</v>
      </c>
      <c r="I110" s="670">
        <v>0.33</v>
      </c>
      <c r="J110" s="670"/>
      <c r="K110" s="670" t="s">
        <v>182</v>
      </c>
      <c r="L110" s="670" t="s">
        <v>536</v>
      </c>
      <c r="M110" s="669">
        <v>4</v>
      </c>
      <c r="N110" s="670">
        <v>6</v>
      </c>
      <c r="O110" s="671" t="s">
        <v>1548</v>
      </c>
      <c r="P110" s="466" t="s">
        <v>396</v>
      </c>
      <c r="Q110" s="466" t="s">
        <v>148</v>
      </c>
      <c r="R110" s="466" t="s">
        <v>49</v>
      </c>
      <c r="S110" s="466">
        <v>5</v>
      </c>
      <c r="T110" s="466">
        <v>7</v>
      </c>
      <c r="U110" s="466">
        <v>10</v>
      </c>
      <c r="V110" s="466">
        <v>3</v>
      </c>
      <c r="W110">
        <v>0</v>
      </c>
      <c r="X110">
        <v>0</v>
      </c>
      <c r="Y110">
        <v>0</v>
      </c>
      <c r="Z110">
        <v>1</v>
      </c>
      <c r="AA110" t="b">
        <v>1</v>
      </c>
      <c r="AB110" t="b">
        <v>0</v>
      </c>
      <c r="AC110">
        <v>0.66999999999999993</v>
      </c>
      <c r="AD110">
        <v>1</v>
      </c>
      <c r="AE110">
        <v>0.66999999999999993</v>
      </c>
      <c r="AF110">
        <v>0</v>
      </c>
      <c r="AG110">
        <v>0</v>
      </c>
      <c r="AH110">
        <v>0</v>
      </c>
      <c r="AI110" t="s">
        <v>49</v>
      </c>
    </row>
    <row r="111" spans="1:35" ht="12.75">
      <c r="A111" s="667" t="s">
        <v>49</v>
      </c>
      <c r="B111" s="668">
        <v>9</v>
      </c>
      <c r="C111" s="669" t="s">
        <v>1551</v>
      </c>
      <c r="D111" s="670" t="s">
        <v>70</v>
      </c>
      <c r="E111" s="670" t="s">
        <v>82</v>
      </c>
      <c r="F111" s="670" t="s">
        <v>20</v>
      </c>
      <c r="G111" s="670">
        <v>0</v>
      </c>
      <c r="H111" s="670">
        <v>0</v>
      </c>
      <c r="I111" s="670">
        <v>0.33</v>
      </c>
      <c r="J111" s="670"/>
      <c r="K111" s="670" t="s">
        <v>182</v>
      </c>
      <c r="L111" s="670" t="s">
        <v>49</v>
      </c>
      <c r="M111" s="669">
        <v>8</v>
      </c>
      <c r="N111" s="670">
        <v>4</v>
      </c>
      <c r="O111" s="671" t="s">
        <v>1552</v>
      </c>
      <c r="P111" s="466" t="s">
        <v>454</v>
      </c>
      <c r="Q111" s="466" t="s">
        <v>148</v>
      </c>
      <c r="R111" s="466" t="s">
        <v>49</v>
      </c>
      <c r="S111" s="466">
        <v>5</v>
      </c>
      <c r="T111" s="466">
        <v>7</v>
      </c>
      <c r="U111" s="466">
        <v>6</v>
      </c>
      <c r="V111" s="466">
        <v>3</v>
      </c>
      <c r="W111">
        <v>0</v>
      </c>
      <c r="X111">
        <v>0</v>
      </c>
      <c r="Y111">
        <v>0</v>
      </c>
      <c r="Z111">
        <v>1</v>
      </c>
      <c r="AA111" t="b">
        <v>1</v>
      </c>
      <c r="AB111" t="b">
        <v>0</v>
      </c>
      <c r="AC111">
        <v>0.66999999999999993</v>
      </c>
      <c r="AD111">
        <v>1</v>
      </c>
      <c r="AE111">
        <v>0.66999999999999993</v>
      </c>
      <c r="AF111">
        <v>0</v>
      </c>
      <c r="AG111">
        <v>0</v>
      </c>
      <c r="AH111">
        <v>0</v>
      </c>
      <c r="AI111" t="s">
        <v>49</v>
      </c>
    </row>
    <row r="112" spans="1:35" ht="12.75">
      <c r="A112" s="667" t="s">
        <v>49</v>
      </c>
      <c r="B112" s="668">
        <v>9</v>
      </c>
      <c r="C112" s="669" t="s">
        <v>1553</v>
      </c>
      <c r="D112" s="670" t="s">
        <v>70</v>
      </c>
      <c r="E112" s="670" t="s">
        <v>82</v>
      </c>
      <c r="F112" s="670" t="s">
        <v>8</v>
      </c>
      <c r="G112" s="670">
        <v>0</v>
      </c>
      <c r="H112" s="670">
        <v>0</v>
      </c>
      <c r="I112" s="670">
        <v>0.33</v>
      </c>
      <c r="J112" s="670"/>
      <c r="K112" s="670" t="s">
        <v>182</v>
      </c>
      <c r="L112" s="670" t="s">
        <v>49</v>
      </c>
      <c r="M112" s="669">
        <v>5</v>
      </c>
      <c r="N112" s="670">
        <v>5</v>
      </c>
      <c r="O112" s="671" t="s">
        <v>1554</v>
      </c>
      <c r="P112" s="466" t="s">
        <v>49</v>
      </c>
      <c r="Q112" s="466" t="s">
        <v>148</v>
      </c>
      <c r="R112" s="466" t="s">
        <v>49</v>
      </c>
      <c r="S112" s="466">
        <v>5</v>
      </c>
      <c r="T112" s="466">
        <v>7</v>
      </c>
      <c r="U112" s="466">
        <v>1</v>
      </c>
      <c r="V112" s="466">
        <v>3</v>
      </c>
      <c r="W112">
        <v>0</v>
      </c>
      <c r="X112">
        <v>0</v>
      </c>
      <c r="Y112">
        <v>0</v>
      </c>
      <c r="Z112">
        <v>1</v>
      </c>
      <c r="AA112" t="b">
        <v>1</v>
      </c>
      <c r="AB112" t="b">
        <v>0</v>
      </c>
      <c r="AC112">
        <v>0.66999999999999993</v>
      </c>
      <c r="AD112">
        <v>1</v>
      </c>
      <c r="AE112">
        <v>0.66999999999999993</v>
      </c>
      <c r="AF112">
        <v>0</v>
      </c>
      <c r="AG112">
        <v>0</v>
      </c>
      <c r="AH112">
        <v>0</v>
      </c>
      <c r="AI112" t="s">
        <v>49</v>
      </c>
    </row>
    <row r="113" spans="1:35" ht="12.75">
      <c r="A113" s="667" t="s">
        <v>49</v>
      </c>
      <c r="B113" s="668">
        <v>6</v>
      </c>
      <c r="C113" s="669" t="s">
        <v>1626</v>
      </c>
      <c r="D113" s="670" t="s">
        <v>68</v>
      </c>
      <c r="E113" s="670" t="s">
        <v>82</v>
      </c>
      <c r="F113" s="670" t="s">
        <v>25</v>
      </c>
      <c r="G113" s="670">
        <v>1</v>
      </c>
      <c r="H113" s="670">
        <v>0</v>
      </c>
      <c r="I113" s="670">
        <v>0.33</v>
      </c>
      <c r="J113" s="670">
        <v>0.33</v>
      </c>
      <c r="K113" s="670" t="s">
        <v>182</v>
      </c>
      <c r="L113" s="670" t="s">
        <v>239</v>
      </c>
      <c r="M113" s="669">
        <v>5</v>
      </c>
      <c r="N113" s="670">
        <v>4</v>
      </c>
      <c r="O113" s="671" t="s">
        <v>1627</v>
      </c>
      <c r="P113" s="466" t="s">
        <v>1374</v>
      </c>
      <c r="Q113" s="466" t="s">
        <v>148</v>
      </c>
      <c r="R113" s="466" t="s">
        <v>49</v>
      </c>
      <c r="S113" s="466">
        <v>3</v>
      </c>
      <c r="T113" s="466">
        <v>7</v>
      </c>
      <c r="U113" s="466">
        <v>8</v>
      </c>
      <c r="V113" s="466">
        <v>3</v>
      </c>
      <c r="W113">
        <v>1</v>
      </c>
      <c r="X113">
        <v>1</v>
      </c>
      <c r="Y113">
        <v>0</v>
      </c>
      <c r="Z113">
        <v>1</v>
      </c>
      <c r="AA113" t="b">
        <v>0</v>
      </c>
      <c r="AB113" t="b">
        <v>1</v>
      </c>
      <c r="AC113">
        <v>0.66999999999999993</v>
      </c>
      <c r="AD113">
        <v>0.66999999999999993</v>
      </c>
      <c r="AE113">
        <v>1.67</v>
      </c>
      <c r="AF113">
        <v>0</v>
      </c>
      <c r="AG113">
        <v>1</v>
      </c>
      <c r="AH113">
        <v>0</v>
      </c>
      <c r="AI113" t="s">
        <v>49</v>
      </c>
    </row>
    <row r="114" spans="1:35" ht="12.75">
      <c r="A114" s="667" t="s">
        <v>49</v>
      </c>
      <c r="B114" s="668">
        <v>5</v>
      </c>
      <c r="C114" s="669" t="s">
        <v>1704</v>
      </c>
      <c r="D114" s="670" t="s">
        <v>63</v>
      </c>
      <c r="E114" s="670" t="s">
        <v>73</v>
      </c>
      <c r="F114" s="670" t="s">
        <v>18</v>
      </c>
      <c r="G114" s="670">
        <v>1</v>
      </c>
      <c r="H114" s="670">
        <v>0</v>
      </c>
      <c r="I114" s="670">
        <v>1</v>
      </c>
      <c r="J114" s="670">
        <v>1</v>
      </c>
      <c r="K114" s="670" t="s">
        <v>146</v>
      </c>
      <c r="L114" s="670" t="s">
        <v>49</v>
      </c>
      <c r="M114" s="669"/>
      <c r="N114" s="670"/>
      <c r="O114" s="671" t="s">
        <v>1705</v>
      </c>
      <c r="P114" s="466" t="s">
        <v>49</v>
      </c>
      <c r="Q114" s="466" t="s">
        <v>148</v>
      </c>
      <c r="R114" s="466" t="s">
        <v>49</v>
      </c>
      <c r="S114" s="466">
        <v>2</v>
      </c>
      <c r="T114" s="466">
        <v>9</v>
      </c>
      <c r="U114" s="466">
        <v>5</v>
      </c>
      <c r="V114" s="466">
        <v>2</v>
      </c>
      <c r="W114">
        <v>1</v>
      </c>
      <c r="X114">
        <v>1</v>
      </c>
      <c r="Y114">
        <v>0</v>
      </c>
      <c r="Z114">
        <v>1</v>
      </c>
      <c r="AA114" t="b">
        <v>0</v>
      </c>
      <c r="AB114" t="b">
        <v>1</v>
      </c>
      <c r="AC114">
        <v>0</v>
      </c>
      <c r="AD114">
        <v>0</v>
      </c>
      <c r="AE114">
        <v>1</v>
      </c>
      <c r="AF114">
        <v>0</v>
      </c>
      <c r="AG114">
        <v>1</v>
      </c>
      <c r="AH114">
        <v>0</v>
      </c>
      <c r="AI114" t="s">
        <v>49</v>
      </c>
    </row>
    <row r="115" spans="1:35" ht="12.75">
      <c r="A115" s="667" t="s">
        <v>49</v>
      </c>
      <c r="B115" s="668">
        <v>0</v>
      </c>
      <c r="C115" s="669" t="s">
        <v>1722</v>
      </c>
      <c r="D115" s="670" t="s">
        <v>69</v>
      </c>
      <c r="E115" s="670" t="s">
        <v>73</v>
      </c>
      <c r="F115" s="670" t="s">
        <v>13</v>
      </c>
      <c r="G115" s="670">
        <v>0</v>
      </c>
      <c r="H115" s="670">
        <v>0</v>
      </c>
      <c r="I115" s="670">
        <v>1</v>
      </c>
      <c r="J115" s="670">
        <v>1</v>
      </c>
      <c r="K115" s="670" t="s">
        <v>146</v>
      </c>
      <c r="L115" s="670" t="s">
        <v>49</v>
      </c>
      <c r="M115" s="669"/>
      <c r="N115" s="670"/>
      <c r="O115" s="671" t="s">
        <v>1723</v>
      </c>
      <c r="P115" s="466" t="s">
        <v>49</v>
      </c>
      <c r="Q115" s="466" t="s">
        <v>148</v>
      </c>
      <c r="R115" s="466" t="s">
        <v>49</v>
      </c>
      <c r="S115" s="466">
        <v>4</v>
      </c>
      <c r="T115" s="466">
        <v>9</v>
      </c>
      <c r="U115" s="466">
        <v>3</v>
      </c>
      <c r="V115" s="466">
        <v>2</v>
      </c>
      <c r="W115">
        <v>0</v>
      </c>
      <c r="X115">
        <v>0</v>
      </c>
      <c r="Y115">
        <v>0</v>
      </c>
      <c r="Z115">
        <v>0</v>
      </c>
      <c r="AA115" t="b">
        <v>1</v>
      </c>
      <c r="AB115" t="b">
        <v>1</v>
      </c>
      <c r="AC115">
        <v>0</v>
      </c>
      <c r="AD115">
        <v>0</v>
      </c>
      <c r="AE115">
        <v>0</v>
      </c>
      <c r="AF115">
        <v>0</v>
      </c>
      <c r="AG115">
        <v>0</v>
      </c>
      <c r="AH115">
        <v>0</v>
      </c>
      <c r="AI115" t="s">
        <v>49</v>
      </c>
    </row>
    <row r="116" spans="1:35" ht="12.75">
      <c r="A116" s="667" t="s">
        <v>49</v>
      </c>
      <c r="B116" s="668">
        <v>0</v>
      </c>
      <c r="C116" s="669" t="s">
        <v>1724</v>
      </c>
      <c r="D116" s="670" t="s">
        <v>69</v>
      </c>
      <c r="E116" s="670" t="s">
        <v>73</v>
      </c>
      <c r="F116" s="670" t="s">
        <v>16</v>
      </c>
      <c r="G116" s="670">
        <v>0</v>
      </c>
      <c r="H116" s="670">
        <v>1</v>
      </c>
      <c r="I116" s="670">
        <v>1</v>
      </c>
      <c r="J116" s="670">
        <v>1</v>
      </c>
      <c r="K116" s="670" t="s">
        <v>146</v>
      </c>
      <c r="L116" s="670" t="s">
        <v>49</v>
      </c>
      <c r="M116" s="669"/>
      <c r="N116" s="670"/>
      <c r="O116" s="671" t="s">
        <v>1725</v>
      </c>
      <c r="P116" s="466" t="s">
        <v>49</v>
      </c>
      <c r="Q116" s="466" t="s">
        <v>148</v>
      </c>
      <c r="R116" s="466" t="s">
        <v>49</v>
      </c>
      <c r="S116" s="466">
        <v>4</v>
      </c>
      <c r="T116" s="466">
        <v>9</v>
      </c>
      <c r="U116" s="466">
        <v>4</v>
      </c>
      <c r="V116" s="466">
        <v>2</v>
      </c>
      <c r="W116">
        <v>1</v>
      </c>
      <c r="X116">
        <v>1</v>
      </c>
      <c r="Y116">
        <v>0</v>
      </c>
      <c r="Z116">
        <v>1</v>
      </c>
      <c r="AA116" t="b">
        <v>0</v>
      </c>
      <c r="AB116" t="b">
        <v>1</v>
      </c>
      <c r="AC116">
        <v>0</v>
      </c>
      <c r="AD116">
        <v>0</v>
      </c>
      <c r="AE116">
        <v>1</v>
      </c>
      <c r="AF116">
        <v>1</v>
      </c>
      <c r="AG116">
        <v>1</v>
      </c>
      <c r="AH116">
        <v>0</v>
      </c>
      <c r="AI116" t="s">
        <v>49</v>
      </c>
    </row>
    <row r="117" spans="1:35" ht="12.75">
      <c r="A117" s="667" t="s">
        <v>49</v>
      </c>
      <c r="B117" s="668">
        <v>0</v>
      </c>
      <c r="C117" s="669" t="s">
        <v>1726</v>
      </c>
      <c r="D117" s="670" t="s">
        <v>69</v>
      </c>
      <c r="E117" s="670" t="s">
        <v>73</v>
      </c>
      <c r="F117" s="670" t="s">
        <v>18</v>
      </c>
      <c r="G117" s="670">
        <v>0</v>
      </c>
      <c r="H117" s="670">
        <v>0</v>
      </c>
      <c r="I117" s="670">
        <v>1</v>
      </c>
      <c r="J117" s="670">
        <v>1</v>
      </c>
      <c r="K117" s="670" t="s">
        <v>146</v>
      </c>
      <c r="L117" s="670" t="s">
        <v>49</v>
      </c>
      <c r="M117" s="669"/>
      <c r="N117" s="670"/>
      <c r="O117" s="671" t="s">
        <v>1727</v>
      </c>
      <c r="P117" s="466" t="s">
        <v>49</v>
      </c>
      <c r="Q117" s="466" t="s">
        <v>148</v>
      </c>
      <c r="R117" s="466" t="s">
        <v>49</v>
      </c>
      <c r="S117" s="466">
        <v>4</v>
      </c>
      <c r="T117" s="466">
        <v>9</v>
      </c>
      <c r="U117" s="466">
        <v>5</v>
      </c>
      <c r="V117" s="466">
        <v>2</v>
      </c>
      <c r="W117">
        <v>0</v>
      </c>
      <c r="X117">
        <v>0</v>
      </c>
      <c r="Y117">
        <v>0</v>
      </c>
      <c r="Z117">
        <v>0</v>
      </c>
      <c r="AA117" t="b">
        <v>1</v>
      </c>
      <c r="AB117" t="b">
        <v>1</v>
      </c>
      <c r="AC117">
        <v>0</v>
      </c>
      <c r="AD117">
        <v>0</v>
      </c>
      <c r="AE117">
        <v>0</v>
      </c>
      <c r="AF117">
        <v>0</v>
      </c>
      <c r="AG117">
        <v>0</v>
      </c>
      <c r="AH117">
        <v>0</v>
      </c>
      <c r="AI117" t="s">
        <v>49</v>
      </c>
    </row>
    <row r="118" spans="1:35" ht="12.75">
      <c r="A118" s="667" t="s">
        <v>49</v>
      </c>
      <c r="B118" s="668">
        <v>1</v>
      </c>
      <c r="C118" s="669" t="s">
        <v>1728</v>
      </c>
      <c r="D118" s="670" t="s">
        <v>69</v>
      </c>
      <c r="E118" s="670" t="s">
        <v>73</v>
      </c>
      <c r="F118" s="670" t="s">
        <v>8</v>
      </c>
      <c r="G118" s="670">
        <v>0</v>
      </c>
      <c r="H118" s="670">
        <v>0</v>
      </c>
      <c r="I118" s="670">
        <v>1</v>
      </c>
      <c r="J118" s="670">
        <v>1</v>
      </c>
      <c r="K118" s="670" t="s">
        <v>182</v>
      </c>
      <c r="L118" s="670" t="s">
        <v>49</v>
      </c>
      <c r="M118" s="669">
        <v>1</v>
      </c>
      <c r="N118" s="670">
        <v>1</v>
      </c>
      <c r="O118" s="671" t="s">
        <v>1729</v>
      </c>
      <c r="P118" s="466" t="s">
        <v>184</v>
      </c>
      <c r="Q118" s="466" t="s">
        <v>148</v>
      </c>
      <c r="R118" s="466" t="s">
        <v>49</v>
      </c>
      <c r="S118" s="466">
        <v>4</v>
      </c>
      <c r="T118" s="466">
        <v>9</v>
      </c>
      <c r="U118" s="466">
        <v>1</v>
      </c>
      <c r="V118" s="466">
        <v>3</v>
      </c>
      <c r="W118">
        <v>0</v>
      </c>
      <c r="X118">
        <v>0</v>
      </c>
      <c r="Y118">
        <v>0</v>
      </c>
      <c r="Z118">
        <v>0</v>
      </c>
      <c r="AA118" t="b">
        <v>1</v>
      </c>
      <c r="AB118" t="b">
        <v>1</v>
      </c>
      <c r="AC118">
        <v>0</v>
      </c>
      <c r="AD118">
        <v>0</v>
      </c>
      <c r="AE118">
        <v>0</v>
      </c>
      <c r="AF118">
        <v>0</v>
      </c>
      <c r="AG118">
        <v>0</v>
      </c>
      <c r="AH118">
        <v>0</v>
      </c>
      <c r="AI118" t="s">
        <v>49</v>
      </c>
    </row>
    <row r="119" spans="1:35" ht="12.75">
      <c r="A119" s="667" t="s">
        <v>49</v>
      </c>
      <c r="B119" s="668">
        <v>1</v>
      </c>
      <c r="C119" s="669" t="s">
        <v>1730</v>
      </c>
      <c r="D119" s="670" t="s">
        <v>69</v>
      </c>
      <c r="E119" s="670" t="s">
        <v>73</v>
      </c>
      <c r="F119" s="670" t="s">
        <v>16</v>
      </c>
      <c r="G119" s="670">
        <v>0</v>
      </c>
      <c r="H119" s="670">
        <v>0</v>
      </c>
      <c r="I119" s="670">
        <v>1</v>
      </c>
      <c r="J119" s="670">
        <v>1</v>
      </c>
      <c r="K119" s="670" t="s">
        <v>182</v>
      </c>
      <c r="L119" s="670" t="s">
        <v>195</v>
      </c>
      <c r="M119" s="669">
        <v>1</v>
      </c>
      <c r="N119" s="670">
        <v>3</v>
      </c>
      <c r="O119" s="671" t="s">
        <v>1731</v>
      </c>
      <c r="P119" s="466" t="s">
        <v>184</v>
      </c>
      <c r="Q119" s="466" t="s">
        <v>148</v>
      </c>
      <c r="R119" s="466" t="s">
        <v>49</v>
      </c>
      <c r="S119" s="466">
        <v>4</v>
      </c>
      <c r="T119" s="466">
        <v>9</v>
      </c>
      <c r="U119" s="466">
        <v>4</v>
      </c>
      <c r="V119" s="466">
        <v>3</v>
      </c>
      <c r="W119">
        <v>0</v>
      </c>
      <c r="X119">
        <v>0</v>
      </c>
      <c r="Y119">
        <v>0</v>
      </c>
      <c r="Z119">
        <v>0</v>
      </c>
      <c r="AA119" t="b">
        <v>1</v>
      </c>
      <c r="AB119" t="b">
        <v>1</v>
      </c>
      <c r="AC119">
        <v>0</v>
      </c>
      <c r="AD119">
        <v>0</v>
      </c>
      <c r="AE119">
        <v>0</v>
      </c>
      <c r="AF119">
        <v>0</v>
      </c>
      <c r="AG119">
        <v>0</v>
      </c>
      <c r="AH119">
        <v>0</v>
      </c>
      <c r="AI119" t="s">
        <v>49</v>
      </c>
    </row>
    <row r="120" spans="1:35" ht="12.75">
      <c r="A120" s="667" t="s">
        <v>49</v>
      </c>
      <c r="B120" s="668">
        <v>2</v>
      </c>
      <c r="C120" s="669" t="s">
        <v>1732</v>
      </c>
      <c r="D120" s="670" t="s">
        <v>69</v>
      </c>
      <c r="E120" s="670" t="s">
        <v>73</v>
      </c>
      <c r="F120" s="670" t="s">
        <v>18</v>
      </c>
      <c r="G120" s="670">
        <v>1</v>
      </c>
      <c r="H120" s="670">
        <v>0</v>
      </c>
      <c r="I120" s="670">
        <v>1</v>
      </c>
      <c r="J120" s="670">
        <v>1</v>
      </c>
      <c r="K120" s="670" t="s">
        <v>146</v>
      </c>
      <c r="L120" s="670" t="s">
        <v>49</v>
      </c>
      <c r="M120" s="669"/>
      <c r="N120" s="670"/>
      <c r="O120" s="671" t="s">
        <v>1733</v>
      </c>
      <c r="P120" s="466" t="s">
        <v>49</v>
      </c>
      <c r="Q120" s="466" t="s">
        <v>148</v>
      </c>
      <c r="R120" s="466" t="s">
        <v>49</v>
      </c>
      <c r="S120" s="466">
        <v>4</v>
      </c>
      <c r="T120" s="466">
        <v>9</v>
      </c>
      <c r="U120" s="466">
        <v>5</v>
      </c>
      <c r="V120" s="466">
        <v>2</v>
      </c>
      <c r="W120">
        <v>1</v>
      </c>
      <c r="X120">
        <v>1</v>
      </c>
      <c r="Y120">
        <v>0</v>
      </c>
      <c r="Z120">
        <v>1</v>
      </c>
      <c r="AA120" t="b">
        <v>0</v>
      </c>
      <c r="AB120" t="b">
        <v>1</v>
      </c>
      <c r="AC120">
        <v>0</v>
      </c>
      <c r="AD120">
        <v>0</v>
      </c>
      <c r="AE120">
        <v>1</v>
      </c>
      <c r="AF120">
        <v>0</v>
      </c>
      <c r="AG120">
        <v>1</v>
      </c>
      <c r="AH120">
        <v>0</v>
      </c>
      <c r="AI120" t="s">
        <v>49</v>
      </c>
    </row>
    <row r="121" spans="1:35" ht="12.75">
      <c r="A121" s="667" t="s">
        <v>49</v>
      </c>
      <c r="B121" s="668">
        <v>2</v>
      </c>
      <c r="C121" s="669" t="s">
        <v>1736</v>
      </c>
      <c r="D121" s="670" t="s">
        <v>69</v>
      </c>
      <c r="E121" s="670" t="s">
        <v>73</v>
      </c>
      <c r="F121" s="670" t="s">
        <v>25</v>
      </c>
      <c r="G121" s="670">
        <v>1</v>
      </c>
      <c r="H121" s="670">
        <v>0</v>
      </c>
      <c r="I121" s="670">
        <v>1</v>
      </c>
      <c r="J121" s="670">
        <v>1</v>
      </c>
      <c r="K121" s="670" t="s">
        <v>146</v>
      </c>
      <c r="L121" s="670" t="s">
        <v>49</v>
      </c>
      <c r="M121" s="669"/>
      <c r="N121" s="670"/>
      <c r="O121" s="671" t="s">
        <v>1737</v>
      </c>
      <c r="P121" s="466" t="s">
        <v>49</v>
      </c>
      <c r="Q121" s="466" t="s">
        <v>148</v>
      </c>
      <c r="R121" s="466" t="s">
        <v>49</v>
      </c>
      <c r="S121" s="466">
        <v>4</v>
      </c>
      <c r="T121" s="466">
        <v>9</v>
      </c>
      <c r="U121" s="466">
        <v>8</v>
      </c>
      <c r="V121" s="466">
        <v>2</v>
      </c>
      <c r="W121">
        <v>1</v>
      </c>
      <c r="X121">
        <v>1</v>
      </c>
      <c r="Y121">
        <v>0</v>
      </c>
      <c r="Z121">
        <v>1</v>
      </c>
      <c r="AA121" t="b">
        <v>0</v>
      </c>
      <c r="AB121" t="b">
        <v>1</v>
      </c>
      <c r="AC121">
        <v>0</v>
      </c>
      <c r="AD121">
        <v>0</v>
      </c>
      <c r="AE121">
        <v>1</v>
      </c>
      <c r="AF121">
        <v>0</v>
      </c>
      <c r="AG121">
        <v>1</v>
      </c>
      <c r="AH121">
        <v>0</v>
      </c>
      <c r="AI121" t="s">
        <v>49</v>
      </c>
    </row>
    <row r="122" spans="1:35" ht="12.75">
      <c r="A122" s="667" t="s">
        <v>49</v>
      </c>
      <c r="B122" s="668">
        <v>3</v>
      </c>
      <c r="C122" s="669" t="s">
        <v>1738</v>
      </c>
      <c r="D122" s="670" t="s">
        <v>69</v>
      </c>
      <c r="E122" s="670" t="s">
        <v>73</v>
      </c>
      <c r="F122" s="670" t="s">
        <v>26</v>
      </c>
      <c r="G122" s="670">
        <v>1</v>
      </c>
      <c r="H122" s="670">
        <v>0</v>
      </c>
      <c r="I122" s="670">
        <v>1</v>
      </c>
      <c r="J122" s="670">
        <v>1</v>
      </c>
      <c r="K122" s="670" t="s">
        <v>146</v>
      </c>
      <c r="L122" s="670" t="s">
        <v>49</v>
      </c>
      <c r="M122" s="669"/>
      <c r="N122" s="670"/>
      <c r="O122" s="671" t="s">
        <v>1739</v>
      </c>
      <c r="P122" s="466" t="s">
        <v>49</v>
      </c>
      <c r="Q122" s="466" t="s">
        <v>148</v>
      </c>
      <c r="R122" s="466" t="s">
        <v>49</v>
      </c>
      <c r="S122" s="466">
        <v>4</v>
      </c>
      <c r="T122" s="466">
        <v>9</v>
      </c>
      <c r="U122" s="466">
        <v>9</v>
      </c>
      <c r="V122" s="466">
        <v>2</v>
      </c>
      <c r="W122">
        <v>1</v>
      </c>
      <c r="X122">
        <v>1</v>
      </c>
      <c r="Y122">
        <v>0</v>
      </c>
      <c r="Z122">
        <v>1</v>
      </c>
      <c r="AA122" t="b">
        <v>0</v>
      </c>
      <c r="AB122" t="b">
        <v>1</v>
      </c>
      <c r="AC122">
        <v>0</v>
      </c>
      <c r="AD122">
        <v>0</v>
      </c>
      <c r="AE122">
        <v>1</v>
      </c>
      <c r="AF122">
        <v>0</v>
      </c>
      <c r="AG122">
        <v>1</v>
      </c>
      <c r="AH122">
        <v>0</v>
      </c>
      <c r="AI122" t="s">
        <v>49</v>
      </c>
    </row>
    <row r="123" spans="1:35" ht="12.75">
      <c r="A123" s="667" t="s">
        <v>49</v>
      </c>
      <c r="B123" s="668">
        <v>4</v>
      </c>
      <c r="C123" s="669" t="s">
        <v>1742</v>
      </c>
      <c r="D123" s="670" t="s">
        <v>69</v>
      </c>
      <c r="E123" s="670" t="s">
        <v>73</v>
      </c>
      <c r="F123" s="670" t="s">
        <v>115</v>
      </c>
      <c r="G123" s="670">
        <v>0</v>
      </c>
      <c r="H123" s="670">
        <v>0</v>
      </c>
      <c r="I123" s="670">
        <v>1</v>
      </c>
      <c r="J123" s="670">
        <v>1</v>
      </c>
      <c r="K123" s="670" t="s">
        <v>182</v>
      </c>
      <c r="L123" s="670" t="s">
        <v>49</v>
      </c>
      <c r="M123" s="669">
        <v>1</v>
      </c>
      <c r="N123" s="670">
        <v>1</v>
      </c>
      <c r="O123" s="671" t="s">
        <v>1743</v>
      </c>
      <c r="P123" s="466" t="s">
        <v>1662</v>
      </c>
      <c r="Q123" s="466" t="s">
        <v>148</v>
      </c>
      <c r="R123" s="466" t="s">
        <v>49</v>
      </c>
      <c r="S123" s="466">
        <v>4</v>
      </c>
      <c r="T123" s="466">
        <v>9</v>
      </c>
      <c r="U123" s="466">
        <v>10</v>
      </c>
      <c r="V123" s="466">
        <v>3</v>
      </c>
      <c r="W123">
        <v>0</v>
      </c>
      <c r="X123">
        <v>0</v>
      </c>
      <c r="Y123">
        <v>0</v>
      </c>
      <c r="Z123">
        <v>0</v>
      </c>
      <c r="AA123" t="b">
        <v>1</v>
      </c>
      <c r="AB123" t="b">
        <v>1</v>
      </c>
      <c r="AC123">
        <v>0</v>
      </c>
      <c r="AD123">
        <v>0</v>
      </c>
      <c r="AE123">
        <v>0</v>
      </c>
      <c r="AF123">
        <v>0</v>
      </c>
      <c r="AG123">
        <v>0</v>
      </c>
      <c r="AH123">
        <v>0</v>
      </c>
      <c r="AI123" t="s">
        <v>49</v>
      </c>
    </row>
    <row r="124" spans="1:35" ht="12.75">
      <c r="A124" s="667" t="s">
        <v>49</v>
      </c>
      <c r="B124" s="668">
        <v>4</v>
      </c>
      <c r="C124" s="669" t="s">
        <v>1744</v>
      </c>
      <c r="D124" s="670" t="s">
        <v>69</v>
      </c>
      <c r="E124" s="670" t="s">
        <v>73</v>
      </c>
      <c r="F124" s="670" t="s">
        <v>115</v>
      </c>
      <c r="G124" s="670">
        <v>0</v>
      </c>
      <c r="H124" s="670">
        <v>0</v>
      </c>
      <c r="I124" s="670">
        <v>1</v>
      </c>
      <c r="J124" s="670">
        <v>1</v>
      </c>
      <c r="K124" s="670" t="s">
        <v>182</v>
      </c>
      <c r="L124" s="670" t="s">
        <v>49</v>
      </c>
      <c r="M124" s="669">
        <v>1</v>
      </c>
      <c r="N124" s="670">
        <v>1</v>
      </c>
      <c r="O124" s="671" t="s">
        <v>1745</v>
      </c>
      <c r="P124" s="466" t="s">
        <v>1348</v>
      </c>
      <c r="Q124" s="466" t="s">
        <v>148</v>
      </c>
      <c r="R124" s="466" t="s">
        <v>49</v>
      </c>
      <c r="S124" s="466">
        <v>4</v>
      </c>
      <c r="T124" s="466">
        <v>9</v>
      </c>
      <c r="U124" s="466">
        <v>10</v>
      </c>
      <c r="V124" s="466">
        <v>3</v>
      </c>
      <c r="W124">
        <v>0</v>
      </c>
      <c r="X124">
        <v>0</v>
      </c>
      <c r="Y124">
        <v>0</v>
      </c>
      <c r="Z124">
        <v>0</v>
      </c>
      <c r="AA124" t="b">
        <v>1</v>
      </c>
      <c r="AB124" t="b">
        <v>1</v>
      </c>
      <c r="AC124">
        <v>0</v>
      </c>
      <c r="AD124">
        <v>0</v>
      </c>
      <c r="AE124">
        <v>0</v>
      </c>
      <c r="AF124">
        <v>0</v>
      </c>
      <c r="AG124">
        <v>0</v>
      </c>
      <c r="AH124">
        <v>0</v>
      </c>
      <c r="AI124" t="s">
        <v>49</v>
      </c>
    </row>
    <row r="125" spans="1:35" ht="12.75">
      <c r="A125" s="667" t="s">
        <v>49</v>
      </c>
      <c r="B125" s="668">
        <v>5</v>
      </c>
      <c r="C125" s="669" t="s">
        <v>1746</v>
      </c>
      <c r="D125" s="670" t="s">
        <v>69</v>
      </c>
      <c r="E125" s="670" t="s">
        <v>73</v>
      </c>
      <c r="F125" s="670" t="s">
        <v>13</v>
      </c>
      <c r="G125" s="670">
        <v>0</v>
      </c>
      <c r="H125" s="670">
        <v>0</v>
      </c>
      <c r="I125" s="670">
        <v>1</v>
      </c>
      <c r="J125" s="670">
        <v>1</v>
      </c>
      <c r="K125" s="670" t="s">
        <v>146</v>
      </c>
      <c r="L125" s="670" t="s">
        <v>49</v>
      </c>
      <c r="M125" s="669"/>
      <c r="N125" s="670"/>
      <c r="O125" s="671" t="s">
        <v>1747</v>
      </c>
      <c r="P125" s="466" t="s">
        <v>49</v>
      </c>
      <c r="Q125" s="466" t="s">
        <v>148</v>
      </c>
      <c r="R125" s="466" t="s">
        <v>49</v>
      </c>
      <c r="S125" s="466">
        <v>4</v>
      </c>
      <c r="T125" s="466">
        <v>9</v>
      </c>
      <c r="U125" s="466">
        <v>3</v>
      </c>
      <c r="V125" s="466">
        <v>2</v>
      </c>
      <c r="W125">
        <v>0</v>
      </c>
      <c r="X125">
        <v>0</v>
      </c>
      <c r="Y125">
        <v>0</v>
      </c>
      <c r="Z125">
        <v>0</v>
      </c>
      <c r="AA125" t="b">
        <v>1</v>
      </c>
      <c r="AB125" t="b">
        <v>1</v>
      </c>
      <c r="AC125">
        <v>0</v>
      </c>
      <c r="AD125">
        <v>0</v>
      </c>
      <c r="AE125">
        <v>0</v>
      </c>
      <c r="AF125">
        <v>0</v>
      </c>
      <c r="AG125">
        <v>0</v>
      </c>
      <c r="AH125">
        <v>0</v>
      </c>
      <c r="AI125" t="s">
        <v>49</v>
      </c>
    </row>
    <row r="126" spans="1:35" ht="12.75">
      <c r="A126" s="667" t="s">
        <v>49</v>
      </c>
      <c r="B126" s="668">
        <v>5</v>
      </c>
      <c r="C126" s="669" t="s">
        <v>1748</v>
      </c>
      <c r="D126" s="670" t="s">
        <v>69</v>
      </c>
      <c r="E126" s="670" t="s">
        <v>73</v>
      </c>
      <c r="F126" s="670" t="s">
        <v>115</v>
      </c>
      <c r="G126" s="670">
        <v>0</v>
      </c>
      <c r="H126" s="670">
        <v>0</v>
      </c>
      <c r="I126" s="670">
        <v>1</v>
      </c>
      <c r="J126" s="670">
        <v>1</v>
      </c>
      <c r="K126" s="670" t="s">
        <v>182</v>
      </c>
      <c r="L126" s="670" t="s">
        <v>49</v>
      </c>
      <c r="M126" s="669">
        <v>3</v>
      </c>
      <c r="N126" s="670">
        <v>6</v>
      </c>
      <c r="O126" s="671" t="s">
        <v>1749</v>
      </c>
      <c r="P126" s="466" t="s">
        <v>1750</v>
      </c>
      <c r="Q126" s="466" t="s">
        <v>148</v>
      </c>
      <c r="R126" s="466" t="s">
        <v>49</v>
      </c>
      <c r="S126" s="466">
        <v>4</v>
      </c>
      <c r="T126" s="466">
        <v>9</v>
      </c>
      <c r="U126" s="466">
        <v>10</v>
      </c>
      <c r="V126" s="466">
        <v>3</v>
      </c>
      <c r="W126">
        <v>0</v>
      </c>
      <c r="X126">
        <v>0</v>
      </c>
      <c r="Y126">
        <v>0</v>
      </c>
      <c r="Z126">
        <v>0</v>
      </c>
      <c r="AA126" t="b">
        <v>1</v>
      </c>
      <c r="AB126" t="b">
        <v>1</v>
      </c>
      <c r="AC126">
        <v>0</v>
      </c>
      <c r="AD126">
        <v>0</v>
      </c>
      <c r="AE126">
        <v>0</v>
      </c>
      <c r="AF126">
        <v>0</v>
      </c>
      <c r="AG126">
        <v>0</v>
      </c>
      <c r="AH126">
        <v>0</v>
      </c>
      <c r="AI126" t="s">
        <v>49</v>
      </c>
    </row>
    <row r="127" spans="1:35" ht="12.75">
      <c r="A127" s="667" t="s">
        <v>49</v>
      </c>
      <c r="B127" s="668">
        <v>5</v>
      </c>
      <c r="C127" s="669" t="s">
        <v>1751</v>
      </c>
      <c r="D127" s="670" t="s">
        <v>69</v>
      </c>
      <c r="E127" s="670" t="s">
        <v>73</v>
      </c>
      <c r="F127" s="670" t="s">
        <v>115</v>
      </c>
      <c r="G127" s="670">
        <v>1</v>
      </c>
      <c r="H127" s="670">
        <v>0</v>
      </c>
      <c r="I127" s="670">
        <v>1</v>
      </c>
      <c r="J127" s="670">
        <v>1</v>
      </c>
      <c r="K127" s="670" t="s">
        <v>182</v>
      </c>
      <c r="L127" s="670" t="s">
        <v>49</v>
      </c>
      <c r="M127" s="669">
        <v>3</v>
      </c>
      <c r="N127" s="670">
        <v>6</v>
      </c>
      <c r="O127" s="671" t="s">
        <v>1752</v>
      </c>
      <c r="P127" s="466" t="s">
        <v>275</v>
      </c>
      <c r="Q127" s="466" t="s">
        <v>148</v>
      </c>
      <c r="R127" s="466" t="s">
        <v>49</v>
      </c>
      <c r="S127" s="466">
        <v>4</v>
      </c>
      <c r="T127" s="466">
        <v>9</v>
      </c>
      <c r="U127" s="466">
        <v>10</v>
      </c>
      <c r="V127" s="466">
        <v>3</v>
      </c>
      <c r="W127">
        <v>1</v>
      </c>
      <c r="X127">
        <v>1</v>
      </c>
      <c r="Y127">
        <v>0</v>
      </c>
      <c r="Z127">
        <v>1</v>
      </c>
      <c r="AA127" t="b">
        <v>0</v>
      </c>
      <c r="AB127" t="b">
        <v>1</v>
      </c>
      <c r="AC127">
        <v>0</v>
      </c>
      <c r="AD127">
        <v>0</v>
      </c>
      <c r="AE127">
        <v>1</v>
      </c>
      <c r="AF127">
        <v>0</v>
      </c>
      <c r="AG127">
        <v>1</v>
      </c>
      <c r="AH127">
        <v>0</v>
      </c>
      <c r="AI127" t="s">
        <v>49</v>
      </c>
    </row>
    <row r="128" spans="1:35" ht="12.75">
      <c r="A128" s="667" t="s">
        <v>49</v>
      </c>
      <c r="B128" s="668">
        <v>5</v>
      </c>
      <c r="C128" s="669" t="s">
        <v>1755</v>
      </c>
      <c r="D128" s="670" t="s">
        <v>69</v>
      </c>
      <c r="E128" s="670" t="s">
        <v>73</v>
      </c>
      <c r="F128" s="670" t="s">
        <v>20</v>
      </c>
      <c r="G128" s="670">
        <v>1</v>
      </c>
      <c r="H128" s="670">
        <v>0</v>
      </c>
      <c r="I128" s="670">
        <v>1</v>
      </c>
      <c r="J128" s="670">
        <v>1</v>
      </c>
      <c r="K128" s="670" t="s">
        <v>182</v>
      </c>
      <c r="L128" s="670" t="s">
        <v>49</v>
      </c>
      <c r="M128" s="669">
        <v>4</v>
      </c>
      <c r="N128" s="670">
        <v>4</v>
      </c>
      <c r="O128" s="671" t="s">
        <v>1756</v>
      </c>
      <c r="P128" s="466" t="s">
        <v>184</v>
      </c>
      <c r="Q128" s="466" t="s">
        <v>148</v>
      </c>
      <c r="R128" s="466" t="s">
        <v>49</v>
      </c>
      <c r="S128" s="466">
        <v>4</v>
      </c>
      <c r="T128" s="466">
        <v>9</v>
      </c>
      <c r="U128" s="466">
        <v>6</v>
      </c>
      <c r="V128" s="466">
        <v>3</v>
      </c>
      <c r="W128">
        <v>1</v>
      </c>
      <c r="X128">
        <v>1</v>
      </c>
      <c r="Y128">
        <v>0</v>
      </c>
      <c r="Z128">
        <v>1</v>
      </c>
      <c r="AA128" t="b">
        <v>0</v>
      </c>
      <c r="AB128" t="b">
        <v>1</v>
      </c>
      <c r="AC128">
        <v>0</v>
      </c>
      <c r="AD128">
        <v>0</v>
      </c>
      <c r="AE128">
        <v>1</v>
      </c>
      <c r="AF128">
        <v>0</v>
      </c>
      <c r="AG128">
        <v>1</v>
      </c>
      <c r="AH128">
        <v>0</v>
      </c>
      <c r="AI128" t="s">
        <v>49</v>
      </c>
    </row>
    <row r="129" spans="1:35" ht="12.75">
      <c r="A129" s="667" t="s">
        <v>49</v>
      </c>
      <c r="B129" s="668">
        <v>5</v>
      </c>
      <c r="C129" s="669" t="s">
        <v>1757</v>
      </c>
      <c r="D129" s="670" t="s">
        <v>69</v>
      </c>
      <c r="E129" s="670" t="s">
        <v>73</v>
      </c>
      <c r="F129" s="670" t="s">
        <v>26</v>
      </c>
      <c r="G129" s="670">
        <v>0</v>
      </c>
      <c r="H129" s="670">
        <v>0</v>
      </c>
      <c r="I129" s="670">
        <v>1</v>
      </c>
      <c r="J129" s="670">
        <v>1</v>
      </c>
      <c r="K129" s="670" t="s">
        <v>207</v>
      </c>
      <c r="L129" s="670" t="s">
        <v>49</v>
      </c>
      <c r="M129" s="669">
        <v>2</v>
      </c>
      <c r="N129" s="670">
        <v>2</v>
      </c>
      <c r="O129" s="671" t="s">
        <v>1758</v>
      </c>
      <c r="P129" s="466" t="s">
        <v>49</v>
      </c>
      <c r="Q129" s="466" t="s">
        <v>148</v>
      </c>
      <c r="R129" s="466" t="s">
        <v>49</v>
      </c>
      <c r="S129" s="466">
        <v>4</v>
      </c>
      <c r="T129" s="466">
        <v>9</v>
      </c>
      <c r="U129" s="466">
        <v>9</v>
      </c>
      <c r="V129" s="466">
        <v>1</v>
      </c>
      <c r="W129">
        <v>0</v>
      </c>
      <c r="X129">
        <v>0</v>
      </c>
      <c r="Y129">
        <v>0</v>
      </c>
      <c r="Z129">
        <v>0</v>
      </c>
      <c r="AA129" t="b">
        <v>1</v>
      </c>
      <c r="AB129" t="b">
        <v>1</v>
      </c>
      <c r="AC129">
        <v>0</v>
      </c>
      <c r="AD129">
        <v>0</v>
      </c>
      <c r="AE129">
        <v>0</v>
      </c>
      <c r="AF129">
        <v>0</v>
      </c>
      <c r="AG129">
        <v>0</v>
      </c>
      <c r="AH129">
        <v>0</v>
      </c>
      <c r="AI129" t="s">
        <v>49</v>
      </c>
    </row>
    <row r="130" spans="1:35" ht="12.75">
      <c r="A130" s="667" t="s">
        <v>49</v>
      </c>
      <c r="B130" s="668">
        <v>6</v>
      </c>
      <c r="C130" s="669" t="s">
        <v>1761</v>
      </c>
      <c r="D130" s="670" t="s">
        <v>69</v>
      </c>
      <c r="E130" s="670" t="s">
        <v>73</v>
      </c>
      <c r="F130" s="670" t="s">
        <v>115</v>
      </c>
      <c r="G130" s="670">
        <v>0</v>
      </c>
      <c r="H130" s="670">
        <v>0</v>
      </c>
      <c r="I130" s="670">
        <v>1</v>
      </c>
      <c r="J130" s="670">
        <v>1</v>
      </c>
      <c r="K130" s="670" t="s">
        <v>182</v>
      </c>
      <c r="L130" s="670" t="s">
        <v>49</v>
      </c>
      <c r="M130" s="669">
        <v>4</v>
      </c>
      <c r="N130" s="670">
        <v>6</v>
      </c>
      <c r="O130" s="671" t="s">
        <v>1762</v>
      </c>
      <c r="P130" s="466" t="s">
        <v>49</v>
      </c>
      <c r="Q130" s="466" t="s">
        <v>148</v>
      </c>
      <c r="R130" s="466" t="s">
        <v>49</v>
      </c>
      <c r="S130" s="466">
        <v>4</v>
      </c>
      <c r="T130" s="466">
        <v>9</v>
      </c>
      <c r="U130" s="466">
        <v>10</v>
      </c>
      <c r="V130" s="466">
        <v>3</v>
      </c>
      <c r="W130">
        <v>0</v>
      </c>
      <c r="X130">
        <v>0</v>
      </c>
      <c r="Y130">
        <v>0</v>
      </c>
      <c r="Z130">
        <v>0</v>
      </c>
      <c r="AA130" t="b">
        <v>1</v>
      </c>
      <c r="AB130" t="b">
        <v>1</v>
      </c>
      <c r="AC130">
        <v>0</v>
      </c>
      <c r="AD130">
        <v>0</v>
      </c>
      <c r="AE130">
        <v>0</v>
      </c>
      <c r="AF130">
        <v>0</v>
      </c>
      <c r="AG130">
        <v>0</v>
      </c>
      <c r="AH130">
        <v>0</v>
      </c>
      <c r="AI130" t="s">
        <v>49</v>
      </c>
    </row>
    <row r="131" spans="1:35" ht="12.75">
      <c r="A131" s="667" t="s">
        <v>49</v>
      </c>
      <c r="B131" s="668">
        <v>6</v>
      </c>
      <c r="C131" s="669" t="s">
        <v>1763</v>
      </c>
      <c r="D131" s="670" t="s">
        <v>69</v>
      </c>
      <c r="E131" s="670" t="s">
        <v>73</v>
      </c>
      <c r="F131" s="670" t="s">
        <v>115</v>
      </c>
      <c r="G131" s="670">
        <v>0</v>
      </c>
      <c r="H131" s="670">
        <v>0</v>
      </c>
      <c r="I131" s="670">
        <v>1</v>
      </c>
      <c r="J131" s="670">
        <v>1</v>
      </c>
      <c r="K131" s="670" t="s">
        <v>182</v>
      </c>
      <c r="L131" s="670" t="s">
        <v>415</v>
      </c>
      <c r="M131" s="669">
        <v>2</v>
      </c>
      <c r="N131" s="670">
        <v>8</v>
      </c>
      <c r="O131" s="671" t="s">
        <v>1764</v>
      </c>
      <c r="P131" s="466" t="s">
        <v>49</v>
      </c>
      <c r="Q131" s="466" t="s">
        <v>148</v>
      </c>
      <c r="R131" s="466" t="s">
        <v>49</v>
      </c>
      <c r="S131" s="466">
        <v>4</v>
      </c>
      <c r="T131" s="466">
        <v>9</v>
      </c>
      <c r="U131" s="466">
        <v>10</v>
      </c>
      <c r="V131" s="466">
        <v>3</v>
      </c>
      <c r="W131">
        <v>0</v>
      </c>
      <c r="X131">
        <v>0</v>
      </c>
      <c r="Y131">
        <v>0</v>
      </c>
      <c r="Z131">
        <v>0</v>
      </c>
      <c r="AA131" t="b">
        <v>1</v>
      </c>
      <c r="AB131" t="b">
        <v>1</v>
      </c>
      <c r="AC131">
        <v>0</v>
      </c>
      <c r="AD131">
        <v>0</v>
      </c>
      <c r="AE131">
        <v>0</v>
      </c>
      <c r="AF131">
        <v>0</v>
      </c>
      <c r="AG131">
        <v>0</v>
      </c>
      <c r="AH131">
        <v>0</v>
      </c>
      <c r="AI131" t="s">
        <v>49</v>
      </c>
    </row>
    <row r="132" spans="1:35" ht="12.75">
      <c r="A132" s="667" t="s">
        <v>49</v>
      </c>
      <c r="B132" s="668">
        <v>7</v>
      </c>
      <c r="C132" s="669" t="s">
        <v>1765</v>
      </c>
      <c r="D132" s="670" t="s">
        <v>69</v>
      </c>
      <c r="E132" s="670" t="s">
        <v>73</v>
      </c>
      <c r="F132" s="670" t="s">
        <v>8</v>
      </c>
      <c r="G132" s="670">
        <v>0</v>
      </c>
      <c r="H132" s="670">
        <v>0</v>
      </c>
      <c r="I132" s="670">
        <v>1</v>
      </c>
      <c r="J132" s="670">
        <v>1</v>
      </c>
      <c r="K132" s="670" t="s">
        <v>146</v>
      </c>
      <c r="L132" s="670" t="s">
        <v>49</v>
      </c>
      <c r="M132" s="669"/>
      <c r="N132" s="670"/>
      <c r="O132" s="671" t="s">
        <v>1766</v>
      </c>
      <c r="P132" s="466" t="s">
        <v>651</v>
      </c>
      <c r="Q132" s="466" t="s">
        <v>148</v>
      </c>
      <c r="R132" s="466" t="s">
        <v>49</v>
      </c>
      <c r="S132" s="466">
        <v>4</v>
      </c>
      <c r="T132" s="466">
        <v>9</v>
      </c>
      <c r="U132" s="466">
        <v>1</v>
      </c>
      <c r="V132" s="466">
        <v>2</v>
      </c>
      <c r="W132">
        <v>0</v>
      </c>
      <c r="X132">
        <v>0</v>
      </c>
      <c r="Y132">
        <v>0</v>
      </c>
      <c r="Z132">
        <v>0</v>
      </c>
      <c r="AA132" t="b">
        <v>1</v>
      </c>
      <c r="AB132" t="b">
        <v>1</v>
      </c>
      <c r="AC132">
        <v>0</v>
      </c>
      <c r="AD132">
        <v>0</v>
      </c>
      <c r="AE132">
        <v>0</v>
      </c>
      <c r="AF132">
        <v>0</v>
      </c>
      <c r="AG132">
        <v>0</v>
      </c>
      <c r="AH132">
        <v>0</v>
      </c>
      <c r="AI132" t="s">
        <v>49</v>
      </c>
    </row>
    <row r="133" spans="1:35" ht="12.75">
      <c r="A133" s="667" t="s">
        <v>49</v>
      </c>
      <c r="B133" s="668">
        <v>8</v>
      </c>
      <c r="C133" s="669" t="s">
        <v>1767</v>
      </c>
      <c r="D133" s="670" t="s">
        <v>69</v>
      </c>
      <c r="E133" s="670" t="s">
        <v>73</v>
      </c>
      <c r="F133" s="670" t="s">
        <v>11</v>
      </c>
      <c r="G133" s="670">
        <v>0</v>
      </c>
      <c r="H133" s="670">
        <v>0</v>
      </c>
      <c r="I133" s="670">
        <v>1</v>
      </c>
      <c r="J133" s="670">
        <v>1</v>
      </c>
      <c r="K133" s="670" t="s">
        <v>146</v>
      </c>
      <c r="L133" s="670" t="s">
        <v>49</v>
      </c>
      <c r="M133" s="669"/>
      <c r="N133" s="670"/>
      <c r="O133" s="671" t="s">
        <v>1768</v>
      </c>
      <c r="P133" s="466" t="s">
        <v>49</v>
      </c>
      <c r="Q133" s="466" t="s">
        <v>148</v>
      </c>
      <c r="R133" s="466" t="s">
        <v>49</v>
      </c>
      <c r="S133" s="466">
        <v>4</v>
      </c>
      <c r="T133" s="466">
        <v>9</v>
      </c>
      <c r="U133" s="466">
        <v>2</v>
      </c>
      <c r="V133" s="466">
        <v>2</v>
      </c>
      <c r="W133">
        <v>0</v>
      </c>
      <c r="X133">
        <v>0</v>
      </c>
      <c r="Y133">
        <v>0</v>
      </c>
      <c r="Z133">
        <v>0</v>
      </c>
      <c r="AA133" t="b">
        <v>1</v>
      </c>
      <c r="AB133" t="b">
        <v>1</v>
      </c>
      <c r="AC133">
        <v>0</v>
      </c>
      <c r="AD133">
        <v>0</v>
      </c>
      <c r="AE133">
        <v>0</v>
      </c>
      <c r="AF133">
        <v>0</v>
      </c>
      <c r="AG133">
        <v>0</v>
      </c>
      <c r="AH133">
        <v>0</v>
      </c>
      <c r="AI133" t="s">
        <v>49</v>
      </c>
    </row>
    <row r="134" spans="1:35" ht="12.75">
      <c r="A134" s="667" t="s">
        <v>49</v>
      </c>
      <c r="B134" s="668">
        <v>8</v>
      </c>
      <c r="C134" s="669" t="s">
        <v>1769</v>
      </c>
      <c r="D134" s="670" t="s">
        <v>69</v>
      </c>
      <c r="E134" s="670" t="s">
        <v>73</v>
      </c>
      <c r="F134" s="670" t="s">
        <v>11</v>
      </c>
      <c r="G134" s="670">
        <v>1</v>
      </c>
      <c r="H134" s="670">
        <v>0</v>
      </c>
      <c r="I134" s="670">
        <v>1</v>
      </c>
      <c r="J134" s="670">
        <v>1</v>
      </c>
      <c r="K134" s="670" t="s">
        <v>182</v>
      </c>
      <c r="L134" s="670" t="s">
        <v>230</v>
      </c>
      <c r="M134" s="669">
        <v>8</v>
      </c>
      <c r="N134" s="670">
        <v>8</v>
      </c>
      <c r="O134" s="671" t="s">
        <v>1770</v>
      </c>
      <c r="P134" s="466" t="s">
        <v>49</v>
      </c>
      <c r="Q134" s="466" t="s">
        <v>148</v>
      </c>
      <c r="R134" s="466" t="s">
        <v>49</v>
      </c>
      <c r="S134" s="466">
        <v>4</v>
      </c>
      <c r="T134" s="466">
        <v>9</v>
      </c>
      <c r="U134" s="466">
        <v>2</v>
      </c>
      <c r="V134" s="466">
        <v>3</v>
      </c>
      <c r="W134">
        <v>1</v>
      </c>
      <c r="X134">
        <v>1</v>
      </c>
      <c r="Y134">
        <v>0</v>
      </c>
      <c r="Z134">
        <v>1</v>
      </c>
      <c r="AA134" t="b">
        <v>0</v>
      </c>
      <c r="AB134" t="b">
        <v>1</v>
      </c>
      <c r="AC134">
        <v>0</v>
      </c>
      <c r="AD134">
        <v>0</v>
      </c>
      <c r="AE134">
        <v>1</v>
      </c>
      <c r="AF134">
        <v>0</v>
      </c>
      <c r="AG134">
        <v>1</v>
      </c>
      <c r="AH134">
        <v>0</v>
      </c>
      <c r="AI134" t="s">
        <v>49</v>
      </c>
    </row>
    <row r="135" spans="1:35" ht="12.75">
      <c r="A135" s="667" t="s">
        <v>49</v>
      </c>
      <c r="B135" s="668">
        <v>9</v>
      </c>
      <c r="C135" s="669" t="s">
        <v>1771</v>
      </c>
      <c r="D135" s="670" t="s">
        <v>69</v>
      </c>
      <c r="E135" s="670" t="s">
        <v>73</v>
      </c>
      <c r="F135" s="670" t="s">
        <v>20</v>
      </c>
      <c r="G135" s="670">
        <v>1</v>
      </c>
      <c r="H135" s="670">
        <v>0</v>
      </c>
      <c r="I135" s="670">
        <v>1</v>
      </c>
      <c r="J135" s="670">
        <v>1</v>
      </c>
      <c r="K135" s="670" t="s">
        <v>182</v>
      </c>
      <c r="L135" s="670" t="s">
        <v>49</v>
      </c>
      <c r="M135" s="669">
        <v>4</v>
      </c>
      <c r="N135" s="670">
        <v>4</v>
      </c>
      <c r="O135" s="671" t="s">
        <v>1772</v>
      </c>
      <c r="P135" s="466" t="s">
        <v>184</v>
      </c>
      <c r="Q135" s="466" t="s">
        <v>148</v>
      </c>
      <c r="R135" s="466" t="s">
        <v>49</v>
      </c>
      <c r="S135" s="466">
        <v>4</v>
      </c>
      <c r="T135" s="466">
        <v>9</v>
      </c>
      <c r="U135" s="466">
        <v>6</v>
      </c>
      <c r="V135" s="466">
        <v>3</v>
      </c>
      <c r="W135">
        <v>1</v>
      </c>
      <c r="X135">
        <v>1</v>
      </c>
      <c r="Y135">
        <v>0</v>
      </c>
      <c r="Z135">
        <v>1</v>
      </c>
      <c r="AA135" t="b">
        <v>0</v>
      </c>
      <c r="AB135" t="b">
        <v>1</v>
      </c>
      <c r="AC135">
        <v>0</v>
      </c>
      <c r="AD135">
        <v>0</v>
      </c>
      <c r="AE135">
        <v>1</v>
      </c>
      <c r="AF135">
        <v>0</v>
      </c>
      <c r="AG135">
        <v>1</v>
      </c>
      <c r="AH135">
        <v>0</v>
      </c>
      <c r="AI135" t="s">
        <v>49</v>
      </c>
    </row>
    <row r="136" spans="1:35" ht="12.75">
      <c r="A136" s="667" t="s">
        <v>49</v>
      </c>
      <c r="B136" s="668">
        <v>9</v>
      </c>
      <c r="C136" s="669" t="s">
        <v>1773</v>
      </c>
      <c r="D136" s="670" t="s">
        <v>69</v>
      </c>
      <c r="E136" s="670" t="s">
        <v>73</v>
      </c>
      <c r="F136" s="670" t="s">
        <v>115</v>
      </c>
      <c r="G136" s="670">
        <v>0</v>
      </c>
      <c r="H136" s="670">
        <v>0</v>
      </c>
      <c r="I136" s="670">
        <v>1</v>
      </c>
      <c r="J136" s="670">
        <v>1</v>
      </c>
      <c r="K136" s="670" t="s">
        <v>182</v>
      </c>
      <c r="L136" s="670" t="s">
        <v>49</v>
      </c>
      <c r="M136" s="669">
        <v>9</v>
      </c>
      <c r="N136" s="670">
        <v>9</v>
      </c>
      <c r="O136" s="671" t="s">
        <v>1774</v>
      </c>
      <c r="P136" s="466" t="s">
        <v>49</v>
      </c>
      <c r="Q136" s="466" t="s">
        <v>148</v>
      </c>
      <c r="R136" s="466" t="s">
        <v>49</v>
      </c>
      <c r="S136" s="466">
        <v>4</v>
      </c>
      <c r="T136" s="466">
        <v>9</v>
      </c>
      <c r="U136" s="466">
        <v>10</v>
      </c>
      <c r="V136" s="466">
        <v>3</v>
      </c>
      <c r="W136">
        <v>0</v>
      </c>
      <c r="X136">
        <v>0</v>
      </c>
      <c r="Y136">
        <v>0</v>
      </c>
      <c r="Z136">
        <v>0</v>
      </c>
      <c r="AA136" t="b">
        <v>1</v>
      </c>
      <c r="AB136" t="b">
        <v>1</v>
      </c>
      <c r="AC136">
        <v>0</v>
      </c>
      <c r="AD136">
        <v>0</v>
      </c>
      <c r="AE136">
        <v>0</v>
      </c>
      <c r="AF136">
        <v>0</v>
      </c>
      <c r="AG136">
        <v>0</v>
      </c>
      <c r="AH136">
        <v>0</v>
      </c>
      <c r="AI136" t="s">
        <v>49</v>
      </c>
    </row>
    <row r="137" spans="1:35" ht="12.75">
      <c r="A137" s="667" t="s">
        <v>49</v>
      </c>
      <c r="B137" s="668">
        <v>10</v>
      </c>
      <c r="C137" s="669" t="s">
        <v>1775</v>
      </c>
      <c r="D137" s="670" t="s">
        <v>69</v>
      </c>
      <c r="E137" s="670" t="s">
        <v>73</v>
      </c>
      <c r="F137" s="670" t="s">
        <v>25</v>
      </c>
      <c r="G137" s="670">
        <v>0</v>
      </c>
      <c r="H137" s="670">
        <v>0</v>
      </c>
      <c r="I137" s="670">
        <v>1</v>
      </c>
      <c r="J137" s="670">
        <v>1</v>
      </c>
      <c r="K137" s="670" t="s">
        <v>146</v>
      </c>
      <c r="L137" s="670" t="s">
        <v>49</v>
      </c>
      <c r="M137" s="669"/>
      <c r="N137" s="670"/>
      <c r="O137" s="671" t="s">
        <v>1776</v>
      </c>
      <c r="P137" s="466" t="s">
        <v>49</v>
      </c>
      <c r="Q137" s="466" t="s">
        <v>148</v>
      </c>
      <c r="R137" s="466" t="s">
        <v>49</v>
      </c>
      <c r="S137" s="466">
        <v>4</v>
      </c>
      <c r="T137" s="466">
        <v>9</v>
      </c>
      <c r="U137" s="466">
        <v>8</v>
      </c>
      <c r="V137" s="466">
        <v>2</v>
      </c>
      <c r="W137">
        <v>0</v>
      </c>
      <c r="X137">
        <v>0</v>
      </c>
      <c r="Y137">
        <v>0</v>
      </c>
      <c r="Z137">
        <v>0</v>
      </c>
      <c r="AA137" t="b">
        <v>1</v>
      </c>
      <c r="AB137" t="b">
        <v>1</v>
      </c>
      <c r="AC137">
        <v>0</v>
      </c>
      <c r="AD137">
        <v>0</v>
      </c>
      <c r="AE137">
        <v>0</v>
      </c>
      <c r="AF137">
        <v>0</v>
      </c>
      <c r="AG137">
        <v>0</v>
      </c>
      <c r="AH137">
        <v>0</v>
      </c>
      <c r="AI137" t="s">
        <v>49</v>
      </c>
    </row>
    <row r="138" spans="1:35" ht="12.75">
      <c r="A138" s="667" t="s">
        <v>49</v>
      </c>
      <c r="B138" s="668">
        <v>1</v>
      </c>
      <c r="C138" s="669" t="s">
        <v>1777</v>
      </c>
      <c r="D138" s="670" t="s">
        <v>70</v>
      </c>
      <c r="E138" s="670" t="s">
        <v>73</v>
      </c>
      <c r="F138" s="670" t="s">
        <v>115</v>
      </c>
      <c r="G138" s="670">
        <v>1</v>
      </c>
      <c r="H138" s="670">
        <v>0</v>
      </c>
      <c r="I138" s="670">
        <v>1</v>
      </c>
      <c r="J138" s="670">
        <v>1</v>
      </c>
      <c r="K138" s="670" t="s">
        <v>182</v>
      </c>
      <c r="L138" s="670" t="s">
        <v>49</v>
      </c>
      <c r="M138" s="669">
        <v>1</v>
      </c>
      <c r="N138" s="670">
        <v>1</v>
      </c>
      <c r="O138" s="671" t="s">
        <v>1778</v>
      </c>
      <c r="P138" s="466" t="s">
        <v>49</v>
      </c>
      <c r="Q138" s="466" t="s">
        <v>148</v>
      </c>
      <c r="R138" s="466" t="s">
        <v>49</v>
      </c>
      <c r="S138" s="466">
        <v>5</v>
      </c>
      <c r="T138" s="466">
        <v>9</v>
      </c>
      <c r="U138" s="466">
        <v>10</v>
      </c>
      <c r="V138" s="466">
        <v>3</v>
      </c>
      <c r="W138">
        <v>1</v>
      </c>
      <c r="X138">
        <v>1</v>
      </c>
      <c r="Y138">
        <v>0</v>
      </c>
      <c r="Z138">
        <v>1</v>
      </c>
      <c r="AA138" t="b">
        <v>0</v>
      </c>
      <c r="AB138" t="b">
        <v>0</v>
      </c>
      <c r="AC138">
        <v>0</v>
      </c>
      <c r="AD138">
        <v>0</v>
      </c>
      <c r="AE138">
        <v>1</v>
      </c>
      <c r="AF138">
        <v>0</v>
      </c>
      <c r="AG138">
        <v>1</v>
      </c>
      <c r="AH138">
        <v>0</v>
      </c>
      <c r="AI138" t="s">
        <v>49</v>
      </c>
    </row>
    <row r="139" spans="1:35" ht="12.75">
      <c r="A139" s="667" t="s">
        <v>49</v>
      </c>
      <c r="B139" s="668">
        <v>2</v>
      </c>
      <c r="C139" s="669" t="s">
        <v>1779</v>
      </c>
      <c r="D139" s="670" t="s">
        <v>70</v>
      </c>
      <c r="E139" s="670" t="s">
        <v>73</v>
      </c>
      <c r="F139" s="670" t="s">
        <v>115</v>
      </c>
      <c r="G139" s="670">
        <v>0</v>
      </c>
      <c r="H139" s="670">
        <v>0</v>
      </c>
      <c r="I139" s="670">
        <v>1</v>
      </c>
      <c r="J139" s="670">
        <v>1</v>
      </c>
      <c r="K139" s="670" t="s">
        <v>182</v>
      </c>
      <c r="L139" s="670" t="s">
        <v>49</v>
      </c>
      <c r="M139" s="669">
        <v>2</v>
      </c>
      <c r="N139" s="670">
        <v>4</v>
      </c>
      <c r="O139" s="671" t="s">
        <v>1780</v>
      </c>
      <c r="P139" s="466" t="s">
        <v>49</v>
      </c>
      <c r="Q139" s="466" t="s">
        <v>148</v>
      </c>
      <c r="R139" s="466" t="s">
        <v>49</v>
      </c>
      <c r="S139" s="466">
        <v>5</v>
      </c>
      <c r="T139" s="466">
        <v>9</v>
      </c>
      <c r="U139" s="466">
        <v>10</v>
      </c>
      <c r="V139" s="466">
        <v>3</v>
      </c>
      <c r="W139">
        <v>0</v>
      </c>
      <c r="X139">
        <v>0</v>
      </c>
      <c r="Y139">
        <v>0</v>
      </c>
      <c r="Z139">
        <v>0</v>
      </c>
      <c r="AA139" t="b">
        <v>1</v>
      </c>
      <c r="AB139" t="b">
        <v>0</v>
      </c>
      <c r="AC139">
        <v>0</v>
      </c>
      <c r="AD139">
        <v>0</v>
      </c>
      <c r="AE139">
        <v>0</v>
      </c>
      <c r="AF139">
        <v>0</v>
      </c>
      <c r="AG139">
        <v>0</v>
      </c>
      <c r="AH139">
        <v>0</v>
      </c>
      <c r="AI139" t="s">
        <v>49</v>
      </c>
    </row>
    <row r="140" spans="1:35" ht="12.75">
      <c r="A140" s="667" t="s">
        <v>49</v>
      </c>
      <c r="B140" s="668">
        <v>4</v>
      </c>
      <c r="C140" s="669" t="s">
        <v>1781</v>
      </c>
      <c r="D140" s="670" t="s">
        <v>70</v>
      </c>
      <c r="E140" s="670" t="s">
        <v>73</v>
      </c>
      <c r="F140" s="670" t="s">
        <v>8</v>
      </c>
      <c r="G140" s="670">
        <v>0</v>
      </c>
      <c r="H140" s="670">
        <v>0</v>
      </c>
      <c r="I140" s="670">
        <v>1</v>
      </c>
      <c r="J140" s="670">
        <v>1</v>
      </c>
      <c r="K140" s="670" t="s">
        <v>182</v>
      </c>
      <c r="L140" s="670" t="s">
        <v>49</v>
      </c>
      <c r="M140" s="669">
        <v>3</v>
      </c>
      <c r="N140" s="670">
        <v>5</v>
      </c>
      <c r="O140" s="671" t="s">
        <v>1782</v>
      </c>
      <c r="P140" s="466" t="s">
        <v>49</v>
      </c>
      <c r="Q140" s="466" t="s">
        <v>148</v>
      </c>
      <c r="R140" s="466" t="s">
        <v>49</v>
      </c>
      <c r="S140" s="466">
        <v>5</v>
      </c>
      <c r="T140" s="466">
        <v>9</v>
      </c>
      <c r="U140" s="466">
        <v>1</v>
      </c>
      <c r="V140" s="466">
        <v>3</v>
      </c>
      <c r="W140">
        <v>0</v>
      </c>
      <c r="X140">
        <v>0</v>
      </c>
      <c r="Y140">
        <v>0</v>
      </c>
      <c r="Z140">
        <v>0</v>
      </c>
      <c r="AA140" t="b">
        <v>1</v>
      </c>
      <c r="AB140" t="b">
        <v>0</v>
      </c>
      <c r="AC140">
        <v>0</v>
      </c>
      <c r="AD140">
        <v>0</v>
      </c>
      <c r="AE140">
        <v>0</v>
      </c>
      <c r="AF140">
        <v>0</v>
      </c>
      <c r="AG140">
        <v>0</v>
      </c>
      <c r="AH140">
        <v>0</v>
      </c>
      <c r="AI140" t="s">
        <v>49</v>
      </c>
    </row>
    <row r="141" spans="1:35" ht="12.75">
      <c r="A141" s="667" t="s">
        <v>49</v>
      </c>
      <c r="B141" s="668">
        <v>4</v>
      </c>
      <c r="C141" s="669" t="s">
        <v>1783</v>
      </c>
      <c r="D141" s="670" t="s">
        <v>70</v>
      </c>
      <c r="E141" s="670" t="s">
        <v>73</v>
      </c>
      <c r="F141" s="670" t="s">
        <v>20</v>
      </c>
      <c r="G141" s="670">
        <v>0</v>
      </c>
      <c r="H141" s="670">
        <v>0</v>
      </c>
      <c r="I141" s="670">
        <v>1</v>
      </c>
      <c r="J141" s="670">
        <v>1</v>
      </c>
      <c r="K141" s="670" t="s">
        <v>182</v>
      </c>
      <c r="L141" s="670" t="s">
        <v>49</v>
      </c>
      <c r="M141" s="669">
        <v>3</v>
      </c>
      <c r="N141" s="670">
        <v>4</v>
      </c>
      <c r="O141" s="671" t="s">
        <v>1784</v>
      </c>
      <c r="P141" s="466" t="s">
        <v>1785</v>
      </c>
      <c r="Q141" s="466" t="s">
        <v>148</v>
      </c>
      <c r="R141" s="466" t="s">
        <v>49</v>
      </c>
      <c r="S141" s="466">
        <v>5</v>
      </c>
      <c r="T141" s="466">
        <v>9</v>
      </c>
      <c r="U141" s="466">
        <v>6</v>
      </c>
      <c r="V141" s="466">
        <v>3</v>
      </c>
      <c r="W141">
        <v>0</v>
      </c>
      <c r="X141">
        <v>0</v>
      </c>
      <c r="Y141">
        <v>0</v>
      </c>
      <c r="Z141">
        <v>0</v>
      </c>
      <c r="AA141" t="b">
        <v>1</v>
      </c>
      <c r="AB141" t="b">
        <v>0</v>
      </c>
      <c r="AC141">
        <v>0</v>
      </c>
      <c r="AD141">
        <v>0</v>
      </c>
      <c r="AE141">
        <v>0</v>
      </c>
      <c r="AF141">
        <v>0</v>
      </c>
      <c r="AG141">
        <v>0</v>
      </c>
      <c r="AH141">
        <v>0</v>
      </c>
      <c r="AI141" t="s">
        <v>49</v>
      </c>
    </row>
    <row r="142" spans="1:35" ht="12.75">
      <c r="A142" s="667" t="s">
        <v>49</v>
      </c>
      <c r="B142" s="668">
        <v>5</v>
      </c>
      <c r="C142" s="669" t="s">
        <v>1786</v>
      </c>
      <c r="D142" s="670" t="s">
        <v>70</v>
      </c>
      <c r="E142" s="670" t="s">
        <v>73</v>
      </c>
      <c r="F142" s="670" t="s">
        <v>21</v>
      </c>
      <c r="G142" s="670">
        <v>0</v>
      </c>
      <c r="H142" s="670">
        <v>0</v>
      </c>
      <c r="I142" s="670">
        <v>1</v>
      </c>
      <c r="J142" s="670">
        <v>1</v>
      </c>
      <c r="K142" s="670" t="s">
        <v>182</v>
      </c>
      <c r="L142" s="670" t="s">
        <v>49</v>
      </c>
      <c r="M142" s="669">
        <v>4</v>
      </c>
      <c r="N142" s="670">
        <v>6</v>
      </c>
      <c r="O142" s="671" t="s">
        <v>1787</v>
      </c>
      <c r="P142" s="466" t="s">
        <v>49</v>
      </c>
      <c r="Q142" s="466" t="s">
        <v>148</v>
      </c>
      <c r="R142" s="466" t="s">
        <v>49</v>
      </c>
      <c r="S142" s="466">
        <v>5</v>
      </c>
      <c r="T142" s="466">
        <v>9</v>
      </c>
      <c r="U142" s="466">
        <v>7</v>
      </c>
      <c r="V142" s="466">
        <v>3</v>
      </c>
      <c r="W142">
        <v>0</v>
      </c>
      <c r="X142">
        <v>0</v>
      </c>
      <c r="Y142">
        <v>0</v>
      </c>
      <c r="Z142">
        <v>0</v>
      </c>
      <c r="AA142" t="b">
        <v>1</v>
      </c>
      <c r="AB142" t="b">
        <v>0</v>
      </c>
      <c r="AC142">
        <v>0</v>
      </c>
      <c r="AD142">
        <v>0</v>
      </c>
      <c r="AE142">
        <v>0</v>
      </c>
      <c r="AF142">
        <v>0</v>
      </c>
      <c r="AG142">
        <v>0</v>
      </c>
      <c r="AH142">
        <v>0</v>
      </c>
      <c r="AI142" t="s">
        <v>49</v>
      </c>
    </row>
    <row r="143" spans="1:35" ht="12.75">
      <c r="A143" s="667" t="s">
        <v>49</v>
      </c>
      <c r="B143" s="668">
        <v>5</v>
      </c>
      <c r="C143" s="669" t="s">
        <v>1788</v>
      </c>
      <c r="D143" s="670" t="s">
        <v>70</v>
      </c>
      <c r="E143" s="670" t="s">
        <v>73</v>
      </c>
      <c r="F143" s="670" t="s">
        <v>11</v>
      </c>
      <c r="G143" s="670">
        <v>1</v>
      </c>
      <c r="H143" s="670">
        <v>0</v>
      </c>
      <c r="I143" s="670">
        <v>1</v>
      </c>
      <c r="J143" s="670">
        <v>1</v>
      </c>
      <c r="K143" s="670" t="s">
        <v>182</v>
      </c>
      <c r="L143" s="670" t="s">
        <v>49</v>
      </c>
      <c r="M143" s="669">
        <v>6</v>
      </c>
      <c r="N143" s="670">
        <v>5</v>
      </c>
      <c r="O143" s="671" t="s">
        <v>1789</v>
      </c>
      <c r="P143" s="466" t="s">
        <v>184</v>
      </c>
      <c r="Q143" s="466" t="s">
        <v>148</v>
      </c>
      <c r="R143" s="466" t="s">
        <v>49</v>
      </c>
      <c r="S143" s="466">
        <v>5</v>
      </c>
      <c r="T143" s="466">
        <v>9</v>
      </c>
      <c r="U143" s="466">
        <v>2</v>
      </c>
      <c r="V143" s="466">
        <v>3</v>
      </c>
      <c r="W143">
        <v>1</v>
      </c>
      <c r="X143">
        <v>1</v>
      </c>
      <c r="Y143">
        <v>0</v>
      </c>
      <c r="Z143">
        <v>1</v>
      </c>
      <c r="AA143" t="b">
        <v>0</v>
      </c>
      <c r="AB143" t="b">
        <v>0</v>
      </c>
      <c r="AC143">
        <v>0</v>
      </c>
      <c r="AD143">
        <v>0</v>
      </c>
      <c r="AE143">
        <v>1</v>
      </c>
      <c r="AF143">
        <v>0</v>
      </c>
      <c r="AG143">
        <v>1</v>
      </c>
      <c r="AH143">
        <v>0</v>
      </c>
      <c r="AI143" t="s">
        <v>49</v>
      </c>
    </row>
    <row r="144" spans="1:35" ht="12.75">
      <c r="A144" s="667" t="s">
        <v>49</v>
      </c>
      <c r="B144" s="668">
        <v>6</v>
      </c>
      <c r="C144" s="669" t="s">
        <v>1790</v>
      </c>
      <c r="D144" s="670" t="s">
        <v>70</v>
      </c>
      <c r="E144" s="670" t="s">
        <v>73</v>
      </c>
      <c r="F144" s="670" t="s">
        <v>18</v>
      </c>
      <c r="G144" s="670">
        <v>0</v>
      </c>
      <c r="H144" s="670">
        <v>0</v>
      </c>
      <c r="I144" s="670">
        <v>1</v>
      </c>
      <c r="J144" s="670">
        <v>1</v>
      </c>
      <c r="K144" s="670" t="s">
        <v>182</v>
      </c>
      <c r="L144" s="670" t="s">
        <v>49</v>
      </c>
      <c r="M144" s="669">
        <v>5</v>
      </c>
      <c r="N144" s="670">
        <v>5</v>
      </c>
      <c r="O144" s="671" t="s">
        <v>1791</v>
      </c>
      <c r="P144" s="466" t="s">
        <v>184</v>
      </c>
      <c r="Q144" s="466" t="s">
        <v>148</v>
      </c>
      <c r="R144" s="466" t="s">
        <v>49</v>
      </c>
      <c r="S144" s="466">
        <v>5</v>
      </c>
      <c r="T144" s="466">
        <v>9</v>
      </c>
      <c r="U144" s="466">
        <v>5</v>
      </c>
      <c r="V144" s="466">
        <v>3</v>
      </c>
      <c r="W144">
        <v>0</v>
      </c>
      <c r="X144">
        <v>0</v>
      </c>
      <c r="Y144">
        <v>0</v>
      </c>
      <c r="Z144">
        <v>0</v>
      </c>
      <c r="AA144" t="b">
        <v>1</v>
      </c>
      <c r="AB144" t="b">
        <v>0</v>
      </c>
      <c r="AC144">
        <v>0</v>
      </c>
      <c r="AD144">
        <v>0</v>
      </c>
      <c r="AE144">
        <v>0</v>
      </c>
      <c r="AF144">
        <v>0</v>
      </c>
      <c r="AG144">
        <v>0</v>
      </c>
      <c r="AH144">
        <v>0</v>
      </c>
      <c r="AI144" t="s">
        <v>49</v>
      </c>
    </row>
    <row r="145" spans="1:35" ht="12.75">
      <c r="A145" s="667" t="s">
        <v>49</v>
      </c>
      <c r="B145" s="668">
        <v>6</v>
      </c>
      <c r="C145" s="669" t="s">
        <v>1792</v>
      </c>
      <c r="D145" s="670" t="s">
        <v>70</v>
      </c>
      <c r="E145" s="670" t="s">
        <v>73</v>
      </c>
      <c r="F145" s="670" t="s">
        <v>115</v>
      </c>
      <c r="G145" s="670">
        <v>0</v>
      </c>
      <c r="H145" s="670">
        <v>0</v>
      </c>
      <c r="I145" s="670">
        <v>1</v>
      </c>
      <c r="J145" s="670">
        <v>1</v>
      </c>
      <c r="K145" s="670" t="s">
        <v>182</v>
      </c>
      <c r="L145" s="670" t="s">
        <v>49</v>
      </c>
      <c r="M145" s="669">
        <v>6</v>
      </c>
      <c r="N145" s="670">
        <v>6</v>
      </c>
      <c r="O145" s="671" t="s">
        <v>1793</v>
      </c>
      <c r="P145" s="466" t="s">
        <v>49</v>
      </c>
      <c r="Q145" s="466" t="s">
        <v>148</v>
      </c>
      <c r="R145" s="466" t="s">
        <v>49</v>
      </c>
      <c r="S145" s="466">
        <v>5</v>
      </c>
      <c r="T145" s="466">
        <v>9</v>
      </c>
      <c r="U145" s="466">
        <v>10</v>
      </c>
      <c r="V145" s="466">
        <v>3</v>
      </c>
      <c r="W145">
        <v>0</v>
      </c>
      <c r="X145">
        <v>0</v>
      </c>
      <c r="Y145">
        <v>0</v>
      </c>
      <c r="Z145">
        <v>0</v>
      </c>
      <c r="AA145" t="b">
        <v>1</v>
      </c>
      <c r="AB145" t="b">
        <v>0</v>
      </c>
      <c r="AC145">
        <v>0</v>
      </c>
      <c r="AD145">
        <v>0</v>
      </c>
      <c r="AE145">
        <v>0</v>
      </c>
      <c r="AF145">
        <v>0</v>
      </c>
      <c r="AG145">
        <v>0</v>
      </c>
      <c r="AH145">
        <v>0</v>
      </c>
      <c r="AI145" t="s">
        <v>49</v>
      </c>
    </row>
    <row r="146" spans="1:35" ht="12.75">
      <c r="A146" s="667" t="s">
        <v>49</v>
      </c>
      <c r="B146" s="668">
        <v>6</v>
      </c>
      <c r="C146" s="669" t="s">
        <v>1794</v>
      </c>
      <c r="D146" s="670" t="s">
        <v>70</v>
      </c>
      <c r="E146" s="670" t="s">
        <v>73</v>
      </c>
      <c r="F146" s="670" t="s">
        <v>115</v>
      </c>
      <c r="G146" s="670">
        <v>0</v>
      </c>
      <c r="H146" s="670">
        <v>0</v>
      </c>
      <c r="I146" s="670">
        <v>1</v>
      </c>
      <c r="J146" s="670">
        <v>1</v>
      </c>
      <c r="K146" s="670" t="s">
        <v>182</v>
      </c>
      <c r="L146" s="670" t="s">
        <v>230</v>
      </c>
      <c r="M146" s="669">
        <v>5</v>
      </c>
      <c r="N146" s="670">
        <v>5</v>
      </c>
      <c r="O146" s="671" t="s">
        <v>1795</v>
      </c>
      <c r="P146" s="466" t="s">
        <v>184</v>
      </c>
      <c r="Q146" s="466" t="s">
        <v>148</v>
      </c>
      <c r="R146" s="466" t="s">
        <v>49</v>
      </c>
      <c r="S146" s="466">
        <v>5</v>
      </c>
      <c r="T146" s="466">
        <v>9</v>
      </c>
      <c r="U146" s="466">
        <v>10</v>
      </c>
      <c r="V146" s="466">
        <v>3</v>
      </c>
      <c r="W146">
        <v>0</v>
      </c>
      <c r="X146">
        <v>0</v>
      </c>
      <c r="Y146">
        <v>0</v>
      </c>
      <c r="Z146">
        <v>0</v>
      </c>
      <c r="AA146" t="b">
        <v>1</v>
      </c>
      <c r="AB146" t="b">
        <v>0</v>
      </c>
      <c r="AC146">
        <v>0</v>
      </c>
      <c r="AD146">
        <v>0</v>
      </c>
      <c r="AE146">
        <v>0</v>
      </c>
      <c r="AF146">
        <v>0</v>
      </c>
      <c r="AG146">
        <v>0</v>
      </c>
      <c r="AH146">
        <v>0</v>
      </c>
      <c r="AI146" t="s">
        <v>49</v>
      </c>
    </row>
    <row r="147" spans="1:35" ht="12.75">
      <c r="A147" s="667" t="s">
        <v>49</v>
      </c>
      <c r="B147" s="668">
        <v>7</v>
      </c>
      <c r="C147" s="669" t="s">
        <v>1796</v>
      </c>
      <c r="D147" s="670" t="s">
        <v>70</v>
      </c>
      <c r="E147" s="670" t="s">
        <v>73</v>
      </c>
      <c r="F147" s="670" t="s">
        <v>25</v>
      </c>
      <c r="G147" s="670">
        <v>0</v>
      </c>
      <c r="H147" s="670">
        <v>0</v>
      </c>
      <c r="I147" s="670">
        <v>1</v>
      </c>
      <c r="J147" s="670">
        <v>1</v>
      </c>
      <c r="K147" s="670" t="s">
        <v>182</v>
      </c>
      <c r="L147" s="670" t="s">
        <v>49</v>
      </c>
      <c r="M147" s="669">
        <v>7</v>
      </c>
      <c r="N147" s="670">
        <v>7</v>
      </c>
      <c r="O147" s="671" t="s">
        <v>1797</v>
      </c>
      <c r="P147" s="466" t="s">
        <v>184</v>
      </c>
      <c r="Q147" s="466" t="s">
        <v>148</v>
      </c>
      <c r="R147" s="466" t="s">
        <v>49</v>
      </c>
      <c r="S147" s="466">
        <v>5</v>
      </c>
      <c r="T147" s="466">
        <v>9</v>
      </c>
      <c r="U147" s="466">
        <v>8</v>
      </c>
      <c r="V147" s="466">
        <v>3</v>
      </c>
      <c r="W147">
        <v>0</v>
      </c>
      <c r="X147">
        <v>0</v>
      </c>
      <c r="Y147">
        <v>0</v>
      </c>
      <c r="Z147">
        <v>0</v>
      </c>
      <c r="AA147" t="b">
        <v>1</v>
      </c>
      <c r="AB147" t="b">
        <v>0</v>
      </c>
      <c r="AC147">
        <v>0</v>
      </c>
      <c r="AD147">
        <v>0</v>
      </c>
      <c r="AE147">
        <v>0</v>
      </c>
      <c r="AF147">
        <v>0</v>
      </c>
      <c r="AG147">
        <v>0</v>
      </c>
      <c r="AH147">
        <v>0</v>
      </c>
      <c r="AI147" t="s">
        <v>49</v>
      </c>
    </row>
    <row r="148" spans="1:35" ht="12.75">
      <c r="A148" s="667" t="s">
        <v>49</v>
      </c>
      <c r="B148" s="668">
        <v>7</v>
      </c>
      <c r="C148" s="669" t="s">
        <v>1798</v>
      </c>
      <c r="D148" s="670" t="s">
        <v>70</v>
      </c>
      <c r="E148" s="670" t="s">
        <v>73</v>
      </c>
      <c r="F148" s="670" t="s">
        <v>26</v>
      </c>
      <c r="G148" s="670">
        <v>0</v>
      </c>
      <c r="H148" s="670">
        <v>0</v>
      </c>
      <c r="I148" s="670">
        <v>1</v>
      </c>
      <c r="J148" s="670">
        <v>1</v>
      </c>
      <c r="K148" s="670" t="s">
        <v>182</v>
      </c>
      <c r="L148" s="670" t="s">
        <v>49</v>
      </c>
      <c r="M148" s="669">
        <v>6</v>
      </c>
      <c r="N148" s="670">
        <v>5</v>
      </c>
      <c r="O148" s="671" t="s">
        <v>1799</v>
      </c>
      <c r="P148" s="466" t="s">
        <v>184</v>
      </c>
      <c r="Q148" s="466" t="s">
        <v>148</v>
      </c>
      <c r="R148" s="466" t="s">
        <v>49</v>
      </c>
      <c r="S148" s="466">
        <v>5</v>
      </c>
      <c r="T148" s="466">
        <v>9</v>
      </c>
      <c r="U148" s="466">
        <v>9</v>
      </c>
      <c r="V148" s="466">
        <v>3</v>
      </c>
      <c r="W148">
        <v>0</v>
      </c>
      <c r="X148">
        <v>0</v>
      </c>
      <c r="Y148">
        <v>0</v>
      </c>
      <c r="Z148">
        <v>0</v>
      </c>
      <c r="AA148" t="b">
        <v>1</v>
      </c>
      <c r="AB148" t="b">
        <v>0</v>
      </c>
      <c r="AC148">
        <v>0</v>
      </c>
      <c r="AD148">
        <v>0</v>
      </c>
      <c r="AE148">
        <v>0</v>
      </c>
      <c r="AF148">
        <v>0</v>
      </c>
      <c r="AG148">
        <v>0</v>
      </c>
      <c r="AH148">
        <v>0</v>
      </c>
      <c r="AI148" t="s">
        <v>49</v>
      </c>
    </row>
    <row r="149" spans="1:35" ht="12.75">
      <c r="A149" s="667" t="s">
        <v>49</v>
      </c>
      <c r="B149" s="668">
        <v>7</v>
      </c>
      <c r="C149" s="669" t="s">
        <v>1800</v>
      </c>
      <c r="D149" s="670" t="s">
        <v>70</v>
      </c>
      <c r="E149" s="670" t="s">
        <v>73</v>
      </c>
      <c r="F149" s="670" t="s">
        <v>115</v>
      </c>
      <c r="G149" s="670">
        <v>0</v>
      </c>
      <c r="H149" s="670">
        <v>0</v>
      </c>
      <c r="I149" s="670">
        <v>1</v>
      </c>
      <c r="J149" s="670">
        <v>1</v>
      </c>
      <c r="K149" s="670" t="s">
        <v>182</v>
      </c>
      <c r="L149" s="670" t="s">
        <v>49</v>
      </c>
      <c r="M149" s="669">
        <v>4</v>
      </c>
      <c r="N149" s="670">
        <v>6</v>
      </c>
      <c r="O149" s="671" t="s">
        <v>1801</v>
      </c>
      <c r="P149" s="466" t="s">
        <v>1662</v>
      </c>
      <c r="Q149" s="466" t="s">
        <v>148</v>
      </c>
      <c r="R149" s="466" t="s">
        <v>49</v>
      </c>
      <c r="S149" s="466">
        <v>5</v>
      </c>
      <c r="T149" s="466">
        <v>9</v>
      </c>
      <c r="U149" s="466">
        <v>10</v>
      </c>
      <c r="V149" s="466">
        <v>3</v>
      </c>
      <c r="W149">
        <v>0</v>
      </c>
      <c r="X149">
        <v>0</v>
      </c>
      <c r="Y149">
        <v>0</v>
      </c>
      <c r="Z149">
        <v>0</v>
      </c>
      <c r="AA149" t="b">
        <v>1</v>
      </c>
      <c r="AB149" t="b">
        <v>0</v>
      </c>
      <c r="AC149">
        <v>0</v>
      </c>
      <c r="AD149">
        <v>0</v>
      </c>
      <c r="AE149">
        <v>0</v>
      </c>
      <c r="AF149">
        <v>0</v>
      </c>
      <c r="AG149">
        <v>0</v>
      </c>
      <c r="AH149">
        <v>0</v>
      </c>
      <c r="AI149" t="s">
        <v>49</v>
      </c>
    </row>
    <row r="150" spans="1:35" ht="12.75">
      <c r="A150" s="667" t="s">
        <v>49</v>
      </c>
      <c r="B150" s="668">
        <v>8</v>
      </c>
      <c r="C150" s="669" t="s">
        <v>1802</v>
      </c>
      <c r="D150" s="670" t="s">
        <v>70</v>
      </c>
      <c r="E150" s="670" t="s">
        <v>73</v>
      </c>
      <c r="F150" s="670" t="s">
        <v>13</v>
      </c>
      <c r="G150" s="670">
        <v>0</v>
      </c>
      <c r="H150" s="670">
        <v>0</v>
      </c>
      <c r="I150" s="670">
        <v>1</v>
      </c>
      <c r="J150" s="670">
        <v>1</v>
      </c>
      <c r="K150" s="670" t="s">
        <v>182</v>
      </c>
      <c r="L150" s="670" t="s">
        <v>49</v>
      </c>
      <c r="M150" s="669">
        <v>8</v>
      </c>
      <c r="N150" s="670">
        <v>6</v>
      </c>
      <c r="O150" s="671" t="s">
        <v>1803</v>
      </c>
      <c r="P150" s="466" t="s">
        <v>1348</v>
      </c>
      <c r="Q150" s="466" t="s">
        <v>148</v>
      </c>
      <c r="R150" s="466" t="s">
        <v>49</v>
      </c>
      <c r="S150" s="466">
        <v>5</v>
      </c>
      <c r="T150" s="466">
        <v>9</v>
      </c>
      <c r="U150" s="466">
        <v>3</v>
      </c>
      <c r="V150" s="466">
        <v>3</v>
      </c>
      <c r="W150">
        <v>0</v>
      </c>
      <c r="X150">
        <v>0</v>
      </c>
      <c r="Y150">
        <v>0</v>
      </c>
      <c r="Z150">
        <v>0</v>
      </c>
      <c r="AA150" t="b">
        <v>1</v>
      </c>
      <c r="AB150" t="b">
        <v>0</v>
      </c>
      <c r="AC150">
        <v>0</v>
      </c>
      <c r="AD150">
        <v>0</v>
      </c>
      <c r="AE150">
        <v>0</v>
      </c>
      <c r="AF150">
        <v>0</v>
      </c>
      <c r="AG150">
        <v>0</v>
      </c>
      <c r="AH150">
        <v>0</v>
      </c>
      <c r="AI150" t="s">
        <v>49</v>
      </c>
    </row>
    <row r="151" spans="1:35" ht="12.75">
      <c r="A151" s="667" t="s">
        <v>49</v>
      </c>
      <c r="B151" s="668">
        <v>8</v>
      </c>
      <c r="C151" s="669" t="s">
        <v>1804</v>
      </c>
      <c r="D151" s="670" t="s">
        <v>70</v>
      </c>
      <c r="E151" s="670" t="s">
        <v>73</v>
      </c>
      <c r="F151" s="670" t="s">
        <v>16</v>
      </c>
      <c r="G151" s="670">
        <v>0</v>
      </c>
      <c r="H151" s="670">
        <v>0</v>
      </c>
      <c r="I151" s="670">
        <v>1</v>
      </c>
      <c r="J151" s="670">
        <v>1</v>
      </c>
      <c r="K151" s="670" t="s">
        <v>182</v>
      </c>
      <c r="L151" s="670" t="s">
        <v>49</v>
      </c>
      <c r="M151" s="669">
        <v>8</v>
      </c>
      <c r="N151" s="670">
        <v>8</v>
      </c>
      <c r="O151" s="671" t="s">
        <v>1805</v>
      </c>
      <c r="P151" s="466" t="s">
        <v>49</v>
      </c>
      <c r="Q151" s="466" t="s">
        <v>148</v>
      </c>
      <c r="R151" s="466" t="s">
        <v>49</v>
      </c>
      <c r="S151" s="466">
        <v>5</v>
      </c>
      <c r="T151" s="466">
        <v>9</v>
      </c>
      <c r="U151" s="466">
        <v>4</v>
      </c>
      <c r="V151" s="466">
        <v>3</v>
      </c>
      <c r="W151">
        <v>0</v>
      </c>
      <c r="X151">
        <v>0</v>
      </c>
      <c r="Y151">
        <v>0</v>
      </c>
      <c r="Z151">
        <v>0</v>
      </c>
      <c r="AA151" t="b">
        <v>1</v>
      </c>
      <c r="AB151" t="b">
        <v>0</v>
      </c>
      <c r="AC151">
        <v>0</v>
      </c>
      <c r="AD151">
        <v>0</v>
      </c>
      <c r="AE151">
        <v>0</v>
      </c>
      <c r="AF151">
        <v>0</v>
      </c>
      <c r="AG151">
        <v>0</v>
      </c>
      <c r="AH151">
        <v>0</v>
      </c>
      <c r="AI151" t="s">
        <v>49</v>
      </c>
    </row>
    <row r="152" spans="1:35" ht="12.75">
      <c r="A152" s="667" t="s">
        <v>49</v>
      </c>
      <c r="B152" s="668">
        <v>8</v>
      </c>
      <c r="C152" s="669" t="s">
        <v>1806</v>
      </c>
      <c r="D152" s="670" t="s">
        <v>70</v>
      </c>
      <c r="E152" s="670" t="s">
        <v>73</v>
      </c>
      <c r="F152" s="670" t="s">
        <v>115</v>
      </c>
      <c r="G152" s="670">
        <v>0</v>
      </c>
      <c r="H152" s="670">
        <v>0</v>
      </c>
      <c r="I152" s="670">
        <v>1</v>
      </c>
      <c r="J152" s="670">
        <v>1</v>
      </c>
      <c r="K152" s="670" t="s">
        <v>182</v>
      </c>
      <c r="L152" s="670" t="s">
        <v>49</v>
      </c>
      <c r="M152" s="669">
        <v>6</v>
      </c>
      <c r="N152" s="670">
        <v>7</v>
      </c>
      <c r="O152" s="671" t="s">
        <v>1807</v>
      </c>
      <c r="P152" s="466" t="s">
        <v>49</v>
      </c>
      <c r="Q152" s="466" t="s">
        <v>148</v>
      </c>
      <c r="R152" s="466" t="s">
        <v>49</v>
      </c>
      <c r="S152" s="466">
        <v>5</v>
      </c>
      <c r="T152" s="466">
        <v>9</v>
      </c>
      <c r="U152" s="466">
        <v>10</v>
      </c>
      <c r="V152" s="466">
        <v>3</v>
      </c>
      <c r="W152">
        <v>0</v>
      </c>
      <c r="X152">
        <v>0</v>
      </c>
      <c r="Y152">
        <v>0</v>
      </c>
      <c r="Z152">
        <v>0</v>
      </c>
      <c r="AA152" t="b">
        <v>1</v>
      </c>
      <c r="AB152" t="b">
        <v>0</v>
      </c>
      <c r="AC152">
        <v>0</v>
      </c>
      <c r="AD152">
        <v>0</v>
      </c>
      <c r="AE152">
        <v>0</v>
      </c>
      <c r="AF152">
        <v>0</v>
      </c>
      <c r="AG152">
        <v>0</v>
      </c>
      <c r="AH152">
        <v>0</v>
      </c>
      <c r="AI152" t="s">
        <v>49</v>
      </c>
    </row>
    <row r="153" spans="1:35" ht="12.75">
      <c r="A153" s="667" t="s">
        <v>49</v>
      </c>
      <c r="B153" s="668">
        <v>9</v>
      </c>
      <c r="C153" s="669" t="s">
        <v>1808</v>
      </c>
      <c r="D153" s="670" t="s">
        <v>70</v>
      </c>
      <c r="E153" s="670" t="s">
        <v>73</v>
      </c>
      <c r="F153" s="670" t="s">
        <v>115</v>
      </c>
      <c r="G153" s="670">
        <v>0</v>
      </c>
      <c r="H153" s="670">
        <v>0</v>
      </c>
      <c r="I153" s="670">
        <v>1</v>
      </c>
      <c r="J153" s="670">
        <v>1</v>
      </c>
      <c r="K153" s="670" t="s">
        <v>182</v>
      </c>
      <c r="L153" s="670" t="s">
        <v>49</v>
      </c>
      <c r="M153" s="669">
        <v>5</v>
      </c>
      <c r="N153" s="670">
        <v>9</v>
      </c>
      <c r="O153" s="671" t="s">
        <v>1809</v>
      </c>
      <c r="P153" s="466" t="s">
        <v>193</v>
      </c>
      <c r="Q153" s="466" t="s">
        <v>148</v>
      </c>
      <c r="R153" s="466" t="s">
        <v>49</v>
      </c>
      <c r="S153" s="466">
        <v>5</v>
      </c>
      <c r="T153" s="466">
        <v>9</v>
      </c>
      <c r="U153" s="466">
        <v>10</v>
      </c>
      <c r="V153" s="466">
        <v>3</v>
      </c>
      <c r="W153">
        <v>0</v>
      </c>
      <c r="X153">
        <v>0</v>
      </c>
      <c r="Y153">
        <v>0</v>
      </c>
      <c r="Z153">
        <v>0</v>
      </c>
      <c r="AA153" t="b">
        <v>1</v>
      </c>
      <c r="AB153" t="b">
        <v>0</v>
      </c>
      <c r="AC153">
        <v>0</v>
      </c>
      <c r="AD153">
        <v>0</v>
      </c>
      <c r="AE153">
        <v>0</v>
      </c>
      <c r="AF153">
        <v>0</v>
      </c>
      <c r="AG153">
        <v>0</v>
      </c>
      <c r="AH153">
        <v>0</v>
      </c>
      <c r="AI153" t="s">
        <v>49</v>
      </c>
    </row>
    <row r="154" spans="1:35" ht="12.75">
      <c r="A154" s="667" t="s">
        <v>49</v>
      </c>
      <c r="B154" s="668">
        <v>10</v>
      </c>
      <c r="C154" s="669" t="s">
        <v>1810</v>
      </c>
      <c r="D154" s="670" t="s">
        <v>70</v>
      </c>
      <c r="E154" s="670" t="s">
        <v>73</v>
      </c>
      <c r="F154" s="670" t="s">
        <v>115</v>
      </c>
      <c r="G154" s="670">
        <v>1</v>
      </c>
      <c r="H154" s="670">
        <v>0</v>
      </c>
      <c r="I154" s="670">
        <v>1</v>
      </c>
      <c r="J154" s="670">
        <v>1</v>
      </c>
      <c r="K154" s="670" t="s">
        <v>182</v>
      </c>
      <c r="L154" s="670" t="s">
        <v>49</v>
      </c>
      <c r="M154" s="669">
        <v>6</v>
      </c>
      <c r="N154" s="670">
        <v>6</v>
      </c>
      <c r="O154" s="671" t="s">
        <v>1811</v>
      </c>
      <c r="P154" s="466" t="s">
        <v>184</v>
      </c>
      <c r="Q154" s="466" t="s">
        <v>148</v>
      </c>
      <c r="R154" s="466" t="s">
        <v>49</v>
      </c>
      <c r="S154" s="466">
        <v>5</v>
      </c>
      <c r="T154" s="466">
        <v>9</v>
      </c>
      <c r="U154" s="466">
        <v>10</v>
      </c>
      <c r="V154" s="466">
        <v>3</v>
      </c>
      <c r="W154">
        <v>1</v>
      </c>
      <c r="X154">
        <v>1</v>
      </c>
      <c r="Y154">
        <v>0</v>
      </c>
      <c r="Z154">
        <v>1</v>
      </c>
      <c r="AA154" t="b">
        <v>0</v>
      </c>
      <c r="AB154" t="b">
        <v>0</v>
      </c>
      <c r="AC154">
        <v>0</v>
      </c>
      <c r="AD154">
        <v>0</v>
      </c>
      <c r="AE154">
        <v>1</v>
      </c>
      <c r="AF154">
        <v>0</v>
      </c>
      <c r="AG154">
        <v>1</v>
      </c>
      <c r="AH154">
        <v>0</v>
      </c>
      <c r="AI154" t="s">
        <v>49</v>
      </c>
    </row>
    <row r="155" spans="1:35" ht="12.75">
      <c r="A155" s="667" t="s">
        <v>49</v>
      </c>
      <c r="B155" s="668">
        <v>10</v>
      </c>
      <c r="C155" s="669" t="s">
        <v>1812</v>
      </c>
      <c r="D155" s="670" t="s">
        <v>70</v>
      </c>
      <c r="E155" s="670" t="s">
        <v>73</v>
      </c>
      <c r="F155" s="670" t="s">
        <v>115</v>
      </c>
      <c r="G155" s="670">
        <v>1</v>
      </c>
      <c r="H155" s="670">
        <v>0</v>
      </c>
      <c r="I155" s="670">
        <v>1</v>
      </c>
      <c r="J155" s="670">
        <v>1</v>
      </c>
      <c r="K155" s="670" t="s">
        <v>182</v>
      </c>
      <c r="L155" s="670" t="s">
        <v>415</v>
      </c>
      <c r="M155" s="669">
        <v>12</v>
      </c>
      <c r="N155" s="670">
        <v>12</v>
      </c>
      <c r="O155" s="671" t="s">
        <v>1813</v>
      </c>
      <c r="P155" s="466" t="s">
        <v>454</v>
      </c>
      <c r="Q155" s="466" t="s">
        <v>148</v>
      </c>
      <c r="R155" s="466" t="s">
        <v>49</v>
      </c>
      <c r="S155" s="466">
        <v>5</v>
      </c>
      <c r="T155" s="466">
        <v>9</v>
      </c>
      <c r="U155" s="466">
        <v>10</v>
      </c>
      <c r="V155" s="466">
        <v>3</v>
      </c>
      <c r="W155">
        <v>1</v>
      </c>
      <c r="X155">
        <v>1</v>
      </c>
      <c r="Y155">
        <v>0</v>
      </c>
      <c r="Z155">
        <v>1</v>
      </c>
      <c r="AA155" t="b">
        <v>0</v>
      </c>
      <c r="AB155" t="b">
        <v>0</v>
      </c>
      <c r="AC155">
        <v>0</v>
      </c>
      <c r="AD155">
        <v>0</v>
      </c>
      <c r="AE155">
        <v>1</v>
      </c>
      <c r="AF155">
        <v>0</v>
      </c>
      <c r="AG155">
        <v>1</v>
      </c>
      <c r="AH155">
        <v>0</v>
      </c>
      <c r="AI155" t="s">
        <v>49</v>
      </c>
    </row>
    <row r="156" spans="1:35" ht="12.75">
      <c r="A156" s="667" t="s">
        <v>49</v>
      </c>
      <c r="B156" s="668">
        <v>10</v>
      </c>
      <c r="C156" s="669" t="s">
        <v>1814</v>
      </c>
      <c r="D156" s="670" t="s">
        <v>70</v>
      </c>
      <c r="E156" s="670" t="s">
        <v>73</v>
      </c>
      <c r="F156" s="670" t="s">
        <v>115</v>
      </c>
      <c r="G156" s="670">
        <v>0</v>
      </c>
      <c r="H156" s="670">
        <v>0</v>
      </c>
      <c r="I156" s="670">
        <v>1</v>
      </c>
      <c r="J156" s="670">
        <v>1</v>
      </c>
      <c r="K156" s="670" t="s">
        <v>182</v>
      </c>
      <c r="L156" s="670" t="s">
        <v>49</v>
      </c>
      <c r="M156" s="669">
        <v>5</v>
      </c>
      <c r="N156" s="670">
        <v>7</v>
      </c>
      <c r="O156" s="671" t="s">
        <v>1815</v>
      </c>
      <c r="P156" s="466" t="s">
        <v>184</v>
      </c>
      <c r="Q156" s="466" t="s">
        <v>148</v>
      </c>
      <c r="R156" s="466" t="s">
        <v>49</v>
      </c>
      <c r="S156" s="466">
        <v>5</v>
      </c>
      <c r="T156" s="466">
        <v>9</v>
      </c>
      <c r="U156" s="466">
        <v>10</v>
      </c>
      <c r="V156" s="466">
        <v>3</v>
      </c>
      <c r="W156">
        <v>0</v>
      </c>
      <c r="X156">
        <v>0</v>
      </c>
      <c r="Y156">
        <v>0</v>
      </c>
      <c r="Z156">
        <v>0</v>
      </c>
      <c r="AA156" t="b">
        <v>1</v>
      </c>
      <c r="AB156" t="b">
        <v>0</v>
      </c>
      <c r="AC156">
        <v>0</v>
      </c>
      <c r="AD156">
        <v>0</v>
      </c>
      <c r="AE156">
        <v>0</v>
      </c>
      <c r="AF156">
        <v>0</v>
      </c>
      <c r="AG156">
        <v>0</v>
      </c>
      <c r="AH156">
        <v>0</v>
      </c>
      <c r="AI156" t="s">
        <v>49</v>
      </c>
    </row>
    <row r="157" spans="1:35" ht="12.75">
      <c r="A157" s="667" t="s">
        <v>49</v>
      </c>
      <c r="B157" s="668">
        <v>10</v>
      </c>
      <c r="C157" s="669" t="s">
        <v>1816</v>
      </c>
      <c r="D157" s="670" t="s">
        <v>70</v>
      </c>
      <c r="E157" s="670" t="s">
        <v>73</v>
      </c>
      <c r="F157" s="670" t="s">
        <v>115</v>
      </c>
      <c r="G157" s="670">
        <v>1</v>
      </c>
      <c r="H157" s="670">
        <v>0</v>
      </c>
      <c r="I157" s="670">
        <v>1</v>
      </c>
      <c r="J157" s="670">
        <v>1</v>
      </c>
      <c r="K157" s="670" t="s">
        <v>182</v>
      </c>
      <c r="L157" s="670" t="s">
        <v>49</v>
      </c>
      <c r="M157" s="669">
        <v>10</v>
      </c>
      <c r="N157" s="670">
        <v>10</v>
      </c>
      <c r="O157" s="671" t="s">
        <v>1817</v>
      </c>
      <c r="P157" s="466" t="s">
        <v>49</v>
      </c>
      <c r="Q157" s="466" t="s">
        <v>148</v>
      </c>
      <c r="R157" s="466" t="s">
        <v>49</v>
      </c>
      <c r="S157" s="466">
        <v>5</v>
      </c>
      <c r="T157" s="466">
        <v>9</v>
      </c>
      <c r="U157" s="466">
        <v>10</v>
      </c>
      <c r="V157" s="466">
        <v>3</v>
      </c>
      <c r="W157">
        <v>1</v>
      </c>
      <c r="X157">
        <v>1</v>
      </c>
      <c r="Y157">
        <v>0</v>
      </c>
      <c r="Z157">
        <v>1</v>
      </c>
      <c r="AA157" t="b">
        <v>0</v>
      </c>
      <c r="AB157" t="b">
        <v>0</v>
      </c>
      <c r="AC157">
        <v>0</v>
      </c>
      <c r="AD157">
        <v>0</v>
      </c>
      <c r="AE157">
        <v>1</v>
      </c>
      <c r="AF157">
        <v>0</v>
      </c>
      <c r="AG157">
        <v>1</v>
      </c>
      <c r="AH157">
        <v>0</v>
      </c>
      <c r="AI157" t="s">
        <v>49</v>
      </c>
    </row>
    <row r="158" spans="1:35" ht="12.75">
      <c r="A158" s="667" t="s">
        <v>49</v>
      </c>
      <c r="B158" s="668">
        <v>10</v>
      </c>
      <c r="C158" s="669" t="s">
        <v>1818</v>
      </c>
      <c r="D158" s="670" t="s">
        <v>70</v>
      </c>
      <c r="E158" s="670" t="s">
        <v>73</v>
      </c>
      <c r="F158" s="670" t="s">
        <v>115</v>
      </c>
      <c r="G158" s="670">
        <v>0</v>
      </c>
      <c r="H158" s="670">
        <v>0</v>
      </c>
      <c r="I158" s="670">
        <v>1</v>
      </c>
      <c r="J158" s="670">
        <v>1</v>
      </c>
      <c r="K158" s="670" t="s">
        <v>182</v>
      </c>
      <c r="L158" s="670" t="s">
        <v>49</v>
      </c>
      <c r="M158" s="669">
        <v>7</v>
      </c>
      <c r="N158" s="670">
        <v>5</v>
      </c>
      <c r="O158" s="671" t="s">
        <v>1819</v>
      </c>
      <c r="P158" s="466" t="s">
        <v>184</v>
      </c>
      <c r="Q158" s="466" t="s">
        <v>148</v>
      </c>
      <c r="R158" s="466" t="s">
        <v>49</v>
      </c>
      <c r="S158" s="466">
        <v>5</v>
      </c>
      <c r="T158" s="466">
        <v>9</v>
      </c>
      <c r="U158" s="466">
        <v>10</v>
      </c>
      <c r="V158" s="466">
        <v>3</v>
      </c>
      <c r="W158">
        <v>0</v>
      </c>
      <c r="X158">
        <v>0</v>
      </c>
      <c r="Y158">
        <v>0</v>
      </c>
      <c r="Z158">
        <v>0</v>
      </c>
      <c r="AA158" t="b">
        <v>1</v>
      </c>
      <c r="AB158" t="b">
        <v>0</v>
      </c>
      <c r="AC158">
        <v>0</v>
      </c>
      <c r="AD158">
        <v>0</v>
      </c>
      <c r="AE158">
        <v>0</v>
      </c>
      <c r="AF158">
        <v>0</v>
      </c>
      <c r="AG158">
        <v>0</v>
      </c>
      <c r="AH158">
        <v>0</v>
      </c>
      <c r="AI158" t="s">
        <v>49</v>
      </c>
    </row>
    <row r="159" spans="1:35" ht="12.75">
      <c r="A159" s="667" t="s">
        <v>49</v>
      </c>
      <c r="B159" s="668">
        <v>1</v>
      </c>
      <c r="C159" s="669" t="s">
        <v>1828</v>
      </c>
      <c r="D159" s="670" t="s">
        <v>68</v>
      </c>
      <c r="E159" s="670" t="s">
        <v>73</v>
      </c>
      <c r="F159" s="670" t="s">
        <v>16</v>
      </c>
      <c r="G159" s="670">
        <v>0</v>
      </c>
      <c r="H159" s="670">
        <v>0</v>
      </c>
      <c r="I159" s="670">
        <v>1</v>
      </c>
      <c r="J159" s="670">
        <v>1</v>
      </c>
      <c r="K159" s="670" t="s">
        <v>182</v>
      </c>
      <c r="L159" s="670" t="s">
        <v>49</v>
      </c>
      <c r="M159" s="669">
        <v>2</v>
      </c>
      <c r="N159" s="670">
        <v>1</v>
      </c>
      <c r="O159" s="671" t="s">
        <v>1829</v>
      </c>
      <c r="P159" s="466" t="s">
        <v>454</v>
      </c>
      <c r="Q159" s="466" t="s">
        <v>148</v>
      </c>
      <c r="R159" s="466" t="s">
        <v>49</v>
      </c>
      <c r="S159" s="466">
        <v>3</v>
      </c>
      <c r="T159" s="466">
        <v>9</v>
      </c>
      <c r="U159" s="466">
        <v>4</v>
      </c>
      <c r="V159" s="466">
        <v>3</v>
      </c>
      <c r="W159">
        <v>0</v>
      </c>
      <c r="X159">
        <v>0</v>
      </c>
      <c r="Y159">
        <v>0</v>
      </c>
      <c r="Z159">
        <v>0</v>
      </c>
      <c r="AA159" t="b">
        <v>1</v>
      </c>
      <c r="AB159" t="b">
        <v>1</v>
      </c>
      <c r="AC159">
        <v>0</v>
      </c>
      <c r="AD159">
        <v>0</v>
      </c>
      <c r="AE159">
        <v>0</v>
      </c>
      <c r="AF159">
        <v>0</v>
      </c>
      <c r="AG159">
        <v>0</v>
      </c>
      <c r="AH159">
        <v>0</v>
      </c>
      <c r="AI159" t="s">
        <v>49</v>
      </c>
    </row>
    <row r="160" spans="1:35" ht="12.75">
      <c r="A160" s="667" t="s">
        <v>49</v>
      </c>
      <c r="B160" s="668">
        <v>3</v>
      </c>
      <c r="C160" s="669" t="s">
        <v>1840</v>
      </c>
      <c r="D160" s="670" t="s">
        <v>68</v>
      </c>
      <c r="E160" s="670" t="s">
        <v>73</v>
      </c>
      <c r="F160" s="670" t="s">
        <v>115</v>
      </c>
      <c r="G160" s="670">
        <v>1</v>
      </c>
      <c r="H160" s="670">
        <v>0</v>
      </c>
      <c r="I160" s="670">
        <v>1</v>
      </c>
      <c r="J160" s="670">
        <v>1</v>
      </c>
      <c r="K160" s="670" t="s">
        <v>182</v>
      </c>
      <c r="L160" s="670" t="s">
        <v>49</v>
      </c>
      <c r="M160" s="669">
        <v>2</v>
      </c>
      <c r="N160" s="670">
        <v>1</v>
      </c>
      <c r="O160" s="671" t="s">
        <v>1841</v>
      </c>
      <c r="P160" s="466" t="s">
        <v>275</v>
      </c>
      <c r="Q160" s="466" t="s">
        <v>148</v>
      </c>
      <c r="R160" s="466" t="s">
        <v>49</v>
      </c>
      <c r="S160" s="466">
        <v>3</v>
      </c>
      <c r="T160" s="466">
        <v>9</v>
      </c>
      <c r="U160" s="466">
        <v>10</v>
      </c>
      <c r="V160" s="466">
        <v>3</v>
      </c>
      <c r="W160">
        <v>1</v>
      </c>
      <c r="X160">
        <v>1</v>
      </c>
      <c r="Y160">
        <v>0</v>
      </c>
      <c r="Z160">
        <v>1</v>
      </c>
      <c r="AA160" t="b">
        <v>0</v>
      </c>
      <c r="AB160" t="b">
        <v>1</v>
      </c>
      <c r="AC160">
        <v>0</v>
      </c>
      <c r="AD160">
        <v>0</v>
      </c>
      <c r="AE160">
        <v>1</v>
      </c>
      <c r="AF160">
        <v>0</v>
      </c>
      <c r="AG160">
        <v>1</v>
      </c>
      <c r="AH160">
        <v>0</v>
      </c>
      <c r="AI160" t="s">
        <v>49</v>
      </c>
    </row>
    <row r="161" spans="1:35" ht="12.75">
      <c r="A161" s="667" t="s">
        <v>49</v>
      </c>
      <c r="B161" s="668">
        <v>3</v>
      </c>
      <c r="C161" s="669" t="s">
        <v>1846</v>
      </c>
      <c r="D161" s="670" t="s">
        <v>68</v>
      </c>
      <c r="E161" s="670" t="s">
        <v>73</v>
      </c>
      <c r="F161" s="670" t="s">
        <v>16</v>
      </c>
      <c r="G161" s="670">
        <v>0</v>
      </c>
      <c r="H161" s="670">
        <v>0</v>
      </c>
      <c r="I161" s="670">
        <v>1</v>
      </c>
      <c r="J161" s="670">
        <v>1</v>
      </c>
      <c r="K161" s="670" t="s">
        <v>207</v>
      </c>
      <c r="L161" s="670" t="s">
        <v>49</v>
      </c>
      <c r="M161" s="669"/>
      <c r="N161" s="670"/>
      <c r="O161" s="671" t="s">
        <v>1847</v>
      </c>
      <c r="P161" s="466" t="s">
        <v>184</v>
      </c>
      <c r="Q161" s="466" t="s">
        <v>148</v>
      </c>
      <c r="R161" s="466" t="s">
        <v>49</v>
      </c>
      <c r="S161" s="466">
        <v>3</v>
      </c>
      <c r="T161" s="466">
        <v>9</v>
      </c>
      <c r="U161" s="466">
        <v>4</v>
      </c>
      <c r="V161" s="466">
        <v>1</v>
      </c>
      <c r="W161">
        <v>0</v>
      </c>
      <c r="X161">
        <v>0</v>
      </c>
      <c r="Y161">
        <v>0</v>
      </c>
      <c r="Z161">
        <v>0</v>
      </c>
      <c r="AA161" t="b">
        <v>1</v>
      </c>
      <c r="AB161" t="b">
        <v>1</v>
      </c>
      <c r="AC161">
        <v>0</v>
      </c>
      <c r="AD161">
        <v>0</v>
      </c>
      <c r="AE161">
        <v>0</v>
      </c>
      <c r="AF161">
        <v>0</v>
      </c>
      <c r="AG161">
        <v>0</v>
      </c>
      <c r="AH161">
        <v>0</v>
      </c>
      <c r="AI161" t="s">
        <v>49</v>
      </c>
    </row>
    <row r="162" spans="1:35" ht="12.75">
      <c r="A162" s="667" t="s">
        <v>49</v>
      </c>
      <c r="B162" s="668">
        <v>3</v>
      </c>
      <c r="C162" s="669" t="s">
        <v>1850</v>
      </c>
      <c r="D162" s="670" t="s">
        <v>68</v>
      </c>
      <c r="E162" s="670" t="s">
        <v>73</v>
      </c>
      <c r="F162" s="670" t="s">
        <v>25</v>
      </c>
      <c r="G162" s="670">
        <v>1</v>
      </c>
      <c r="H162" s="670">
        <v>0</v>
      </c>
      <c r="I162" s="670">
        <v>1</v>
      </c>
      <c r="J162" s="670">
        <v>1</v>
      </c>
      <c r="K162" s="670" t="s">
        <v>146</v>
      </c>
      <c r="L162" s="670" t="s">
        <v>49</v>
      </c>
      <c r="M162" s="669"/>
      <c r="N162" s="670"/>
      <c r="O162" s="671" t="s">
        <v>1851</v>
      </c>
      <c r="P162" s="466" t="s">
        <v>49</v>
      </c>
      <c r="Q162" s="466" t="s">
        <v>148</v>
      </c>
      <c r="R162" s="466" t="s">
        <v>49</v>
      </c>
      <c r="S162" s="466">
        <v>3</v>
      </c>
      <c r="T162" s="466">
        <v>9</v>
      </c>
      <c r="U162" s="466">
        <v>8</v>
      </c>
      <c r="V162" s="466">
        <v>2</v>
      </c>
      <c r="W162">
        <v>1</v>
      </c>
      <c r="X162">
        <v>1</v>
      </c>
      <c r="Y162">
        <v>0</v>
      </c>
      <c r="Z162">
        <v>1</v>
      </c>
      <c r="AA162" t="b">
        <v>0</v>
      </c>
      <c r="AB162" t="b">
        <v>1</v>
      </c>
      <c r="AC162">
        <v>0</v>
      </c>
      <c r="AD162">
        <v>0</v>
      </c>
      <c r="AE162">
        <v>1</v>
      </c>
      <c r="AF162">
        <v>0</v>
      </c>
      <c r="AG162">
        <v>1</v>
      </c>
      <c r="AH162">
        <v>0</v>
      </c>
      <c r="AI162" t="s">
        <v>49</v>
      </c>
    </row>
    <row r="163" spans="1:35" ht="12.75">
      <c r="A163" s="667" t="s">
        <v>49</v>
      </c>
      <c r="B163" s="668">
        <v>4</v>
      </c>
      <c r="C163" s="669" t="s">
        <v>1854</v>
      </c>
      <c r="D163" s="670" t="s">
        <v>68</v>
      </c>
      <c r="E163" s="670" t="s">
        <v>73</v>
      </c>
      <c r="F163" s="670" t="s">
        <v>115</v>
      </c>
      <c r="G163" s="670">
        <v>1</v>
      </c>
      <c r="H163" s="670">
        <v>0</v>
      </c>
      <c r="I163" s="670">
        <v>1</v>
      </c>
      <c r="J163" s="670">
        <v>1</v>
      </c>
      <c r="K163" s="670" t="s">
        <v>182</v>
      </c>
      <c r="L163" s="670" t="s">
        <v>536</v>
      </c>
      <c r="M163" s="669">
        <v>2</v>
      </c>
      <c r="N163" s="670">
        <v>5</v>
      </c>
      <c r="O163" s="671" t="s">
        <v>1855</v>
      </c>
      <c r="P163" s="466" t="s">
        <v>49</v>
      </c>
      <c r="Q163" s="466" t="s">
        <v>148</v>
      </c>
      <c r="R163" s="466" t="s">
        <v>49</v>
      </c>
      <c r="S163" s="466">
        <v>3</v>
      </c>
      <c r="T163" s="466">
        <v>9</v>
      </c>
      <c r="U163" s="466">
        <v>10</v>
      </c>
      <c r="V163" s="466">
        <v>3</v>
      </c>
      <c r="W163">
        <v>1</v>
      </c>
      <c r="X163">
        <v>1</v>
      </c>
      <c r="Y163">
        <v>0</v>
      </c>
      <c r="Z163">
        <v>1</v>
      </c>
      <c r="AA163" t="b">
        <v>0</v>
      </c>
      <c r="AB163" t="b">
        <v>1</v>
      </c>
      <c r="AC163">
        <v>0</v>
      </c>
      <c r="AD163">
        <v>0</v>
      </c>
      <c r="AE163">
        <v>1</v>
      </c>
      <c r="AF163">
        <v>0</v>
      </c>
      <c r="AG163">
        <v>1</v>
      </c>
      <c r="AH163">
        <v>0</v>
      </c>
      <c r="AI163" t="s">
        <v>49</v>
      </c>
    </row>
    <row r="164" spans="1:35" ht="12.75">
      <c r="A164" s="667" t="s">
        <v>49</v>
      </c>
      <c r="B164" s="668">
        <v>5</v>
      </c>
      <c r="C164" s="669" t="s">
        <v>1874</v>
      </c>
      <c r="D164" s="670" t="s">
        <v>68</v>
      </c>
      <c r="E164" s="670" t="s">
        <v>73</v>
      </c>
      <c r="F164" s="670" t="s">
        <v>115</v>
      </c>
      <c r="G164" s="670">
        <v>1</v>
      </c>
      <c r="H164" s="670">
        <v>0</v>
      </c>
      <c r="I164" s="670">
        <v>1</v>
      </c>
      <c r="J164" s="670">
        <v>1</v>
      </c>
      <c r="K164" s="670" t="s">
        <v>182</v>
      </c>
      <c r="L164" s="670" t="s">
        <v>602</v>
      </c>
      <c r="M164" s="669">
        <v>6</v>
      </c>
      <c r="N164" s="670">
        <v>6</v>
      </c>
      <c r="O164" s="671" t="s">
        <v>1875</v>
      </c>
      <c r="P164" s="466" t="s">
        <v>454</v>
      </c>
      <c r="Q164" s="466" t="s">
        <v>148</v>
      </c>
      <c r="R164" s="466" t="s">
        <v>49</v>
      </c>
      <c r="S164" s="466">
        <v>3</v>
      </c>
      <c r="T164" s="466">
        <v>9</v>
      </c>
      <c r="U164" s="466">
        <v>10</v>
      </c>
      <c r="V164" s="466">
        <v>3</v>
      </c>
      <c r="W164">
        <v>1</v>
      </c>
      <c r="X164">
        <v>1</v>
      </c>
      <c r="Y164">
        <v>0</v>
      </c>
      <c r="Z164">
        <v>1</v>
      </c>
      <c r="AA164" t="b">
        <v>0</v>
      </c>
      <c r="AB164" t="b">
        <v>1</v>
      </c>
      <c r="AC164">
        <v>0</v>
      </c>
      <c r="AD164">
        <v>0</v>
      </c>
      <c r="AE164">
        <v>1</v>
      </c>
      <c r="AF164">
        <v>0</v>
      </c>
      <c r="AG164">
        <v>1</v>
      </c>
      <c r="AH164">
        <v>0</v>
      </c>
      <c r="AI164" t="s">
        <v>49</v>
      </c>
    </row>
    <row r="165" spans="1:35" ht="12.75">
      <c r="A165" s="667" t="s">
        <v>49</v>
      </c>
      <c r="B165" s="668">
        <v>6</v>
      </c>
      <c r="C165" s="669" t="s">
        <v>1885</v>
      </c>
      <c r="D165" s="670" t="s">
        <v>68</v>
      </c>
      <c r="E165" s="670" t="s">
        <v>73</v>
      </c>
      <c r="F165" s="670" t="s">
        <v>20</v>
      </c>
      <c r="G165" s="670">
        <v>1</v>
      </c>
      <c r="H165" s="670">
        <v>0</v>
      </c>
      <c r="I165" s="670">
        <v>1</v>
      </c>
      <c r="J165" s="670">
        <v>1</v>
      </c>
      <c r="K165" s="670" t="s">
        <v>146</v>
      </c>
      <c r="L165" s="670" t="s">
        <v>49</v>
      </c>
      <c r="M165" s="669"/>
      <c r="N165" s="670"/>
      <c r="O165" s="671" t="s">
        <v>1886</v>
      </c>
      <c r="P165" s="466" t="s">
        <v>49</v>
      </c>
      <c r="Q165" s="466" t="s">
        <v>148</v>
      </c>
      <c r="R165" s="466" t="s">
        <v>49</v>
      </c>
      <c r="S165" s="466">
        <v>3</v>
      </c>
      <c r="T165" s="466">
        <v>9</v>
      </c>
      <c r="U165" s="466">
        <v>6</v>
      </c>
      <c r="V165" s="466">
        <v>2</v>
      </c>
      <c r="W165">
        <v>1</v>
      </c>
      <c r="X165">
        <v>1</v>
      </c>
      <c r="Y165">
        <v>0</v>
      </c>
      <c r="Z165">
        <v>1</v>
      </c>
      <c r="AA165" t="b">
        <v>0</v>
      </c>
      <c r="AB165" t="b">
        <v>1</v>
      </c>
      <c r="AC165">
        <v>0</v>
      </c>
      <c r="AD165">
        <v>0</v>
      </c>
      <c r="AE165">
        <v>1</v>
      </c>
      <c r="AF165">
        <v>0</v>
      </c>
      <c r="AG165">
        <v>1</v>
      </c>
      <c r="AH165">
        <v>0</v>
      </c>
      <c r="AI165" t="s">
        <v>49</v>
      </c>
    </row>
    <row r="166" spans="1:35" ht="12.75">
      <c r="A166" s="667" t="s">
        <v>49</v>
      </c>
      <c r="B166" s="668">
        <v>7</v>
      </c>
      <c r="C166" s="669" t="s">
        <v>1887</v>
      </c>
      <c r="D166" s="670" t="s">
        <v>68</v>
      </c>
      <c r="E166" s="670" t="s">
        <v>73</v>
      </c>
      <c r="F166" s="670" t="s">
        <v>26</v>
      </c>
      <c r="G166" s="670">
        <v>1</v>
      </c>
      <c r="H166" s="670">
        <v>0</v>
      </c>
      <c r="I166" s="670">
        <v>1</v>
      </c>
      <c r="J166" s="670">
        <v>1</v>
      </c>
      <c r="K166" s="670" t="s">
        <v>182</v>
      </c>
      <c r="L166" s="670" t="s">
        <v>49</v>
      </c>
      <c r="M166" s="669">
        <v>6</v>
      </c>
      <c r="N166" s="670">
        <v>6</v>
      </c>
      <c r="O166" s="671" t="s">
        <v>1888</v>
      </c>
      <c r="P166" s="466" t="s">
        <v>184</v>
      </c>
      <c r="Q166" s="466" t="s">
        <v>148</v>
      </c>
      <c r="R166" s="466" t="s">
        <v>49</v>
      </c>
      <c r="S166" s="466">
        <v>3</v>
      </c>
      <c r="T166" s="466">
        <v>9</v>
      </c>
      <c r="U166" s="466">
        <v>9</v>
      </c>
      <c r="V166" s="466">
        <v>3</v>
      </c>
      <c r="W166">
        <v>1</v>
      </c>
      <c r="X166">
        <v>1</v>
      </c>
      <c r="Y166">
        <v>0</v>
      </c>
      <c r="Z166">
        <v>1</v>
      </c>
      <c r="AA166" t="b">
        <v>0</v>
      </c>
      <c r="AB166" t="b">
        <v>1</v>
      </c>
      <c r="AC166">
        <v>0</v>
      </c>
      <c r="AD166">
        <v>0</v>
      </c>
      <c r="AE166">
        <v>1</v>
      </c>
      <c r="AF166">
        <v>0</v>
      </c>
      <c r="AG166">
        <v>1</v>
      </c>
      <c r="AH166">
        <v>0</v>
      </c>
      <c r="AI166" t="s">
        <v>49</v>
      </c>
    </row>
    <row r="167" spans="1:35" ht="12.75">
      <c r="A167" s="667" t="s">
        <v>49</v>
      </c>
      <c r="B167" s="668"/>
      <c r="C167" s="669" t="s">
        <v>49</v>
      </c>
      <c r="D167" s="670" t="s">
        <v>49</v>
      </c>
      <c r="E167" s="670" t="s">
        <v>49</v>
      </c>
      <c r="F167" s="670" t="s">
        <v>49</v>
      </c>
      <c r="G167" s="670"/>
      <c r="H167" s="670"/>
      <c r="I167" s="670"/>
      <c r="J167" s="670"/>
      <c r="K167" s="670" t="s">
        <v>49</v>
      </c>
      <c r="L167" s="670" t="s">
        <v>49</v>
      </c>
      <c r="M167" s="669"/>
      <c r="N167" s="670"/>
      <c r="O167" s="671" t="s">
        <v>49</v>
      </c>
      <c r="P167" s="466" t="s">
        <v>49</v>
      </c>
      <c r="Q167" s="466" t="s">
        <v>49</v>
      </c>
      <c r="R167" s="466" t="s">
        <v>49</v>
      </c>
      <c r="S167" s="466"/>
      <c r="T167" s="466"/>
      <c r="U167" s="466"/>
      <c r="V167" s="466"/>
      <c r="AI167" t="s">
        <v>49</v>
      </c>
    </row>
    <row r="168" spans="1:35" ht="12.75">
      <c r="B168" s="673"/>
      <c r="C168" s="147"/>
      <c r="D168" s="674"/>
      <c r="E168" s="674"/>
      <c r="F168" s="674"/>
      <c r="G168" s="674"/>
      <c r="H168" s="674"/>
      <c r="I168" s="674"/>
      <c r="J168" s="674"/>
      <c r="K168" s="674"/>
      <c r="L168" s="674"/>
      <c r="M168" s="147"/>
      <c r="N168" s="674"/>
      <c r="O168" s="675"/>
      <c r="P168" s="466"/>
      <c r="Q168" s="466"/>
      <c r="R168" s="466"/>
      <c r="S168" s="466"/>
      <c r="T168" s="466"/>
      <c r="U168" s="466"/>
      <c r="V168" s="466"/>
    </row>
    <row r="169" spans="1:35" ht="12.75">
      <c r="B169" s="673"/>
      <c r="C169" s="147"/>
      <c r="D169" s="674"/>
      <c r="E169" s="674"/>
      <c r="F169" s="674"/>
      <c r="G169" s="674"/>
      <c r="H169" s="674"/>
      <c r="I169" s="674"/>
      <c r="J169" s="674"/>
      <c r="K169" s="674"/>
      <c r="L169" s="674"/>
      <c r="M169" s="147"/>
      <c r="N169" s="674"/>
      <c r="O169" s="675"/>
      <c r="P169" s="466"/>
      <c r="Q169" s="466"/>
      <c r="R169" s="466"/>
      <c r="S169" s="466"/>
      <c r="T169" s="466"/>
      <c r="U169" s="466"/>
      <c r="V169" s="466"/>
    </row>
    <row r="170" spans="1:35" ht="12.75">
      <c r="B170" s="673"/>
      <c r="C170" s="147"/>
      <c r="D170" s="674"/>
      <c r="E170" s="674"/>
      <c r="F170" s="674"/>
      <c r="G170" s="674"/>
      <c r="H170" s="674"/>
      <c r="I170" s="674"/>
      <c r="J170" s="674"/>
      <c r="K170" s="674"/>
      <c r="L170" s="674"/>
      <c r="M170" s="147"/>
      <c r="N170" s="674"/>
      <c r="O170" s="675"/>
      <c r="P170" s="466"/>
      <c r="Q170" s="466"/>
      <c r="R170" s="466"/>
      <c r="S170" s="466"/>
      <c r="T170" s="466"/>
      <c r="U170" s="466"/>
      <c r="V170" s="466"/>
    </row>
    <row r="171" spans="1:35" ht="12.75">
      <c r="B171" s="673"/>
      <c r="C171" s="147"/>
      <c r="D171" s="674"/>
      <c r="E171" s="674"/>
      <c r="F171" s="674"/>
      <c r="G171" s="674"/>
      <c r="H171" s="674"/>
      <c r="I171" s="674"/>
      <c r="J171" s="674"/>
      <c r="K171" s="674"/>
      <c r="L171" s="674"/>
      <c r="M171" s="147"/>
      <c r="N171" s="674"/>
      <c r="O171" s="675"/>
      <c r="P171" s="466"/>
      <c r="Q171" s="466"/>
      <c r="R171" s="466"/>
      <c r="S171" s="466"/>
      <c r="T171" s="466"/>
      <c r="U171" s="466"/>
      <c r="V171" s="466"/>
    </row>
    <row r="172" spans="1:35" ht="12.75">
      <c r="B172" s="673"/>
      <c r="C172" s="147"/>
      <c r="D172" s="674"/>
      <c r="E172" s="674"/>
      <c r="F172" s="674"/>
      <c r="G172" s="674"/>
      <c r="H172" s="674"/>
      <c r="I172" s="674"/>
      <c r="J172" s="674"/>
      <c r="K172" s="674"/>
      <c r="L172" s="674"/>
      <c r="M172" s="147"/>
      <c r="N172" s="674"/>
      <c r="O172" s="675"/>
      <c r="P172" s="466"/>
      <c r="Q172" s="466"/>
      <c r="R172" s="466"/>
      <c r="S172" s="466"/>
      <c r="T172" s="466"/>
      <c r="U172" s="466"/>
      <c r="V172" s="466"/>
    </row>
    <row r="173" spans="1:35" ht="12.75">
      <c r="B173" s="673"/>
      <c r="C173" s="147"/>
      <c r="D173" s="674"/>
      <c r="E173" s="674"/>
      <c r="F173" s="674"/>
      <c r="G173" s="674"/>
      <c r="H173" s="674"/>
      <c r="I173" s="674"/>
      <c r="J173" s="674"/>
      <c r="K173" s="674"/>
      <c r="L173" s="674"/>
      <c r="M173" s="147"/>
      <c r="N173" s="674"/>
      <c r="O173" s="675"/>
      <c r="P173" s="466"/>
      <c r="Q173" s="466"/>
      <c r="R173" s="466"/>
      <c r="S173" s="466"/>
      <c r="T173" s="466"/>
      <c r="U173" s="466"/>
      <c r="V173" s="466"/>
    </row>
    <row r="174" spans="1:35" ht="12.75">
      <c r="B174" s="673"/>
      <c r="C174" s="147"/>
      <c r="D174" s="674"/>
      <c r="E174" s="674"/>
      <c r="F174" s="674"/>
      <c r="G174" s="674"/>
      <c r="H174" s="674"/>
      <c r="I174" s="674"/>
      <c r="J174" s="674"/>
      <c r="K174" s="674"/>
      <c r="L174" s="674"/>
      <c r="M174" s="147"/>
      <c r="N174" s="674"/>
      <c r="O174" s="675"/>
      <c r="P174" s="466"/>
      <c r="Q174" s="466"/>
      <c r="R174" s="466"/>
      <c r="S174" s="466"/>
      <c r="T174" s="466"/>
      <c r="U174" s="466"/>
      <c r="V174" s="466"/>
    </row>
    <row r="175" spans="1:35" ht="12.75">
      <c r="B175" s="673"/>
      <c r="C175" s="147"/>
      <c r="D175" s="674"/>
      <c r="E175" s="674"/>
      <c r="F175" s="674"/>
      <c r="G175" s="674"/>
      <c r="H175" s="674"/>
      <c r="I175" s="674"/>
      <c r="J175" s="674"/>
      <c r="K175" s="674"/>
      <c r="L175" s="674"/>
      <c r="M175" s="147"/>
      <c r="N175" s="674"/>
      <c r="O175" s="675"/>
      <c r="P175" s="466"/>
      <c r="Q175" s="466"/>
      <c r="R175" s="466"/>
      <c r="S175" s="466"/>
      <c r="T175" s="466"/>
      <c r="U175" s="466"/>
      <c r="V175" s="466"/>
    </row>
    <row r="176" spans="1:35" ht="12.75">
      <c r="B176" s="673"/>
      <c r="C176" s="147"/>
      <c r="D176" s="674"/>
      <c r="E176" s="674"/>
      <c r="F176" s="674"/>
      <c r="G176" s="674"/>
      <c r="H176" s="674"/>
      <c r="I176" s="674"/>
      <c r="J176" s="674"/>
      <c r="K176" s="674"/>
      <c r="L176" s="674"/>
      <c r="M176" s="147"/>
      <c r="N176" s="674"/>
      <c r="O176" s="675"/>
      <c r="P176" s="466"/>
      <c r="Q176" s="466"/>
      <c r="R176" s="466"/>
      <c r="S176" s="466"/>
      <c r="T176" s="466"/>
      <c r="U176" s="466"/>
      <c r="V176" s="466"/>
    </row>
    <row r="177" spans="2:22" ht="12.75">
      <c r="B177" s="673"/>
      <c r="C177" s="147"/>
      <c r="D177" s="674"/>
      <c r="E177" s="674"/>
      <c r="F177" s="674"/>
      <c r="G177" s="674"/>
      <c r="H177" s="674"/>
      <c r="I177" s="674"/>
      <c r="J177" s="674"/>
      <c r="K177" s="674"/>
      <c r="L177" s="674"/>
      <c r="M177" s="147"/>
      <c r="N177" s="674"/>
      <c r="O177" s="675"/>
      <c r="P177" s="466"/>
      <c r="Q177" s="466"/>
      <c r="R177" s="466"/>
      <c r="S177" s="466"/>
      <c r="T177" s="466"/>
      <c r="U177" s="466"/>
      <c r="V177" s="466"/>
    </row>
    <row r="178" spans="2:22" ht="12.75">
      <c r="B178" s="673"/>
      <c r="C178" s="147"/>
      <c r="D178" s="674"/>
      <c r="E178" s="674"/>
      <c r="F178" s="674"/>
      <c r="G178" s="674"/>
      <c r="H178" s="674"/>
      <c r="I178" s="674"/>
      <c r="J178" s="674"/>
      <c r="K178" s="674"/>
      <c r="L178" s="674"/>
      <c r="M178" s="147"/>
      <c r="N178" s="674"/>
      <c r="O178" s="675"/>
      <c r="P178" s="466"/>
      <c r="Q178" s="466"/>
      <c r="R178" s="466"/>
      <c r="S178" s="466"/>
      <c r="T178" s="466"/>
      <c r="U178" s="466"/>
      <c r="V178" s="466"/>
    </row>
    <row r="179" spans="2:22" ht="12.75">
      <c r="B179" s="673"/>
      <c r="C179" s="147"/>
      <c r="D179" s="674"/>
      <c r="E179" s="674"/>
      <c r="F179" s="674"/>
      <c r="G179" s="674"/>
      <c r="H179" s="674"/>
      <c r="I179" s="674"/>
      <c r="J179" s="674"/>
      <c r="K179" s="674"/>
      <c r="L179" s="674"/>
      <c r="M179" s="147"/>
      <c r="N179" s="674"/>
      <c r="O179" s="675"/>
      <c r="P179" s="466"/>
      <c r="Q179" s="466"/>
      <c r="R179" s="466"/>
      <c r="S179" s="466"/>
      <c r="T179" s="466"/>
      <c r="U179" s="466"/>
      <c r="V179" s="466"/>
    </row>
    <row r="180" spans="2:22" ht="12.75">
      <c r="B180" s="673"/>
      <c r="C180" s="147"/>
      <c r="D180" s="674"/>
      <c r="E180" s="674"/>
      <c r="F180" s="674"/>
      <c r="G180" s="674"/>
      <c r="H180" s="674"/>
      <c r="I180" s="674"/>
      <c r="J180" s="674"/>
      <c r="K180" s="674"/>
      <c r="L180" s="674"/>
      <c r="M180" s="147"/>
      <c r="N180" s="674"/>
      <c r="O180" s="675"/>
      <c r="P180" s="466"/>
      <c r="Q180" s="466"/>
      <c r="R180" s="466"/>
      <c r="S180" s="466"/>
      <c r="T180" s="466"/>
      <c r="U180" s="466"/>
      <c r="V180" s="466"/>
    </row>
    <row r="181" spans="2:22" ht="12.75">
      <c r="B181" s="673"/>
      <c r="C181" s="147"/>
      <c r="D181" s="674"/>
      <c r="E181" s="674"/>
      <c r="F181" s="674"/>
      <c r="G181" s="674"/>
      <c r="H181" s="674"/>
      <c r="I181" s="674"/>
      <c r="J181" s="674"/>
      <c r="K181" s="674"/>
      <c r="L181" s="674"/>
      <c r="M181" s="147"/>
      <c r="N181" s="674"/>
      <c r="O181" s="675"/>
      <c r="P181" s="466"/>
      <c r="Q181" s="466"/>
      <c r="R181" s="466"/>
      <c r="S181" s="466"/>
      <c r="T181" s="466"/>
      <c r="U181" s="466"/>
      <c r="V181" s="466"/>
    </row>
    <row r="182" spans="2:22" ht="12.75">
      <c r="B182" s="673"/>
      <c r="C182" s="147"/>
      <c r="D182" s="674"/>
      <c r="E182" s="674"/>
      <c r="F182" s="674"/>
      <c r="G182" s="674"/>
      <c r="H182" s="674"/>
      <c r="I182" s="674"/>
      <c r="J182" s="674"/>
      <c r="K182" s="674"/>
      <c r="L182" s="674"/>
      <c r="M182" s="147"/>
      <c r="N182" s="674"/>
      <c r="O182" s="675"/>
      <c r="P182" s="466"/>
      <c r="Q182" s="466"/>
      <c r="R182" s="466"/>
      <c r="S182" s="466"/>
      <c r="T182" s="466"/>
      <c r="U182" s="466"/>
      <c r="V182" s="466"/>
    </row>
    <row r="183" spans="2:22" ht="12.75">
      <c r="B183" s="673"/>
      <c r="C183" s="147"/>
      <c r="D183" s="674"/>
      <c r="E183" s="674"/>
      <c r="F183" s="674"/>
      <c r="G183" s="674"/>
      <c r="H183" s="674"/>
      <c r="I183" s="674"/>
      <c r="J183" s="674"/>
      <c r="K183" s="674"/>
      <c r="L183" s="674"/>
      <c r="M183" s="147"/>
      <c r="N183" s="674"/>
      <c r="O183" s="675"/>
      <c r="P183" s="466"/>
      <c r="Q183" s="466"/>
      <c r="R183" s="466"/>
      <c r="S183" s="466"/>
      <c r="T183" s="466"/>
      <c r="U183" s="466"/>
      <c r="V183" s="466"/>
    </row>
    <row r="184" spans="2:22" ht="12.75">
      <c r="B184" s="673"/>
      <c r="C184" s="147"/>
      <c r="D184" s="674"/>
      <c r="E184" s="674"/>
      <c r="F184" s="674"/>
      <c r="G184" s="674"/>
      <c r="H184" s="674"/>
      <c r="I184" s="674"/>
      <c r="J184" s="674"/>
      <c r="K184" s="674"/>
      <c r="L184" s="674"/>
      <c r="M184" s="147"/>
      <c r="N184" s="674"/>
      <c r="O184" s="675"/>
      <c r="P184" s="466"/>
      <c r="Q184" s="466"/>
      <c r="R184" s="466"/>
      <c r="S184" s="466"/>
      <c r="T184" s="466"/>
      <c r="U184" s="466"/>
      <c r="V184" s="466"/>
    </row>
    <row r="185" spans="2:22" ht="12.75">
      <c r="B185" s="673"/>
      <c r="C185" s="147"/>
      <c r="D185" s="674"/>
      <c r="E185" s="674"/>
      <c r="F185" s="674"/>
      <c r="G185" s="674"/>
      <c r="H185" s="674"/>
      <c r="I185" s="674"/>
      <c r="J185" s="674"/>
      <c r="K185" s="674"/>
      <c r="L185" s="674"/>
      <c r="M185" s="147"/>
      <c r="N185" s="674"/>
      <c r="O185" s="675"/>
      <c r="P185" s="466"/>
      <c r="Q185" s="466"/>
      <c r="R185" s="466"/>
      <c r="S185" s="466"/>
      <c r="T185" s="466"/>
      <c r="U185" s="466"/>
      <c r="V185" s="466"/>
    </row>
    <row r="186" spans="2:22" ht="12.75">
      <c r="B186" s="673"/>
      <c r="C186" s="147"/>
      <c r="D186" s="674"/>
      <c r="E186" s="674"/>
      <c r="F186" s="674"/>
      <c r="G186" s="674"/>
      <c r="H186" s="674"/>
      <c r="I186" s="674"/>
      <c r="J186" s="674"/>
      <c r="K186" s="674"/>
      <c r="L186" s="674"/>
      <c r="M186" s="147"/>
      <c r="N186" s="674"/>
      <c r="O186" s="675"/>
      <c r="P186" s="466"/>
      <c r="Q186" s="466"/>
      <c r="R186" s="466"/>
      <c r="S186" s="466"/>
      <c r="T186" s="466"/>
      <c r="U186" s="466"/>
      <c r="V186" s="466"/>
    </row>
    <row r="187" spans="2:22" ht="12.75">
      <c r="B187" s="673"/>
      <c r="C187" s="147"/>
      <c r="D187" s="674"/>
      <c r="E187" s="674"/>
      <c r="F187" s="674"/>
      <c r="G187" s="674"/>
      <c r="H187" s="674"/>
      <c r="I187" s="674"/>
      <c r="J187" s="674"/>
      <c r="K187" s="674"/>
      <c r="L187" s="674"/>
      <c r="M187" s="147"/>
      <c r="N187" s="674"/>
      <c r="O187" s="675"/>
      <c r="P187" s="466"/>
      <c r="Q187" s="466"/>
      <c r="R187" s="466"/>
      <c r="S187" s="466"/>
      <c r="T187" s="466"/>
      <c r="U187" s="466"/>
      <c r="V187" s="466"/>
    </row>
    <row r="188" spans="2:22" ht="12.75">
      <c r="B188" s="673"/>
      <c r="C188" s="147"/>
      <c r="D188" s="674"/>
      <c r="E188" s="674"/>
      <c r="F188" s="674"/>
      <c r="G188" s="674"/>
      <c r="H188" s="674"/>
      <c r="I188" s="674"/>
      <c r="J188" s="674"/>
      <c r="K188" s="674"/>
      <c r="L188" s="674"/>
      <c r="M188" s="147"/>
      <c r="N188" s="674"/>
      <c r="O188" s="675"/>
      <c r="P188" s="466"/>
      <c r="Q188" s="466"/>
      <c r="R188" s="466"/>
      <c r="S188" s="466"/>
      <c r="T188" s="466"/>
      <c r="U188" s="466"/>
      <c r="V188" s="466"/>
    </row>
    <row r="189" spans="2:22" ht="12.75">
      <c r="B189" s="673"/>
      <c r="C189" s="147"/>
      <c r="D189" s="674"/>
      <c r="E189" s="674"/>
      <c r="F189" s="674"/>
      <c r="G189" s="674"/>
      <c r="H189" s="674"/>
      <c r="I189" s="674"/>
      <c r="J189" s="674"/>
      <c r="K189" s="674"/>
      <c r="L189" s="674"/>
      <c r="M189" s="147"/>
      <c r="N189" s="674"/>
      <c r="O189" s="675"/>
      <c r="P189" s="466"/>
      <c r="Q189" s="466"/>
      <c r="R189" s="466"/>
      <c r="S189" s="466"/>
      <c r="T189" s="466"/>
      <c r="U189" s="466"/>
      <c r="V189" s="466"/>
    </row>
    <row r="190" spans="2:22" ht="12.75">
      <c r="B190" s="673"/>
      <c r="C190" s="147"/>
      <c r="D190" s="674"/>
      <c r="E190" s="674"/>
      <c r="F190" s="674"/>
      <c r="G190" s="674"/>
      <c r="H190" s="674"/>
      <c r="I190" s="674"/>
      <c r="J190" s="674"/>
      <c r="K190" s="674"/>
      <c r="L190" s="674"/>
      <c r="M190" s="147"/>
      <c r="N190" s="674"/>
      <c r="O190" s="675"/>
      <c r="P190" s="466"/>
      <c r="Q190" s="466"/>
      <c r="R190" s="466"/>
      <c r="S190" s="466"/>
      <c r="T190" s="466"/>
      <c r="U190" s="466"/>
      <c r="V190" s="466"/>
    </row>
    <row r="191" spans="2:22" ht="12.75">
      <c r="B191" s="673"/>
      <c r="C191" s="147"/>
      <c r="D191" s="674"/>
      <c r="E191" s="674"/>
      <c r="F191" s="674"/>
      <c r="G191" s="674"/>
      <c r="H191" s="674"/>
      <c r="I191" s="674"/>
      <c r="J191" s="674"/>
      <c r="K191" s="674"/>
      <c r="L191" s="674"/>
      <c r="M191" s="147"/>
      <c r="N191" s="674"/>
      <c r="O191" s="675"/>
      <c r="P191" s="466"/>
      <c r="Q191" s="466"/>
      <c r="R191" s="466"/>
      <c r="S191" s="466"/>
      <c r="T191" s="466"/>
      <c r="U191" s="466"/>
      <c r="V191" s="466"/>
    </row>
    <row r="192" spans="2:22" ht="12.75">
      <c r="B192" s="673"/>
      <c r="C192" s="147"/>
      <c r="D192" s="674"/>
      <c r="E192" s="674"/>
      <c r="F192" s="674"/>
      <c r="G192" s="674"/>
      <c r="H192" s="674"/>
      <c r="I192" s="674"/>
      <c r="J192" s="674"/>
      <c r="K192" s="674"/>
      <c r="L192" s="674"/>
      <c r="M192" s="147"/>
      <c r="N192" s="674"/>
      <c r="O192" s="675"/>
      <c r="P192" s="466"/>
      <c r="Q192" s="466"/>
      <c r="R192" s="466"/>
      <c r="S192" s="466"/>
      <c r="T192" s="466"/>
      <c r="U192" s="466"/>
      <c r="V192" s="466"/>
    </row>
    <row r="193" spans="2:22" ht="12.75">
      <c r="B193" s="673"/>
      <c r="C193" s="147"/>
      <c r="D193" s="674"/>
      <c r="E193" s="674"/>
      <c r="F193" s="674"/>
      <c r="G193" s="674"/>
      <c r="H193" s="674"/>
      <c r="I193" s="674"/>
      <c r="J193" s="674"/>
      <c r="K193" s="674"/>
      <c r="L193" s="674"/>
      <c r="M193" s="147"/>
      <c r="N193" s="674"/>
      <c r="O193" s="675"/>
      <c r="P193" s="466"/>
      <c r="Q193" s="466"/>
      <c r="R193" s="466"/>
      <c r="S193" s="466"/>
      <c r="T193" s="466"/>
      <c r="U193" s="466"/>
      <c r="V193" s="466"/>
    </row>
    <row r="194" spans="2:22" ht="12.75">
      <c r="B194" s="673"/>
      <c r="C194" s="147"/>
      <c r="D194" s="674"/>
      <c r="E194" s="674"/>
      <c r="F194" s="674"/>
      <c r="G194" s="674"/>
      <c r="H194" s="674"/>
      <c r="I194" s="674"/>
      <c r="J194" s="674"/>
      <c r="K194" s="674"/>
      <c r="L194" s="674"/>
      <c r="M194" s="147"/>
      <c r="N194" s="674"/>
      <c r="O194" s="675"/>
      <c r="P194" s="466"/>
      <c r="Q194" s="466"/>
      <c r="R194" s="466"/>
      <c r="S194" s="466"/>
      <c r="T194" s="466"/>
      <c r="U194" s="466"/>
      <c r="V194" s="466"/>
    </row>
    <row r="195" spans="2:22" ht="12.75">
      <c r="B195" s="673"/>
      <c r="C195" s="147"/>
      <c r="D195" s="674"/>
      <c r="E195" s="674"/>
      <c r="F195" s="674"/>
      <c r="G195" s="674"/>
      <c r="H195" s="674"/>
      <c r="I195" s="674"/>
      <c r="J195" s="674"/>
      <c r="K195" s="674"/>
      <c r="L195" s="674"/>
      <c r="M195" s="147"/>
      <c r="N195" s="674"/>
      <c r="O195" s="675"/>
      <c r="P195" s="466"/>
      <c r="Q195" s="466"/>
      <c r="R195" s="466"/>
      <c r="S195" s="466"/>
      <c r="T195" s="466"/>
      <c r="U195" s="466"/>
      <c r="V195" s="466"/>
    </row>
    <row r="196" spans="2:22" ht="12.75">
      <c r="B196" s="673"/>
      <c r="C196" s="147"/>
      <c r="D196" s="674"/>
      <c r="E196" s="674"/>
      <c r="F196" s="674"/>
      <c r="G196" s="674"/>
      <c r="H196" s="674"/>
      <c r="I196" s="674"/>
      <c r="J196" s="674"/>
      <c r="K196" s="674"/>
      <c r="L196" s="674"/>
      <c r="M196" s="147"/>
      <c r="N196" s="674"/>
      <c r="O196" s="675"/>
      <c r="P196" s="466"/>
      <c r="Q196" s="466"/>
      <c r="R196" s="466"/>
      <c r="S196" s="466"/>
      <c r="T196" s="466"/>
      <c r="U196" s="466"/>
      <c r="V196" s="466"/>
    </row>
    <row r="197" spans="2:22" ht="12.75">
      <c r="B197" s="673"/>
      <c r="C197" s="147"/>
      <c r="D197" s="674"/>
      <c r="E197" s="674"/>
      <c r="F197" s="674"/>
      <c r="G197" s="674"/>
      <c r="H197" s="674"/>
      <c r="I197" s="674"/>
      <c r="J197" s="674"/>
      <c r="K197" s="674"/>
      <c r="L197" s="674"/>
      <c r="M197" s="147"/>
      <c r="N197" s="674"/>
      <c r="O197" s="675"/>
      <c r="P197" s="466"/>
      <c r="Q197" s="466"/>
      <c r="R197" s="466"/>
      <c r="S197" s="466"/>
      <c r="T197" s="466"/>
      <c r="U197" s="466"/>
      <c r="V197" s="466"/>
    </row>
    <row r="198" spans="2:22" ht="12.75">
      <c r="B198" s="673"/>
      <c r="C198" s="147"/>
      <c r="D198" s="674"/>
      <c r="E198" s="674"/>
      <c r="F198" s="674"/>
      <c r="G198" s="674"/>
      <c r="H198" s="674"/>
      <c r="I198" s="674"/>
      <c r="J198" s="674"/>
      <c r="K198" s="674"/>
      <c r="L198" s="674"/>
      <c r="M198" s="147"/>
      <c r="N198" s="674"/>
      <c r="O198" s="675"/>
      <c r="P198" s="466"/>
      <c r="Q198" s="466"/>
      <c r="R198" s="466"/>
      <c r="S198" s="466"/>
      <c r="T198" s="466"/>
      <c r="U198" s="466"/>
      <c r="V198" s="466"/>
    </row>
    <row r="199" spans="2:22" ht="12.75">
      <c r="B199" s="673"/>
      <c r="C199" s="147"/>
      <c r="D199" s="674"/>
      <c r="E199" s="674"/>
      <c r="F199" s="674"/>
      <c r="G199" s="674"/>
      <c r="H199" s="674"/>
      <c r="I199" s="674"/>
      <c r="J199" s="674"/>
      <c r="K199" s="674"/>
      <c r="L199" s="674"/>
      <c r="M199" s="147"/>
      <c r="N199" s="674"/>
      <c r="O199" s="675"/>
      <c r="P199" s="466"/>
      <c r="Q199" s="466"/>
      <c r="R199" s="466"/>
      <c r="S199" s="466"/>
      <c r="T199" s="466"/>
      <c r="U199" s="466"/>
      <c r="V199" s="466"/>
    </row>
    <row r="200" spans="2:22" ht="12.75">
      <c r="B200" s="673"/>
      <c r="C200" s="147"/>
      <c r="D200" s="674"/>
      <c r="E200" s="674"/>
      <c r="F200" s="674"/>
      <c r="G200" s="674"/>
      <c r="H200" s="674"/>
      <c r="I200" s="674"/>
      <c r="J200" s="674"/>
      <c r="K200" s="674"/>
      <c r="L200" s="674"/>
      <c r="M200" s="147"/>
      <c r="N200" s="674"/>
      <c r="O200" s="675"/>
      <c r="P200" s="466"/>
      <c r="Q200" s="466"/>
      <c r="R200" s="466"/>
      <c r="S200" s="466"/>
      <c r="T200" s="466"/>
      <c r="U200" s="466"/>
      <c r="V200" s="466"/>
    </row>
    <row r="201" spans="2:22" ht="12.75">
      <c r="B201" s="673"/>
      <c r="C201" s="147"/>
      <c r="D201" s="674"/>
      <c r="E201" s="674"/>
      <c r="F201" s="674"/>
      <c r="G201" s="674"/>
      <c r="H201" s="674"/>
      <c r="I201" s="674"/>
      <c r="J201" s="674"/>
      <c r="K201" s="674"/>
      <c r="L201" s="674"/>
      <c r="M201" s="147"/>
      <c r="N201" s="674"/>
      <c r="O201" s="675"/>
      <c r="P201" s="466"/>
      <c r="Q201" s="466"/>
      <c r="R201" s="466"/>
      <c r="S201" s="466"/>
      <c r="T201" s="466"/>
      <c r="U201" s="466"/>
      <c r="V201" s="466"/>
    </row>
    <row r="202" spans="2:22" ht="12.75">
      <c r="B202" s="673"/>
      <c r="C202" s="147"/>
      <c r="D202" s="674"/>
      <c r="E202" s="674"/>
      <c r="F202" s="674"/>
      <c r="G202" s="674"/>
      <c r="H202" s="674"/>
      <c r="I202" s="674"/>
      <c r="J202" s="674"/>
      <c r="K202" s="674"/>
      <c r="L202" s="674"/>
      <c r="M202" s="147"/>
      <c r="N202" s="674"/>
      <c r="O202" s="675"/>
      <c r="P202" s="466"/>
      <c r="Q202" s="466"/>
      <c r="R202" s="466"/>
      <c r="S202" s="466"/>
      <c r="T202" s="466"/>
      <c r="U202" s="466"/>
      <c r="V202" s="466"/>
    </row>
    <row r="203" spans="2:22" ht="12.75">
      <c r="B203" s="673"/>
      <c r="C203" s="147"/>
      <c r="D203" s="674"/>
      <c r="E203" s="674"/>
      <c r="F203" s="674"/>
      <c r="G203" s="674"/>
      <c r="H203" s="674"/>
      <c r="I203" s="674"/>
      <c r="J203" s="674"/>
      <c r="K203" s="674"/>
      <c r="L203" s="674"/>
      <c r="M203" s="147"/>
      <c r="N203" s="674"/>
      <c r="O203" s="675"/>
      <c r="P203" s="466"/>
      <c r="Q203" s="466"/>
      <c r="R203" s="466"/>
      <c r="S203" s="466"/>
      <c r="T203" s="466"/>
      <c r="U203" s="466"/>
      <c r="V203" s="466"/>
    </row>
    <row r="204" spans="2:22" ht="12.75">
      <c r="B204" s="673"/>
      <c r="C204" s="147"/>
      <c r="D204" s="674"/>
      <c r="E204" s="674"/>
      <c r="F204" s="674"/>
      <c r="G204" s="674"/>
      <c r="H204" s="674"/>
      <c r="I204" s="674"/>
      <c r="J204" s="674"/>
      <c r="K204" s="674"/>
      <c r="L204" s="674"/>
      <c r="M204" s="147"/>
      <c r="N204" s="674"/>
      <c r="O204" s="675"/>
      <c r="P204" s="466"/>
      <c r="Q204" s="466"/>
      <c r="R204" s="466"/>
      <c r="S204" s="466"/>
      <c r="T204" s="466"/>
      <c r="U204" s="466"/>
      <c r="V204" s="466"/>
    </row>
    <row r="205" spans="2:22" ht="12.75">
      <c r="B205" s="673"/>
      <c r="C205" s="147"/>
      <c r="D205" s="674"/>
      <c r="E205" s="674"/>
      <c r="F205" s="674"/>
      <c r="G205" s="674"/>
      <c r="H205" s="674"/>
      <c r="I205" s="674"/>
      <c r="J205" s="674"/>
      <c r="K205" s="674"/>
      <c r="L205" s="674"/>
      <c r="M205" s="147"/>
      <c r="N205" s="674"/>
      <c r="O205" s="675"/>
      <c r="P205" s="466"/>
      <c r="Q205" s="466"/>
      <c r="R205" s="466"/>
      <c r="S205" s="466"/>
      <c r="T205" s="466"/>
      <c r="U205" s="466"/>
      <c r="V205" s="466"/>
    </row>
    <row r="206" spans="2:22" ht="12.75">
      <c r="B206" s="673"/>
      <c r="C206" s="147"/>
      <c r="D206" s="674"/>
      <c r="E206" s="674"/>
      <c r="F206" s="674"/>
      <c r="G206" s="674"/>
      <c r="H206" s="674"/>
      <c r="I206" s="674"/>
      <c r="J206" s="674"/>
      <c r="K206" s="674"/>
      <c r="L206" s="674"/>
      <c r="M206" s="147"/>
      <c r="N206" s="674"/>
      <c r="O206" s="675"/>
      <c r="P206" s="466"/>
      <c r="Q206" s="466"/>
      <c r="R206" s="466"/>
      <c r="S206" s="466"/>
      <c r="T206" s="466"/>
      <c r="U206" s="466"/>
      <c r="V206" s="466"/>
    </row>
    <row r="207" spans="2:22" ht="12.75">
      <c r="B207" s="673"/>
      <c r="C207" s="147"/>
      <c r="D207" s="674"/>
      <c r="E207" s="674"/>
      <c r="F207" s="674"/>
      <c r="G207" s="674"/>
      <c r="H207" s="674"/>
      <c r="I207" s="674"/>
      <c r="J207" s="674"/>
      <c r="K207" s="674"/>
      <c r="L207" s="674"/>
      <c r="M207" s="147"/>
      <c r="N207" s="674"/>
      <c r="O207" s="675"/>
      <c r="P207" s="466"/>
      <c r="Q207" s="466"/>
      <c r="R207" s="466"/>
      <c r="S207" s="466"/>
      <c r="T207" s="466"/>
      <c r="U207" s="466"/>
      <c r="V207" s="466"/>
    </row>
    <row r="208" spans="2:22" ht="12.75">
      <c r="B208" s="673"/>
      <c r="C208" s="147"/>
      <c r="D208" s="674"/>
      <c r="E208" s="674"/>
      <c r="F208" s="674"/>
      <c r="G208" s="674"/>
      <c r="H208" s="674"/>
      <c r="I208" s="674"/>
      <c r="J208" s="674"/>
      <c r="K208" s="674"/>
      <c r="L208" s="674"/>
      <c r="M208" s="147"/>
      <c r="N208" s="674"/>
      <c r="O208" s="675"/>
      <c r="P208" s="466"/>
      <c r="Q208" s="466"/>
      <c r="R208" s="466"/>
      <c r="S208" s="466"/>
      <c r="T208" s="466"/>
      <c r="U208" s="466"/>
      <c r="V208" s="466"/>
    </row>
    <row r="209" spans="2:22" ht="12.75">
      <c r="B209" s="673"/>
      <c r="C209" s="147"/>
      <c r="D209" s="674"/>
      <c r="E209" s="674"/>
      <c r="F209" s="674"/>
      <c r="G209" s="674"/>
      <c r="H209" s="674"/>
      <c r="I209" s="674"/>
      <c r="J209" s="674"/>
      <c r="K209" s="674"/>
      <c r="L209" s="674"/>
      <c r="M209" s="147"/>
      <c r="N209" s="674"/>
      <c r="O209" s="675"/>
      <c r="P209" s="466"/>
      <c r="Q209" s="466"/>
      <c r="R209" s="466"/>
      <c r="S209" s="466"/>
      <c r="T209" s="466"/>
      <c r="U209" s="466"/>
      <c r="V209" s="466"/>
    </row>
    <row r="210" spans="2:22" ht="12.75">
      <c r="B210" s="673"/>
      <c r="C210" s="147"/>
      <c r="D210" s="674"/>
      <c r="E210" s="674"/>
      <c r="F210" s="674"/>
      <c r="G210" s="674"/>
      <c r="H210" s="674"/>
      <c r="I210" s="674"/>
      <c r="J210" s="674"/>
      <c r="K210" s="674"/>
      <c r="L210" s="674"/>
      <c r="M210" s="147"/>
      <c r="N210" s="674"/>
      <c r="O210" s="675"/>
      <c r="P210" s="466"/>
      <c r="Q210" s="466"/>
      <c r="R210" s="466"/>
      <c r="S210" s="466"/>
      <c r="T210" s="466"/>
      <c r="U210" s="466"/>
      <c r="V210" s="466"/>
    </row>
    <row r="211" spans="2:22" ht="12.75">
      <c r="B211" s="673"/>
      <c r="C211" s="147"/>
      <c r="D211" s="674"/>
      <c r="E211" s="674"/>
      <c r="F211" s="674"/>
      <c r="G211" s="674"/>
      <c r="H211" s="674"/>
      <c r="I211" s="674"/>
      <c r="J211" s="674"/>
      <c r="K211" s="674"/>
      <c r="L211" s="674"/>
      <c r="M211" s="147"/>
      <c r="N211" s="674"/>
      <c r="O211" s="675"/>
      <c r="P211" s="466"/>
      <c r="Q211" s="466"/>
      <c r="R211" s="466"/>
      <c r="S211" s="466"/>
      <c r="T211" s="466"/>
      <c r="U211" s="466"/>
      <c r="V211" s="466"/>
    </row>
    <row r="212" spans="2:22" ht="12.75">
      <c r="B212" s="673"/>
      <c r="C212" s="147"/>
      <c r="D212" s="674"/>
      <c r="E212" s="674"/>
      <c r="F212" s="674"/>
      <c r="G212" s="674"/>
      <c r="H212" s="674"/>
      <c r="I212" s="674"/>
      <c r="J212" s="674"/>
      <c r="K212" s="674"/>
      <c r="L212" s="674"/>
      <c r="M212" s="147"/>
      <c r="N212" s="674"/>
      <c r="O212" s="675"/>
      <c r="P212" s="466"/>
      <c r="Q212" s="466"/>
      <c r="R212" s="466"/>
      <c r="S212" s="466"/>
      <c r="T212" s="466"/>
      <c r="U212" s="466"/>
      <c r="V212" s="466"/>
    </row>
    <row r="213" spans="2:22" ht="12.75">
      <c r="B213" s="673"/>
      <c r="C213" s="147"/>
      <c r="D213" s="674"/>
      <c r="E213" s="674"/>
      <c r="F213" s="674"/>
      <c r="G213" s="674"/>
      <c r="H213" s="674"/>
      <c r="I213" s="674"/>
      <c r="J213" s="674"/>
      <c r="K213" s="674"/>
      <c r="L213" s="674"/>
      <c r="M213" s="147"/>
      <c r="N213" s="674"/>
      <c r="O213" s="675"/>
      <c r="P213" s="466"/>
      <c r="Q213" s="466"/>
      <c r="R213" s="466"/>
      <c r="S213" s="466"/>
      <c r="T213" s="466"/>
      <c r="U213" s="466"/>
      <c r="V213" s="466"/>
    </row>
    <row r="214" spans="2:22" ht="12.75">
      <c r="B214" s="673"/>
      <c r="C214" s="147"/>
      <c r="D214" s="674"/>
      <c r="E214" s="674"/>
      <c r="F214" s="674"/>
      <c r="G214" s="674"/>
      <c r="H214" s="674"/>
      <c r="I214" s="674"/>
      <c r="J214" s="674"/>
      <c r="K214" s="674"/>
      <c r="L214" s="674"/>
      <c r="M214" s="147"/>
      <c r="N214" s="674"/>
      <c r="O214" s="675"/>
      <c r="P214" s="466"/>
      <c r="Q214" s="466"/>
      <c r="R214" s="466"/>
      <c r="S214" s="466"/>
      <c r="T214" s="466"/>
      <c r="U214" s="466"/>
      <c r="V214" s="466"/>
    </row>
    <row r="215" spans="2:22" ht="12.75">
      <c r="B215" s="673"/>
      <c r="C215" s="147"/>
      <c r="D215" s="674"/>
      <c r="E215" s="674"/>
      <c r="F215" s="674"/>
      <c r="G215" s="674"/>
      <c r="H215" s="674"/>
      <c r="I215" s="674"/>
      <c r="J215" s="674"/>
      <c r="K215" s="674"/>
      <c r="L215" s="674"/>
      <c r="M215" s="147"/>
      <c r="N215" s="674"/>
      <c r="O215" s="675"/>
      <c r="P215" s="466"/>
      <c r="Q215" s="466"/>
      <c r="R215" s="466"/>
      <c r="S215" s="466"/>
      <c r="T215" s="466"/>
      <c r="U215" s="466"/>
      <c r="V215" s="466"/>
    </row>
    <row r="216" spans="2:22" ht="12.75">
      <c r="B216" s="673"/>
      <c r="C216" s="147"/>
      <c r="D216" s="674"/>
      <c r="E216" s="674"/>
      <c r="F216" s="674"/>
      <c r="G216" s="674"/>
      <c r="H216" s="674"/>
      <c r="I216" s="674"/>
      <c r="J216" s="674"/>
      <c r="K216" s="674"/>
      <c r="L216" s="674"/>
      <c r="M216" s="147"/>
      <c r="N216" s="674"/>
      <c r="O216" s="675"/>
      <c r="P216" s="466"/>
      <c r="Q216" s="466"/>
      <c r="R216" s="466"/>
      <c r="S216" s="466"/>
      <c r="T216" s="466"/>
      <c r="U216" s="466"/>
      <c r="V216" s="466"/>
    </row>
    <row r="217" spans="2:22" ht="12.75">
      <c r="B217" s="673"/>
      <c r="C217" s="147"/>
      <c r="D217" s="674"/>
      <c r="E217" s="674"/>
      <c r="F217" s="674"/>
      <c r="G217" s="674"/>
      <c r="H217" s="674"/>
      <c r="I217" s="674"/>
      <c r="J217" s="674"/>
      <c r="K217" s="674"/>
      <c r="L217" s="674"/>
      <c r="M217" s="147"/>
      <c r="N217" s="674"/>
      <c r="O217" s="675"/>
      <c r="P217" s="466"/>
      <c r="Q217" s="466"/>
      <c r="R217" s="466"/>
      <c r="S217" s="466"/>
      <c r="T217" s="466"/>
      <c r="U217" s="466"/>
      <c r="V217" s="466"/>
    </row>
    <row r="218" spans="2:22" ht="12.75">
      <c r="B218" s="673"/>
      <c r="C218" s="147"/>
      <c r="D218" s="674"/>
      <c r="E218" s="674"/>
      <c r="F218" s="674"/>
      <c r="G218" s="674"/>
      <c r="H218" s="674"/>
      <c r="I218" s="674"/>
      <c r="J218" s="674"/>
      <c r="K218" s="674"/>
      <c r="L218" s="674"/>
      <c r="M218" s="147"/>
      <c r="N218" s="674"/>
      <c r="O218" s="675"/>
      <c r="P218" s="466"/>
      <c r="Q218" s="466"/>
      <c r="R218" s="466"/>
      <c r="S218" s="466"/>
      <c r="T218" s="466"/>
      <c r="U218" s="466"/>
      <c r="V218" s="466"/>
    </row>
    <row r="219" spans="2:22" ht="12.75">
      <c r="B219" s="673"/>
      <c r="C219" s="147"/>
      <c r="D219" s="674"/>
      <c r="E219" s="674"/>
      <c r="F219" s="674"/>
      <c r="G219" s="674"/>
      <c r="H219" s="674"/>
      <c r="I219" s="674"/>
      <c r="J219" s="674"/>
      <c r="K219" s="674"/>
      <c r="L219" s="674"/>
      <c r="M219" s="147"/>
      <c r="N219" s="674"/>
      <c r="O219" s="675"/>
      <c r="P219" s="466"/>
      <c r="Q219" s="466"/>
      <c r="R219" s="466"/>
      <c r="S219" s="466"/>
      <c r="T219" s="466"/>
      <c r="U219" s="466"/>
      <c r="V219" s="466"/>
    </row>
    <row r="220" spans="2:22" ht="12.75">
      <c r="B220" s="673"/>
      <c r="C220" s="147"/>
      <c r="D220" s="674"/>
      <c r="E220" s="674"/>
      <c r="F220" s="674"/>
      <c r="G220" s="674"/>
      <c r="H220" s="674"/>
      <c r="I220" s="674"/>
      <c r="J220" s="674"/>
      <c r="K220" s="674"/>
      <c r="L220" s="674"/>
      <c r="M220" s="147"/>
      <c r="N220" s="674"/>
      <c r="O220" s="675"/>
      <c r="P220" s="466"/>
      <c r="Q220" s="466"/>
      <c r="R220" s="466"/>
      <c r="S220" s="466"/>
      <c r="T220" s="466"/>
      <c r="U220" s="466"/>
      <c r="V220" s="466"/>
    </row>
    <row r="221" spans="2:22" ht="12.75">
      <c r="B221" s="673"/>
      <c r="C221" s="147"/>
      <c r="D221" s="674"/>
      <c r="E221" s="674"/>
      <c r="F221" s="674"/>
      <c r="G221" s="674"/>
      <c r="H221" s="674"/>
      <c r="I221" s="674"/>
      <c r="J221" s="674"/>
      <c r="K221" s="674"/>
      <c r="L221" s="674"/>
      <c r="M221" s="147"/>
      <c r="N221" s="674"/>
      <c r="O221" s="675"/>
      <c r="P221" s="466"/>
      <c r="Q221" s="466"/>
      <c r="R221" s="466"/>
      <c r="S221" s="466"/>
      <c r="T221" s="466"/>
      <c r="U221" s="466"/>
      <c r="V221" s="466"/>
    </row>
    <row r="222" spans="2:22" ht="12.75">
      <c r="B222" s="673"/>
      <c r="C222" s="147"/>
      <c r="D222" s="674"/>
      <c r="E222" s="674"/>
      <c r="F222" s="674"/>
      <c r="G222" s="674"/>
      <c r="H222" s="674"/>
      <c r="I222" s="674"/>
      <c r="J222" s="674"/>
      <c r="K222" s="674"/>
      <c r="L222" s="674"/>
      <c r="M222" s="147"/>
      <c r="N222" s="674"/>
      <c r="O222" s="675"/>
      <c r="P222" s="466"/>
      <c r="Q222" s="466"/>
      <c r="R222" s="466"/>
      <c r="S222" s="466"/>
      <c r="T222" s="466"/>
      <c r="U222" s="466"/>
      <c r="V222" s="466"/>
    </row>
    <row r="223" spans="2:22" ht="12.75">
      <c r="B223" s="673"/>
      <c r="C223" s="147"/>
      <c r="D223" s="674"/>
      <c r="E223" s="674"/>
      <c r="F223" s="674"/>
      <c r="G223" s="674"/>
      <c r="H223" s="674"/>
      <c r="I223" s="674"/>
      <c r="J223" s="674"/>
      <c r="K223" s="674"/>
      <c r="L223" s="674"/>
      <c r="M223" s="147"/>
      <c r="N223" s="674"/>
      <c r="O223" s="675"/>
      <c r="P223" s="466"/>
      <c r="Q223" s="466"/>
      <c r="R223" s="466"/>
      <c r="S223" s="466"/>
      <c r="T223" s="466"/>
      <c r="U223" s="466"/>
      <c r="V223" s="466"/>
    </row>
    <row r="224" spans="2:22" ht="12.75">
      <c r="B224" s="673"/>
      <c r="C224" s="147"/>
      <c r="D224" s="674"/>
      <c r="E224" s="674"/>
      <c r="F224" s="674"/>
      <c r="G224" s="674"/>
      <c r="H224" s="674"/>
      <c r="I224" s="674"/>
      <c r="J224" s="674"/>
      <c r="K224" s="674"/>
      <c r="L224" s="674"/>
      <c r="M224" s="147"/>
      <c r="N224" s="674"/>
      <c r="O224" s="675"/>
      <c r="P224" s="466"/>
      <c r="Q224" s="466"/>
      <c r="R224" s="466"/>
      <c r="S224" s="466"/>
      <c r="T224" s="466"/>
      <c r="U224" s="466"/>
      <c r="V224" s="466"/>
    </row>
    <row r="225" spans="2:22" ht="12.75">
      <c r="B225" s="673"/>
      <c r="C225" s="147"/>
      <c r="D225" s="674"/>
      <c r="E225" s="674"/>
      <c r="F225" s="674"/>
      <c r="G225" s="674"/>
      <c r="H225" s="674"/>
      <c r="I225" s="674"/>
      <c r="J225" s="674"/>
      <c r="K225" s="674"/>
      <c r="L225" s="674"/>
      <c r="M225" s="147"/>
      <c r="N225" s="674"/>
      <c r="O225" s="675"/>
      <c r="P225" s="466"/>
      <c r="Q225" s="466"/>
      <c r="R225" s="466"/>
      <c r="S225" s="466"/>
      <c r="T225" s="466"/>
      <c r="U225" s="466"/>
      <c r="V225" s="466"/>
    </row>
    <row r="226" spans="2:22" ht="12.75">
      <c r="B226" s="673"/>
      <c r="C226" s="147"/>
      <c r="D226" s="674"/>
      <c r="E226" s="674"/>
      <c r="F226" s="674"/>
      <c r="G226" s="674"/>
      <c r="H226" s="674"/>
      <c r="I226" s="674"/>
      <c r="J226" s="674"/>
      <c r="K226" s="674"/>
      <c r="L226" s="674"/>
      <c r="M226" s="147"/>
      <c r="N226" s="674"/>
      <c r="O226" s="675"/>
      <c r="P226" s="466"/>
      <c r="Q226" s="466"/>
      <c r="R226" s="466"/>
      <c r="S226" s="466"/>
      <c r="T226" s="466"/>
      <c r="U226" s="466"/>
      <c r="V226" s="466"/>
    </row>
    <row r="227" spans="2:22" ht="12.75">
      <c r="B227" s="673"/>
      <c r="C227" s="147"/>
      <c r="D227" s="674"/>
      <c r="E227" s="674"/>
      <c r="F227" s="674"/>
      <c r="G227" s="674"/>
      <c r="H227" s="674"/>
      <c r="I227" s="674"/>
      <c r="J227" s="674"/>
      <c r="K227" s="674"/>
      <c r="L227" s="674"/>
      <c r="M227" s="147"/>
      <c r="N227" s="674"/>
      <c r="O227" s="675"/>
      <c r="P227" s="466"/>
      <c r="Q227" s="466"/>
      <c r="R227" s="466"/>
      <c r="S227" s="466"/>
      <c r="T227" s="466"/>
      <c r="U227" s="466"/>
      <c r="V227" s="466"/>
    </row>
    <row r="228" spans="2:22" ht="12.75">
      <c r="B228" s="673"/>
      <c r="C228" s="147"/>
      <c r="D228" s="674"/>
      <c r="E228" s="674"/>
      <c r="F228" s="674"/>
      <c r="G228" s="674"/>
      <c r="H228" s="674"/>
      <c r="I228" s="674"/>
      <c r="J228" s="674"/>
      <c r="K228" s="674"/>
      <c r="L228" s="674"/>
      <c r="M228" s="147"/>
      <c r="N228" s="674"/>
      <c r="O228" s="675"/>
      <c r="P228" s="466"/>
      <c r="Q228" s="466"/>
      <c r="R228" s="466"/>
      <c r="S228" s="466"/>
      <c r="T228" s="466"/>
      <c r="U228" s="466"/>
      <c r="V228" s="466"/>
    </row>
    <row r="229" spans="2:22" ht="12.75">
      <c r="B229" s="673"/>
      <c r="C229" s="147"/>
      <c r="D229" s="674"/>
      <c r="E229" s="674"/>
      <c r="F229" s="674"/>
      <c r="G229" s="674"/>
      <c r="H229" s="674"/>
      <c r="I229" s="674"/>
      <c r="J229" s="674"/>
      <c r="K229" s="674"/>
      <c r="L229" s="674"/>
      <c r="M229" s="147"/>
      <c r="N229" s="674"/>
      <c r="O229" s="675"/>
      <c r="P229" s="466"/>
      <c r="Q229" s="466"/>
      <c r="R229" s="466"/>
      <c r="S229" s="466"/>
      <c r="T229" s="466"/>
      <c r="U229" s="466"/>
      <c r="V229" s="466"/>
    </row>
    <row r="230" spans="2:22" ht="12.75">
      <c r="B230" s="673"/>
      <c r="C230" s="147"/>
      <c r="D230" s="674"/>
      <c r="E230" s="674"/>
      <c r="F230" s="674"/>
      <c r="G230" s="674"/>
      <c r="H230" s="674"/>
      <c r="I230" s="674"/>
      <c r="J230" s="674"/>
      <c r="K230" s="674"/>
      <c r="L230" s="674"/>
      <c r="M230" s="147"/>
      <c r="N230" s="674"/>
      <c r="O230" s="675"/>
      <c r="P230" s="466"/>
      <c r="Q230" s="466"/>
      <c r="R230" s="466"/>
      <c r="S230" s="466"/>
      <c r="T230" s="466"/>
      <c r="U230" s="466"/>
      <c r="V230" s="466"/>
    </row>
    <row r="231" spans="2:22" ht="12.75">
      <c r="B231" s="673"/>
      <c r="C231" s="147"/>
      <c r="D231" s="674"/>
      <c r="E231" s="674"/>
      <c r="F231" s="674"/>
      <c r="G231" s="674"/>
      <c r="H231" s="674"/>
      <c r="I231" s="674"/>
      <c r="J231" s="674"/>
      <c r="K231" s="674"/>
      <c r="L231" s="674"/>
      <c r="M231" s="147"/>
      <c r="N231" s="674"/>
      <c r="O231" s="675"/>
      <c r="P231" s="466"/>
      <c r="Q231" s="466"/>
      <c r="R231" s="466"/>
      <c r="S231" s="466"/>
      <c r="T231" s="466"/>
      <c r="U231" s="466"/>
      <c r="V231" s="466"/>
    </row>
    <row r="232" spans="2:22" ht="12.75">
      <c r="B232" s="673"/>
      <c r="C232" s="147"/>
      <c r="D232" s="674"/>
      <c r="E232" s="674"/>
      <c r="F232" s="674"/>
      <c r="G232" s="674"/>
      <c r="H232" s="674"/>
      <c r="I232" s="674"/>
      <c r="J232" s="674"/>
      <c r="K232" s="674"/>
      <c r="L232" s="674"/>
      <c r="M232" s="147"/>
      <c r="N232" s="674"/>
      <c r="O232" s="675"/>
      <c r="P232" s="466"/>
      <c r="Q232" s="466"/>
      <c r="R232" s="466"/>
      <c r="S232" s="466"/>
      <c r="T232" s="466"/>
      <c r="U232" s="466"/>
      <c r="V232" s="466"/>
    </row>
    <row r="233" spans="2:22" ht="12.75">
      <c r="B233" s="673"/>
      <c r="C233" s="147"/>
      <c r="D233" s="674"/>
      <c r="E233" s="674"/>
      <c r="F233" s="674"/>
      <c r="G233" s="674"/>
      <c r="H233" s="674"/>
      <c r="I233" s="674"/>
      <c r="J233" s="674"/>
      <c r="K233" s="674"/>
      <c r="L233" s="674"/>
      <c r="M233" s="147"/>
      <c r="N233" s="674"/>
      <c r="O233" s="675"/>
      <c r="P233" s="466"/>
      <c r="Q233" s="466"/>
      <c r="R233" s="466"/>
      <c r="S233" s="466"/>
      <c r="T233" s="466"/>
      <c r="U233" s="466"/>
      <c r="V233" s="466"/>
    </row>
    <row r="234" spans="2:22" ht="12.75">
      <c r="B234" s="673"/>
      <c r="C234" s="147"/>
      <c r="D234" s="674"/>
      <c r="E234" s="674"/>
      <c r="F234" s="674"/>
      <c r="G234" s="674"/>
      <c r="H234" s="674"/>
      <c r="I234" s="674"/>
      <c r="J234" s="674"/>
      <c r="K234" s="674"/>
      <c r="L234" s="674"/>
      <c r="M234" s="147"/>
      <c r="N234" s="674"/>
      <c r="O234" s="675"/>
      <c r="P234" s="466"/>
      <c r="Q234" s="466"/>
      <c r="R234" s="466"/>
      <c r="S234" s="466"/>
      <c r="T234" s="466"/>
      <c r="U234" s="466"/>
      <c r="V234" s="466"/>
    </row>
    <row r="235" spans="2:22" ht="12.75">
      <c r="B235" s="673"/>
      <c r="C235" s="147"/>
      <c r="D235" s="674"/>
      <c r="E235" s="674"/>
      <c r="F235" s="674"/>
      <c r="G235" s="674"/>
      <c r="H235" s="674"/>
      <c r="I235" s="674"/>
      <c r="J235" s="674"/>
      <c r="K235" s="674"/>
      <c r="L235" s="674"/>
      <c r="M235" s="147"/>
      <c r="N235" s="674"/>
      <c r="O235" s="675"/>
      <c r="P235" s="466"/>
      <c r="Q235" s="466"/>
      <c r="R235" s="466"/>
      <c r="S235" s="466"/>
      <c r="T235" s="466"/>
      <c r="U235" s="466"/>
      <c r="V235" s="466"/>
    </row>
    <row r="236" spans="2:22" ht="12.75">
      <c r="B236" s="673"/>
      <c r="C236" s="147"/>
      <c r="D236" s="674"/>
      <c r="E236" s="674"/>
      <c r="F236" s="674"/>
      <c r="G236" s="674"/>
      <c r="H236" s="674"/>
      <c r="I236" s="674"/>
      <c r="J236" s="674"/>
      <c r="K236" s="674"/>
      <c r="L236" s="674"/>
      <c r="M236" s="147"/>
      <c r="N236" s="674"/>
      <c r="O236" s="675"/>
      <c r="P236" s="466"/>
      <c r="Q236" s="466"/>
      <c r="R236" s="466"/>
      <c r="S236" s="466"/>
      <c r="T236" s="466"/>
      <c r="U236" s="466"/>
      <c r="V236" s="466"/>
    </row>
    <row r="237" spans="2:22" ht="12.75">
      <c r="B237" s="673"/>
      <c r="C237" s="147"/>
      <c r="D237" s="674"/>
      <c r="E237" s="674"/>
      <c r="F237" s="674"/>
      <c r="G237" s="674"/>
      <c r="H237" s="674"/>
      <c r="I237" s="674"/>
      <c r="J237" s="674"/>
      <c r="K237" s="674"/>
      <c r="L237" s="674"/>
      <c r="M237" s="147"/>
      <c r="N237" s="674"/>
      <c r="O237" s="675"/>
      <c r="P237" s="466"/>
      <c r="Q237" s="466"/>
      <c r="R237" s="466"/>
      <c r="S237" s="466"/>
      <c r="T237" s="466"/>
      <c r="U237" s="466"/>
      <c r="V237" s="466"/>
    </row>
    <row r="238" spans="2:22" ht="12.75">
      <c r="B238" s="673"/>
      <c r="C238" s="147"/>
      <c r="D238" s="674"/>
      <c r="E238" s="674"/>
      <c r="F238" s="674"/>
      <c r="G238" s="674"/>
      <c r="H238" s="674"/>
      <c r="I238" s="674"/>
      <c r="J238" s="674"/>
      <c r="K238" s="674"/>
      <c r="L238" s="674"/>
      <c r="M238" s="147"/>
      <c r="N238" s="674"/>
      <c r="O238" s="675"/>
      <c r="P238" s="466"/>
      <c r="Q238" s="466"/>
      <c r="R238" s="466"/>
      <c r="S238" s="466"/>
      <c r="T238" s="466"/>
      <c r="U238" s="466"/>
      <c r="V238" s="466"/>
    </row>
    <row r="239" spans="2:22" ht="12.75">
      <c r="B239" s="673"/>
      <c r="C239" s="147"/>
      <c r="D239" s="674"/>
      <c r="E239" s="674"/>
      <c r="F239" s="674"/>
      <c r="G239" s="674"/>
      <c r="H239" s="674"/>
      <c r="I239" s="674"/>
      <c r="J239" s="674"/>
      <c r="K239" s="674"/>
      <c r="L239" s="674"/>
      <c r="M239" s="147"/>
      <c r="N239" s="674"/>
      <c r="O239" s="675"/>
      <c r="P239" s="466"/>
      <c r="Q239" s="466"/>
      <c r="R239" s="466"/>
      <c r="S239" s="466"/>
      <c r="T239" s="466"/>
      <c r="U239" s="466"/>
      <c r="V239" s="466"/>
    </row>
    <row r="240" spans="2:22" ht="12.75">
      <c r="B240" s="673"/>
      <c r="C240" s="147"/>
      <c r="D240" s="674"/>
      <c r="E240" s="674"/>
      <c r="F240" s="674"/>
      <c r="G240" s="674"/>
      <c r="H240" s="674"/>
      <c r="I240" s="674"/>
      <c r="J240" s="674"/>
      <c r="K240" s="674"/>
      <c r="L240" s="674"/>
      <c r="M240" s="147"/>
      <c r="N240" s="674"/>
      <c r="O240" s="675"/>
      <c r="P240" s="466"/>
      <c r="Q240" s="466"/>
      <c r="R240" s="466"/>
      <c r="S240" s="466"/>
      <c r="T240" s="466"/>
      <c r="U240" s="466"/>
      <c r="V240" s="466"/>
    </row>
    <row r="241" spans="2:22" ht="12.75">
      <c r="B241" s="673"/>
      <c r="C241" s="147"/>
      <c r="D241" s="674"/>
      <c r="E241" s="674"/>
      <c r="F241" s="674"/>
      <c r="G241" s="674"/>
      <c r="H241" s="674"/>
      <c r="I241" s="674"/>
      <c r="J241" s="674"/>
      <c r="K241" s="674"/>
      <c r="L241" s="674"/>
      <c r="M241" s="147"/>
      <c r="N241" s="674"/>
      <c r="O241" s="675"/>
      <c r="P241" s="466"/>
      <c r="Q241" s="466"/>
      <c r="R241" s="466"/>
      <c r="S241" s="466"/>
      <c r="T241" s="466"/>
      <c r="U241" s="466"/>
      <c r="V241" s="466"/>
    </row>
    <row r="242" spans="2:22" ht="12.75">
      <c r="B242" s="673"/>
      <c r="C242" s="147"/>
      <c r="D242" s="674"/>
      <c r="E242" s="674"/>
      <c r="F242" s="674"/>
      <c r="G242" s="674"/>
      <c r="H242" s="674"/>
      <c r="I242" s="674"/>
      <c r="J242" s="674"/>
      <c r="K242" s="674"/>
      <c r="L242" s="674"/>
      <c r="M242" s="147"/>
      <c r="N242" s="674"/>
      <c r="O242" s="675"/>
      <c r="P242" s="466"/>
      <c r="Q242" s="466"/>
      <c r="R242" s="466"/>
      <c r="S242" s="466"/>
      <c r="T242" s="466"/>
      <c r="U242" s="466"/>
      <c r="V242" s="466"/>
    </row>
    <row r="243" spans="2:22" ht="12.75">
      <c r="B243" s="673"/>
      <c r="C243" s="147"/>
      <c r="D243" s="674"/>
      <c r="E243" s="674"/>
      <c r="F243" s="674"/>
      <c r="G243" s="674"/>
      <c r="H243" s="674"/>
      <c r="I243" s="674"/>
      <c r="J243" s="674"/>
      <c r="K243" s="674"/>
      <c r="L243" s="674"/>
      <c r="M243" s="147"/>
      <c r="N243" s="674"/>
      <c r="O243" s="675"/>
      <c r="P243" s="466"/>
      <c r="Q243" s="466"/>
      <c r="R243" s="466"/>
      <c r="S243" s="466"/>
      <c r="T243" s="466"/>
      <c r="U243" s="466"/>
      <c r="V243" s="466"/>
    </row>
    <row r="244" spans="2:22" ht="12.75">
      <c r="B244" s="673"/>
      <c r="C244" s="147"/>
      <c r="D244" s="674"/>
      <c r="E244" s="674"/>
      <c r="F244" s="674"/>
      <c r="G244" s="674"/>
      <c r="H244" s="674"/>
      <c r="I244" s="674"/>
      <c r="J244" s="674"/>
      <c r="K244" s="674"/>
      <c r="L244" s="674"/>
      <c r="M244" s="147"/>
      <c r="N244" s="674"/>
      <c r="O244" s="675"/>
      <c r="P244" s="466"/>
      <c r="Q244" s="466"/>
      <c r="R244" s="466"/>
      <c r="S244" s="466"/>
      <c r="T244" s="466"/>
      <c r="U244" s="466"/>
      <c r="V244" s="466"/>
    </row>
    <row r="245" spans="2:22" ht="12.75">
      <c r="B245" s="673"/>
      <c r="C245" s="147"/>
      <c r="D245" s="674"/>
      <c r="E245" s="674"/>
      <c r="F245" s="674"/>
      <c r="G245" s="674"/>
      <c r="H245" s="674"/>
      <c r="I245" s="674"/>
      <c r="J245" s="674"/>
      <c r="K245" s="674"/>
      <c r="L245" s="674"/>
      <c r="M245" s="147"/>
      <c r="N245" s="674"/>
      <c r="O245" s="675"/>
      <c r="P245" s="466"/>
      <c r="Q245" s="466"/>
      <c r="R245" s="466"/>
      <c r="S245" s="466"/>
      <c r="T245" s="466"/>
      <c r="U245" s="466"/>
      <c r="V245" s="466"/>
    </row>
    <row r="246" spans="2:22" ht="12.75">
      <c r="B246" s="673"/>
      <c r="C246" s="147"/>
      <c r="D246" s="674"/>
      <c r="E246" s="674"/>
      <c r="F246" s="674"/>
      <c r="G246" s="674"/>
      <c r="H246" s="674"/>
      <c r="I246" s="674"/>
      <c r="J246" s="674"/>
      <c r="K246" s="674"/>
      <c r="L246" s="674"/>
      <c r="M246" s="147"/>
      <c r="N246" s="674"/>
      <c r="O246" s="675"/>
      <c r="P246" s="466"/>
      <c r="Q246" s="466"/>
      <c r="R246" s="466"/>
      <c r="S246" s="466"/>
      <c r="T246" s="466"/>
      <c r="U246" s="466"/>
      <c r="V246" s="466"/>
    </row>
    <row r="247" spans="2:22" ht="12.75">
      <c r="B247" s="673"/>
      <c r="C247" s="147"/>
      <c r="D247" s="674"/>
      <c r="E247" s="674"/>
      <c r="F247" s="674"/>
      <c r="G247" s="674"/>
      <c r="H247" s="674"/>
      <c r="I247" s="674"/>
      <c r="J247" s="674"/>
      <c r="K247" s="674"/>
      <c r="L247" s="674"/>
      <c r="M247" s="147"/>
      <c r="N247" s="674"/>
      <c r="O247" s="675"/>
      <c r="P247" s="466"/>
      <c r="Q247" s="466"/>
      <c r="R247" s="466"/>
      <c r="S247" s="466"/>
      <c r="T247" s="466"/>
      <c r="U247" s="466"/>
      <c r="V247" s="466"/>
    </row>
    <row r="248" spans="2:22" ht="12.75">
      <c r="B248" s="673"/>
      <c r="C248" s="147"/>
      <c r="D248" s="674"/>
      <c r="E248" s="674"/>
      <c r="F248" s="674"/>
      <c r="G248" s="674"/>
      <c r="H248" s="674"/>
      <c r="I248" s="674"/>
      <c r="J248" s="674"/>
      <c r="K248" s="674"/>
      <c r="L248" s="674"/>
      <c r="M248" s="147"/>
      <c r="N248" s="674"/>
      <c r="O248" s="675"/>
      <c r="P248" s="466"/>
      <c r="Q248" s="466"/>
      <c r="R248" s="466"/>
      <c r="S248" s="466"/>
      <c r="T248" s="466"/>
      <c r="U248" s="466"/>
      <c r="V248" s="466"/>
    </row>
    <row r="249" spans="2:22" ht="12.75">
      <c r="B249" s="673"/>
      <c r="C249" s="147"/>
      <c r="D249" s="674"/>
      <c r="E249" s="674"/>
      <c r="F249" s="674"/>
      <c r="G249" s="674"/>
      <c r="H249" s="674"/>
      <c r="I249" s="674"/>
      <c r="J249" s="674"/>
      <c r="K249" s="674"/>
      <c r="L249" s="674"/>
      <c r="M249" s="147"/>
      <c r="N249" s="674"/>
      <c r="O249" s="675"/>
      <c r="P249" s="466"/>
      <c r="Q249" s="466"/>
      <c r="R249" s="466"/>
      <c r="S249" s="466"/>
      <c r="T249" s="466"/>
      <c r="U249" s="466"/>
      <c r="V249" s="466"/>
    </row>
    <row r="250" spans="2:22" ht="12.75">
      <c r="B250" s="673"/>
      <c r="C250" s="147"/>
      <c r="D250" s="674"/>
      <c r="E250" s="674"/>
      <c r="F250" s="674"/>
      <c r="G250" s="674"/>
      <c r="H250" s="674"/>
      <c r="I250" s="674"/>
      <c r="J250" s="674"/>
      <c r="K250" s="674"/>
      <c r="L250" s="674"/>
      <c r="M250" s="147"/>
      <c r="N250" s="674"/>
      <c r="O250" s="675"/>
      <c r="P250" s="466"/>
      <c r="Q250" s="466"/>
      <c r="R250" s="466"/>
      <c r="S250" s="466"/>
      <c r="T250" s="466"/>
      <c r="U250" s="466"/>
      <c r="V250" s="466"/>
    </row>
    <row r="251" spans="2:22" ht="12.75">
      <c r="B251" s="673"/>
      <c r="C251" s="147"/>
      <c r="D251" s="674"/>
      <c r="E251" s="674"/>
      <c r="F251" s="674"/>
      <c r="G251" s="674"/>
      <c r="H251" s="674"/>
      <c r="I251" s="674"/>
      <c r="J251" s="674"/>
      <c r="K251" s="674"/>
      <c r="L251" s="674"/>
      <c r="M251" s="147"/>
      <c r="N251" s="674"/>
      <c r="O251" s="675"/>
      <c r="P251" s="466"/>
      <c r="Q251" s="466"/>
      <c r="R251" s="466"/>
      <c r="S251" s="466"/>
      <c r="T251" s="466"/>
      <c r="U251" s="466"/>
      <c r="V251" s="466"/>
    </row>
    <row r="252" spans="2:22" ht="12.75">
      <c r="B252" s="673"/>
      <c r="C252" s="147"/>
      <c r="D252" s="674"/>
      <c r="E252" s="674"/>
      <c r="F252" s="674"/>
      <c r="G252" s="674"/>
      <c r="H252" s="674"/>
      <c r="I252" s="674"/>
      <c r="J252" s="674"/>
      <c r="K252" s="674"/>
      <c r="L252" s="674"/>
      <c r="M252" s="147"/>
      <c r="N252" s="674"/>
      <c r="O252" s="675"/>
      <c r="P252" s="466"/>
      <c r="Q252" s="466"/>
      <c r="R252" s="466"/>
      <c r="S252" s="466"/>
      <c r="T252" s="466"/>
      <c r="U252" s="466"/>
      <c r="V252" s="466"/>
    </row>
    <row r="253" spans="2:22" ht="12.75">
      <c r="B253" s="673"/>
      <c r="C253" s="147"/>
      <c r="D253" s="674"/>
      <c r="E253" s="674"/>
      <c r="F253" s="674"/>
      <c r="G253" s="674"/>
      <c r="H253" s="674"/>
      <c r="I253" s="674"/>
      <c r="J253" s="674"/>
      <c r="K253" s="674"/>
      <c r="L253" s="674"/>
      <c r="M253" s="147"/>
      <c r="N253" s="674"/>
      <c r="O253" s="675"/>
      <c r="P253" s="466"/>
      <c r="Q253" s="466"/>
      <c r="R253" s="466"/>
      <c r="S253" s="466"/>
      <c r="T253" s="466"/>
      <c r="U253" s="466"/>
      <c r="V253" s="466"/>
    </row>
    <row r="254" spans="2:22" ht="12.75">
      <c r="B254" s="673"/>
      <c r="C254" s="147"/>
      <c r="D254" s="674"/>
      <c r="E254" s="674"/>
      <c r="F254" s="674"/>
      <c r="G254" s="674"/>
      <c r="H254" s="674"/>
      <c r="I254" s="674"/>
      <c r="J254" s="674"/>
      <c r="K254" s="674"/>
      <c r="L254" s="674"/>
      <c r="M254" s="147"/>
      <c r="N254" s="674"/>
      <c r="O254" s="675"/>
      <c r="P254" s="466"/>
      <c r="Q254" s="466"/>
      <c r="R254" s="466"/>
      <c r="S254" s="466"/>
      <c r="T254" s="466"/>
      <c r="U254" s="466"/>
      <c r="V254" s="466"/>
    </row>
    <row r="255" spans="2:22" ht="12.75">
      <c r="B255" s="673"/>
      <c r="C255" s="147"/>
      <c r="D255" s="674"/>
      <c r="E255" s="674"/>
      <c r="F255" s="674"/>
      <c r="G255" s="674"/>
      <c r="H255" s="674"/>
      <c r="I255" s="674"/>
      <c r="J255" s="674"/>
      <c r="K255" s="674"/>
      <c r="L255" s="674"/>
      <c r="M255" s="147"/>
      <c r="N255" s="674"/>
      <c r="O255" s="675"/>
      <c r="P255" s="466"/>
      <c r="Q255" s="466"/>
      <c r="R255" s="466"/>
      <c r="S255" s="466"/>
      <c r="T255" s="466"/>
      <c r="U255" s="466"/>
      <c r="V255" s="466"/>
    </row>
    <row r="256" spans="2:22" ht="12.75">
      <c r="B256" s="673"/>
      <c r="C256" s="147"/>
      <c r="D256" s="674"/>
      <c r="E256" s="674"/>
      <c r="F256" s="674"/>
      <c r="G256" s="674"/>
      <c r="H256" s="674"/>
      <c r="I256" s="674"/>
      <c r="J256" s="674"/>
      <c r="K256" s="674"/>
      <c r="L256" s="674"/>
      <c r="M256" s="147"/>
      <c r="N256" s="674"/>
      <c r="O256" s="675"/>
      <c r="P256" s="466"/>
      <c r="Q256" s="466"/>
      <c r="R256" s="466"/>
      <c r="S256" s="466"/>
      <c r="T256" s="466"/>
      <c r="U256" s="466"/>
      <c r="V256" s="466"/>
    </row>
    <row r="257" spans="2:22" ht="12.75">
      <c r="B257" s="673"/>
      <c r="C257" s="147"/>
      <c r="D257" s="674"/>
      <c r="E257" s="674"/>
      <c r="F257" s="674"/>
      <c r="G257" s="674"/>
      <c r="H257" s="674"/>
      <c r="I257" s="674"/>
      <c r="J257" s="674"/>
      <c r="K257" s="674"/>
      <c r="L257" s="674"/>
      <c r="M257" s="147"/>
      <c r="N257" s="674"/>
      <c r="O257" s="675"/>
      <c r="P257" s="466"/>
      <c r="Q257" s="466"/>
      <c r="R257" s="466"/>
      <c r="S257" s="466"/>
      <c r="T257" s="466"/>
      <c r="U257" s="466"/>
      <c r="V257" s="466"/>
    </row>
    <row r="258" spans="2:22" ht="12.75">
      <c r="B258" s="673"/>
      <c r="C258" s="147"/>
      <c r="D258" s="674"/>
      <c r="E258" s="674"/>
      <c r="F258" s="674"/>
      <c r="G258" s="674"/>
      <c r="H258" s="674"/>
      <c r="I258" s="674"/>
      <c r="J258" s="674"/>
      <c r="K258" s="674"/>
      <c r="L258" s="674"/>
      <c r="M258" s="147"/>
      <c r="N258" s="674"/>
      <c r="O258" s="675"/>
      <c r="P258" s="466"/>
      <c r="Q258" s="466"/>
      <c r="R258" s="466"/>
      <c r="S258" s="466"/>
      <c r="T258" s="466"/>
      <c r="U258" s="466"/>
      <c r="V258" s="466"/>
    </row>
    <row r="259" spans="2:22" ht="12.75">
      <c r="B259" s="673"/>
      <c r="C259" s="147"/>
      <c r="D259" s="674"/>
      <c r="E259" s="674"/>
      <c r="F259" s="674"/>
      <c r="G259" s="674"/>
      <c r="H259" s="674"/>
      <c r="I259" s="674"/>
      <c r="J259" s="674"/>
      <c r="K259" s="674"/>
      <c r="L259" s="674"/>
      <c r="M259" s="147"/>
      <c r="N259" s="674"/>
      <c r="O259" s="675"/>
      <c r="P259" s="466"/>
      <c r="Q259" s="466"/>
      <c r="R259" s="466"/>
      <c r="S259" s="466"/>
      <c r="T259" s="466"/>
      <c r="U259" s="466"/>
      <c r="V259" s="466"/>
    </row>
    <row r="260" spans="2:22" ht="12.75">
      <c r="B260" s="673"/>
      <c r="C260" s="147"/>
      <c r="D260" s="674"/>
      <c r="E260" s="674"/>
      <c r="F260" s="674"/>
      <c r="G260" s="674"/>
      <c r="H260" s="674"/>
      <c r="I260" s="674"/>
      <c r="J260" s="674"/>
      <c r="K260" s="674"/>
      <c r="L260" s="674"/>
      <c r="M260" s="147"/>
      <c r="N260" s="674"/>
      <c r="O260" s="675"/>
      <c r="P260" s="466"/>
      <c r="Q260" s="466"/>
      <c r="R260" s="466"/>
      <c r="S260" s="466"/>
      <c r="T260" s="466"/>
      <c r="U260" s="466"/>
      <c r="V260" s="466"/>
    </row>
    <row r="261" spans="2:22" ht="12.75">
      <c r="B261" s="673"/>
      <c r="C261" s="147"/>
      <c r="D261" s="674"/>
      <c r="E261" s="674"/>
      <c r="F261" s="674"/>
      <c r="G261" s="674"/>
      <c r="H261" s="674"/>
      <c r="I261" s="674"/>
      <c r="J261" s="674"/>
      <c r="K261" s="674"/>
      <c r="L261" s="674"/>
      <c r="M261" s="147"/>
      <c r="N261" s="674"/>
      <c r="O261" s="675"/>
      <c r="P261" s="466"/>
      <c r="Q261" s="466"/>
      <c r="R261" s="466"/>
      <c r="S261" s="466"/>
      <c r="T261" s="466"/>
      <c r="U261" s="466"/>
      <c r="V261" s="466"/>
    </row>
    <row r="262" spans="2:22" ht="12.75">
      <c r="B262" s="673"/>
      <c r="C262" s="147"/>
      <c r="D262" s="674"/>
      <c r="E262" s="674"/>
      <c r="F262" s="674"/>
      <c r="G262" s="674"/>
      <c r="H262" s="674"/>
      <c r="I262" s="674"/>
      <c r="J262" s="674"/>
      <c r="K262" s="674"/>
      <c r="L262" s="674"/>
      <c r="M262" s="147"/>
      <c r="N262" s="674"/>
      <c r="O262" s="675"/>
      <c r="P262" s="466"/>
      <c r="Q262" s="466"/>
      <c r="R262" s="466"/>
      <c r="S262" s="466"/>
      <c r="T262" s="466"/>
      <c r="U262" s="466"/>
      <c r="V262" s="466"/>
    </row>
    <row r="263" spans="2:22" ht="12.75">
      <c r="B263" s="673"/>
      <c r="C263" s="147"/>
      <c r="D263" s="674"/>
      <c r="E263" s="674"/>
      <c r="F263" s="674"/>
      <c r="G263" s="674"/>
      <c r="H263" s="674"/>
      <c r="I263" s="674"/>
      <c r="J263" s="674"/>
      <c r="K263" s="674"/>
      <c r="L263" s="674"/>
      <c r="M263" s="147"/>
      <c r="N263" s="674"/>
      <c r="O263" s="675"/>
      <c r="P263" s="466"/>
      <c r="Q263" s="466"/>
      <c r="R263" s="466"/>
      <c r="S263" s="466"/>
      <c r="T263" s="466"/>
      <c r="U263" s="466"/>
      <c r="V263" s="466"/>
    </row>
    <row r="264" spans="2:22" ht="12.75">
      <c r="B264" s="673"/>
      <c r="C264" s="147"/>
      <c r="D264" s="674"/>
      <c r="E264" s="674"/>
      <c r="F264" s="674"/>
      <c r="G264" s="674"/>
      <c r="H264" s="674"/>
      <c r="I264" s="674"/>
      <c r="J264" s="674"/>
      <c r="K264" s="674"/>
      <c r="L264" s="674"/>
      <c r="M264" s="147"/>
      <c r="N264" s="674"/>
      <c r="O264" s="675"/>
      <c r="P264" s="466"/>
      <c r="Q264" s="466"/>
      <c r="R264" s="466"/>
      <c r="S264" s="466"/>
      <c r="T264" s="466"/>
      <c r="U264" s="466"/>
      <c r="V264" s="466"/>
    </row>
    <row r="265" spans="2:22" ht="12.75">
      <c r="B265" s="673"/>
      <c r="C265" s="147"/>
      <c r="D265" s="674"/>
      <c r="E265" s="674"/>
      <c r="F265" s="674"/>
      <c r="G265" s="674"/>
      <c r="H265" s="674"/>
      <c r="I265" s="674"/>
      <c r="J265" s="674"/>
      <c r="K265" s="674"/>
      <c r="L265" s="674"/>
      <c r="M265" s="147"/>
      <c r="N265" s="674"/>
      <c r="O265" s="675"/>
      <c r="P265" s="466"/>
      <c r="Q265" s="466"/>
      <c r="R265" s="466"/>
      <c r="S265" s="466"/>
      <c r="T265" s="466"/>
      <c r="U265" s="466"/>
      <c r="V265" s="466"/>
    </row>
    <row r="266" spans="2:22" ht="12.75">
      <c r="B266" s="673"/>
      <c r="C266" s="147"/>
      <c r="D266" s="674"/>
      <c r="E266" s="674"/>
      <c r="F266" s="674"/>
      <c r="G266" s="674"/>
      <c r="H266" s="674"/>
      <c r="I266" s="674"/>
      <c r="J266" s="674"/>
      <c r="K266" s="674"/>
      <c r="L266" s="674"/>
      <c r="M266" s="147"/>
      <c r="N266" s="674"/>
      <c r="O266" s="675"/>
      <c r="P266" s="466"/>
      <c r="Q266" s="466"/>
      <c r="R266" s="466"/>
      <c r="S266" s="466"/>
      <c r="T266" s="466"/>
      <c r="U266" s="466"/>
      <c r="V266" s="466"/>
    </row>
    <row r="267" spans="2:22" ht="12.75">
      <c r="B267" s="673"/>
      <c r="C267" s="147"/>
      <c r="D267" s="674"/>
      <c r="E267" s="674"/>
      <c r="F267" s="674"/>
      <c r="G267" s="674"/>
      <c r="H267" s="674"/>
      <c r="I267" s="674"/>
      <c r="J267" s="674"/>
      <c r="K267" s="674"/>
      <c r="L267" s="674"/>
      <c r="M267" s="147"/>
      <c r="N267" s="674"/>
      <c r="O267" s="675"/>
      <c r="P267" s="466"/>
      <c r="Q267" s="466"/>
      <c r="R267" s="466"/>
      <c r="S267" s="466"/>
      <c r="T267" s="466"/>
      <c r="U267" s="466"/>
      <c r="V267" s="466"/>
    </row>
    <row r="268" spans="2:22" ht="12.75">
      <c r="B268" s="673"/>
      <c r="C268" s="147"/>
      <c r="D268" s="674"/>
      <c r="E268" s="674"/>
      <c r="F268" s="674"/>
      <c r="G268" s="674"/>
      <c r="H268" s="674"/>
      <c r="I268" s="674"/>
      <c r="J268" s="674"/>
      <c r="K268" s="674"/>
      <c r="L268" s="674"/>
      <c r="M268" s="147"/>
      <c r="N268" s="674"/>
      <c r="O268" s="675"/>
      <c r="P268" s="466"/>
      <c r="Q268" s="466"/>
      <c r="R268" s="466"/>
      <c r="S268" s="466"/>
      <c r="T268" s="466"/>
      <c r="U268" s="466"/>
      <c r="V268" s="466"/>
    </row>
    <row r="269" spans="2:22" ht="12.75">
      <c r="B269" s="673"/>
      <c r="C269" s="147"/>
      <c r="D269" s="674"/>
      <c r="E269" s="674"/>
      <c r="F269" s="674"/>
      <c r="G269" s="674"/>
      <c r="H269" s="674"/>
      <c r="I269" s="674"/>
      <c r="J269" s="674"/>
      <c r="K269" s="674"/>
      <c r="L269" s="674"/>
      <c r="M269" s="147"/>
      <c r="N269" s="674"/>
      <c r="O269" s="675"/>
      <c r="P269" s="466"/>
      <c r="Q269" s="466"/>
      <c r="R269" s="466"/>
      <c r="S269" s="466"/>
      <c r="T269" s="466"/>
      <c r="U269" s="466"/>
      <c r="V269" s="466"/>
    </row>
    <row r="270" spans="2:22" ht="12.75">
      <c r="B270" s="673"/>
      <c r="C270" s="147"/>
      <c r="D270" s="674"/>
      <c r="E270" s="674"/>
      <c r="F270" s="674"/>
      <c r="G270" s="674"/>
      <c r="H270" s="674"/>
      <c r="I270" s="674"/>
      <c r="J270" s="674"/>
      <c r="K270" s="674"/>
      <c r="L270" s="674"/>
      <c r="M270" s="147"/>
      <c r="N270" s="674"/>
      <c r="O270" s="675"/>
      <c r="P270" s="466"/>
      <c r="Q270" s="466"/>
      <c r="R270" s="466"/>
      <c r="S270" s="466"/>
      <c r="T270" s="466"/>
      <c r="U270" s="466"/>
      <c r="V270" s="466"/>
    </row>
    <row r="271" spans="2:22" ht="12.75">
      <c r="B271" s="673"/>
      <c r="C271" s="147"/>
      <c r="D271" s="674"/>
      <c r="E271" s="674"/>
      <c r="F271" s="674"/>
      <c r="G271" s="674"/>
      <c r="H271" s="674"/>
      <c r="I271" s="674"/>
      <c r="J271" s="674"/>
      <c r="K271" s="674"/>
      <c r="L271" s="674"/>
      <c r="M271" s="147"/>
      <c r="N271" s="674"/>
      <c r="O271" s="675"/>
      <c r="P271" s="466"/>
      <c r="Q271" s="466"/>
      <c r="R271" s="466"/>
      <c r="S271" s="466"/>
      <c r="T271" s="466"/>
      <c r="U271" s="466"/>
      <c r="V271" s="466"/>
    </row>
    <row r="272" spans="2:22" ht="12.75">
      <c r="B272" s="673"/>
      <c r="C272" s="147"/>
      <c r="D272" s="674"/>
      <c r="E272" s="674"/>
      <c r="F272" s="674"/>
      <c r="G272" s="674"/>
      <c r="H272" s="674"/>
      <c r="I272" s="674"/>
      <c r="J272" s="674"/>
      <c r="K272" s="674"/>
      <c r="L272" s="674"/>
      <c r="M272" s="147"/>
      <c r="N272" s="674"/>
      <c r="O272" s="675"/>
      <c r="P272" s="466"/>
      <c r="Q272" s="466"/>
      <c r="R272" s="466"/>
      <c r="S272" s="466"/>
      <c r="T272" s="466"/>
      <c r="U272" s="466"/>
      <c r="V272" s="466"/>
    </row>
    <row r="273" spans="2:22" ht="12.75">
      <c r="B273" s="673"/>
      <c r="C273" s="147"/>
      <c r="D273" s="674"/>
      <c r="E273" s="674"/>
      <c r="F273" s="674"/>
      <c r="G273" s="674"/>
      <c r="H273" s="674"/>
      <c r="I273" s="674"/>
      <c r="J273" s="674"/>
      <c r="K273" s="674"/>
      <c r="L273" s="674"/>
      <c r="M273" s="147"/>
      <c r="N273" s="674"/>
      <c r="O273" s="675"/>
      <c r="P273" s="466"/>
      <c r="Q273" s="466"/>
      <c r="R273" s="466"/>
      <c r="S273" s="466"/>
      <c r="T273" s="466"/>
      <c r="U273" s="466"/>
      <c r="V273" s="466"/>
    </row>
    <row r="274" spans="2:22" ht="12.75">
      <c r="B274" s="673"/>
      <c r="C274" s="147"/>
      <c r="D274" s="674"/>
      <c r="E274" s="674"/>
      <c r="F274" s="674"/>
      <c r="G274" s="674"/>
      <c r="H274" s="674"/>
      <c r="I274" s="674"/>
      <c r="J274" s="674"/>
      <c r="K274" s="674"/>
      <c r="L274" s="674"/>
      <c r="M274" s="147"/>
      <c r="N274" s="674"/>
      <c r="O274" s="675"/>
      <c r="P274" s="466"/>
      <c r="Q274" s="466"/>
      <c r="R274" s="466"/>
      <c r="S274" s="466"/>
      <c r="T274" s="466"/>
      <c r="U274" s="466"/>
      <c r="V274" s="466"/>
    </row>
    <row r="275" spans="2:22" ht="12.75">
      <c r="B275" s="673"/>
      <c r="C275" s="147"/>
      <c r="D275" s="674"/>
      <c r="E275" s="674"/>
      <c r="F275" s="674"/>
      <c r="G275" s="674"/>
      <c r="H275" s="674"/>
      <c r="I275" s="674"/>
      <c r="J275" s="674"/>
      <c r="K275" s="674"/>
      <c r="L275" s="674"/>
      <c r="M275" s="147"/>
      <c r="N275" s="674"/>
      <c r="O275" s="675"/>
      <c r="P275" s="466"/>
      <c r="Q275" s="466"/>
      <c r="R275" s="466"/>
      <c r="S275" s="466"/>
      <c r="T275" s="466"/>
      <c r="U275" s="466"/>
      <c r="V275" s="466"/>
    </row>
    <row r="276" spans="2:22" ht="12.75">
      <c r="B276" s="673"/>
      <c r="C276" s="147"/>
      <c r="D276" s="674"/>
      <c r="E276" s="674"/>
      <c r="F276" s="674"/>
      <c r="G276" s="674"/>
      <c r="H276" s="674"/>
      <c r="I276" s="674"/>
      <c r="J276" s="674"/>
      <c r="K276" s="674"/>
      <c r="L276" s="674"/>
      <c r="M276" s="147"/>
      <c r="N276" s="674"/>
      <c r="O276" s="675"/>
      <c r="P276" s="466"/>
      <c r="Q276" s="466"/>
      <c r="R276" s="466"/>
      <c r="S276" s="466"/>
      <c r="T276" s="466"/>
      <c r="U276" s="466"/>
      <c r="V276" s="466"/>
    </row>
    <row r="277" spans="2:22" ht="12.75">
      <c r="B277" s="673"/>
      <c r="C277" s="147"/>
      <c r="D277" s="674"/>
      <c r="E277" s="674"/>
      <c r="F277" s="674"/>
      <c r="G277" s="674"/>
      <c r="H277" s="674"/>
      <c r="I277" s="674"/>
      <c r="J277" s="674"/>
      <c r="K277" s="674"/>
      <c r="L277" s="674"/>
      <c r="M277" s="147"/>
      <c r="N277" s="674"/>
      <c r="O277" s="675"/>
      <c r="P277" s="466"/>
      <c r="Q277" s="466"/>
      <c r="R277" s="466"/>
      <c r="S277" s="466"/>
      <c r="T277" s="466"/>
      <c r="U277" s="466"/>
      <c r="V277" s="466"/>
    </row>
    <row r="278" spans="2:22" ht="12.75">
      <c r="B278" s="673"/>
      <c r="C278" s="147"/>
      <c r="D278" s="674"/>
      <c r="E278" s="674"/>
      <c r="F278" s="674"/>
      <c r="G278" s="674"/>
      <c r="H278" s="674"/>
      <c r="I278" s="674"/>
      <c r="J278" s="674"/>
      <c r="K278" s="674"/>
      <c r="L278" s="674"/>
      <c r="M278" s="147"/>
      <c r="N278" s="674"/>
      <c r="O278" s="675"/>
      <c r="P278" s="466"/>
      <c r="Q278" s="466"/>
      <c r="R278" s="466"/>
      <c r="S278" s="466"/>
      <c r="T278" s="466"/>
      <c r="U278" s="466"/>
      <c r="V278" s="466"/>
    </row>
    <row r="279" spans="2:22" ht="12.75">
      <c r="B279" s="673"/>
      <c r="C279" s="147"/>
      <c r="D279" s="674"/>
      <c r="E279" s="674"/>
      <c r="F279" s="674"/>
      <c r="G279" s="674"/>
      <c r="H279" s="674"/>
      <c r="I279" s="674"/>
      <c r="J279" s="674"/>
      <c r="K279" s="674"/>
      <c r="L279" s="674"/>
      <c r="M279" s="147"/>
      <c r="N279" s="674"/>
      <c r="O279" s="675"/>
      <c r="P279" s="466"/>
      <c r="Q279" s="466"/>
      <c r="R279" s="466"/>
      <c r="S279" s="466"/>
      <c r="T279" s="466"/>
      <c r="U279" s="466"/>
      <c r="V279" s="466"/>
    </row>
    <row r="280" spans="2:22" ht="12.75">
      <c r="B280" s="673"/>
      <c r="C280" s="147"/>
      <c r="D280" s="674"/>
      <c r="E280" s="674"/>
      <c r="F280" s="674"/>
      <c r="G280" s="674"/>
      <c r="H280" s="674"/>
      <c r="I280" s="674"/>
      <c r="J280" s="674"/>
      <c r="K280" s="674"/>
      <c r="L280" s="674"/>
      <c r="M280" s="147"/>
      <c r="N280" s="674"/>
      <c r="O280" s="675"/>
      <c r="P280" s="466"/>
      <c r="Q280" s="466"/>
      <c r="R280" s="466"/>
      <c r="S280" s="466"/>
      <c r="T280" s="466"/>
      <c r="U280" s="466"/>
      <c r="V280" s="466"/>
    </row>
    <row r="281" spans="2:22" ht="12.75">
      <c r="B281" s="673"/>
      <c r="C281" s="147"/>
      <c r="D281" s="674"/>
      <c r="E281" s="674"/>
      <c r="F281" s="674"/>
      <c r="G281" s="674"/>
      <c r="H281" s="674"/>
      <c r="I281" s="674"/>
      <c r="J281" s="674"/>
      <c r="K281" s="674"/>
      <c r="L281" s="674"/>
      <c r="M281" s="147"/>
      <c r="N281" s="674"/>
      <c r="O281" s="675"/>
      <c r="P281" s="466"/>
      <c r="Q281" s="466"/>
      <c r="R281" s="466"/>
      <c r="S281" s="466"/>
      <c r="T281" s="466"/>
      <c r="U281" s="466"/>
      <c r="V281" s="466"/>
    </row>
    <row r="282" spans="2:22" ht="12.75">
      <c r="B282" s="673"/>
      <c r="C282" s="147"/>
      <c r="D282" s="674"/>
      <c r="E282" s="674"/>
      <c r="F282" s="674"/>
      <c r="G282" s="674"/>
      <c r="H282" s="674"/>
      <c r="I282" s="674"/>
      <c r="J282" s="674"/>
      <c r="K282" s="674"/>
      <c r="L282" s="674"/>
      <c r="M282" s="147"/>
      <c r="N282" s="674"/>
      <c r="O282" s="675"/>
      <c r="P282" s="466"/>
      <c r="Q282" s="466"/>
      <c r="R282" s="466"/>
      <c r="S282" s="466"/>
      <c r="T282" s="466"/>
      <c r="U282" s="466"/>
      <c r="V282" s="466"/>
    </row>
    <row r="283" spans="2:22" ht="12.75">
      <c r="B283" s="673"/>
      <c r="C283" s="147"/>
      <c r="D283" s="674"/>
      <c r="E283" s="674"/>
      <c r="F283" s="674"/>
      <c r="G283" s="674"/>
      <c r="H283" s="674"/>
      <c r="I283" s="674"/>
      <c r="J283" s="674"/>
      <c r="K283" s="674"/>
      <c r="L283" s="674"/>
      <c r="M283" s="147"/>
      <c r="N283" s="674"/>
      <c r="O283" s="675"/>
      <c r="P283" s="466"/>
      <c r="Q283" s="466"/>
      <c r="R283" s="466"/>
      <c r="S283" s="466"/>
      <c r="T283" s="466"/>
      <c r="U283" s="466"/>
      <c r="V283" s="466"/>
    </row>
    <row r="284" spans="2:22" ht="12.75">
      <c r="B284" s="673"/>
      <c r="C284" s="147"/>
      <c r="D284" s="674"/>
      <c r="E284" s="674"/>
      <c r="F284" s="674"/>
      <c r="G284" s="674"/>
      <c r="H284" s="674"/>
      <c r="I284" s="674"/>
      <c r="J284" s="674"/>
      <c r="K284" s="674"/>
      <c r="L284" s="674"/>
      <c r="M284" s="147"/>
      <c r="N284" s="674"/>
      <c r="O284" s="675"/>
      <c r="P284" s="466"/>
      <c r="Q284" s="466"/>
      <c r="R284" s="466"/>
      <c r="S284" s="466"/>
      <c r="T284" s="466"/>
      <c r="U284" s="466"/>
      <c r="V284" s="466"/>
    </row>
    <row r="285" spans="2:22" ht="12.75">
      <c r="B285" s="673"/>
      <c r="C285" s="147"/>
      <c r="D285" s="674"/>
      <c r="E285" s="674"/>
      <c r="F285" s="674"/>
      <c r="G285" s="674"/>
      <c r="H285" s="674"/>
      <c r="I285" s="674"/>
      <c r="J285" s="674"/>
      <c r="K285" s="674"/>
      <c r="L285" s="674"/>
      <c r="M285" s="147"/>
      <c r="N285" s="674"/>
      <c r="O285" s="675"/>
      <c r="P285" s="466"/>
      <c r="Q285" s="466"/>
      <c r="R285" s="466"/>
      <c r="S285" s="466"/>
      <c r="T285" s="466"/>
      <c r="U285" s="466"/>
      <c r="V285" s="466"/>
    </row>
    <row r="286" spans="2:22" ht="12.75">
      <c r="B286" s="673"/>
      <c r="C286" s="147"/>
      <c r="D286" s="674"/>
      <c r="E286" s="674"/>
      <c r="F286" s="674"/>
      <c r="G286" s="674"/>
      <c r="H286" s="674"/>
      <c r="I286" s="674"/>
      <c r="J286" s="674"/>
      <c r="K286" s="674"/>
      <c r="L286" s="674"/>
      <c r="M286" s="147"/>
      <c r="N286" s="674"/>
      <c r="O286" s="675"/>
      <c r="P286" s="466"/>
      <c r="Q286" s="466"/>
      <c r="R286" s="466"/>
      <c r="S286" s="466"/>
      <c r="T286" s="466"/>
      <c r="U286" s="466"/>
      <c r="V286" s="466"/>
    </row>
    <row r="287" spans="2:22" ht="12.75">
      <c r="B287" s="673"/>
      <c r="C287" s="147"/>
      <c r="D287" s="674"/>
      <c r="E287" s="674"/>
      <c r="F287" s="674"/>
      <c r="G287" s="674"/>
      <c r="H287" s="674"/>
      <c r="I287" s="674"/>
      <c r="J287" s="674"/>
      <c r="K287" s="674"/>
      <c r="L287" s="674"/>
      <c r="M287" s="147"/>
      <c r="N287" s="674"/>
      <c r="O287" s="675"/>
      <c r="P287" s="466"/>
      <c r="Q287" s="466"/>
      <c r="R287" s="466"/>
      <c r="S287" s="466"/>
      <c r="T287" s="466"/>
      <c r="U287" s="466"/>
      <c r="V287" s="466"/>
    </row>
    <row r="288" spans="2:22" ht="12.75">
      <c r="B288" s="673"/>
      <c r="C288" s="147"/>
      <c r="D288" s="674"/>
      <c r="E288" s="674"/>
      <c r="F288" s="674"/>
      <c r="G288" s="674"/>
      <c r="H288" s="674"/>
      <c r="I288" s="674"/>
      <c r="J288" s="674"/>
      <c r="K288" s="674"/>
      <c r="L288" s="674"/>
      <c r="M288" s="147"/>
      <c r="N288" s="674"/>
      <c r="O288" s="675"/>
      <c r="P288" s="466"/>
      <c r="Q288" s="466"/>
      <c r="R288" s="466"/>
      <c r="S288" s="466"/>
      <c r="T288" s="466"/>
      <c r="U288" s="466"/>
      <c r="V288" s="466"/>
    </row>
    <row r="289" spans="2:22" ht="12.75">
      <c r="B289" s="673"/>
      <c r="C289" s="147"/>
      <c r="D289" s="674"/>
      <c r="E289" s="674"/>
      <c r="F289" s="674"/>
      <c r="G289" s="674"/>
      <c r="H289" s="674"/>
      <c r="I289" s="674"/>
      <c r="J289" s="674"/>
      <c r="K289" s="674"/>
      <c r="L289" s="674"/>
      <c r="M289" s="147"/>
      <c r="N289" s="674"/>
      <c r="O289" s="675"/>
      <c r="P289" s="466"/>
      <c r="Q289" s="466"/>
      <c r="R289" s="466"/>
      <c r="S289" s="466"/>
      <c r="T289" s="466"/>
      <c r="U289" s="466"/>
      <c r="V289" s="466"/>
    </row>
    <row r="290" spans="2:22" ht="12.75">
      <c r="B290" s="673"/>
      <c r="C290" s="147"/>
      <c r="D290" s="674"/>
      <c r="E290" s="674"/>
      <c r="F290" s="674"/>
      <c r="G290" s="674"/>
      <c r="H290" s="674"/>
      <c r="I290" s="674"/>
      <c r="J290" s="674"/>
      <c r="K290" s="674"/>
      <c r="L290" s="674"/>
      <c r="M290" s="147"/>
      <c r="N290" s="674"/>
      <c r="O290" s="675"/>
      <c r="P290" s="466"/>
      <c r="Q290" s="466"/>
      <c r="R290" s="466"/>
      <c r="S290" s="466"/>
      <c r="T290" s="466"/>
      <c r="U290" s="466"/>
      <c r="V290" s="466"/>
    </row>
    <row r="291" spans="2:22" ht="12.75">
      <c r="B291" s="673"/>
      <c r="C291" s="147"/>
      <c r="D291" s="674"/>
      <c r="E291" s="674"/>
      <c r="F291" s="674"/>
      <c r="G291" s="674"/>
      <c r="H291" s="674"/>
      <c r="I291" s="674"/>
      <c r="J291" s="674"/>
      <c r="K291" s="674"/>
      <c r="L291" s="674"/>
      <c r="M291" s="147"/>
      <c r="N291" s="674"/>
      <c r="O291" s="675"/>
      <c r="P291" s="466"/>
      <c r="Q291" s="466"/>
      <c r="R291" s="466"/>
      <c r="S291" s="466"/>
      <c r="T291" s="466"/>
      <c r="U291" s="466"/>
      <c r="V291" s="466"/>
    </row>
    <row r="292" spans="2:22" ht="12.75">
      <c r="B292" s="673"/>
      <c r="C292" s="147"/>
      <c r="D292" s="674"/>
      <c r="E292" s="674"/>
      <c r="F292" s="674"/>
      <c r="G292" s="674"/>
      <c r="H292" s="674"/>
      <c r="I292" s="674"/>
      <c r="J292" s="674"/>
      <c r="K292" s="674"/>
      <c r="L292" s="674"/>
      <c r="M292" s="147"/>
      <c r="N292" s="674"/>
      <c r="O292" s="675"/>
      <c r="P292" s="466"/>
      <c r="Q292" s="466"/>
      <c r="R292" s="466"/>
      <c r="S292" s="466"/>
      <c r="T292" s="466"/>
      <c r="U292" s="466"/>
      <c r="V292" s="466"/>
    </row>
    <row r="293" spans="2:22" ht="12.75">
      <c r="B293" s="673"/>
      <c r="C293" s="147"/>
      <c r="D293" s="674"/>
      <c r="E293" s="674"/>
      <c r="F293" s="674"/>
      <c r="G293" s="674"/>
      <c r="H293" s="674"/>
      <c r="I293" s="674"/>
      <c r="J293" s="674"/>
      <c r="K293" s="674"/>
      <c r="L293" s="674"/>
      <c r="M293" s="147"/>
      <c r="N293" s="674"/>
      <c r="O293" s="675"/>
      <c r="P293" s="466"/>
      <c r="Q293" s="466"/>
      <c r="R293" s="466"/>
      <c r="S293" s="466"/>
      <c r="T293" s="466"/>
      <c r="U293" s="466"/>
      <c r="V293" s="466"/>
    </row>
    <row r="294" spans="2:22" ht="12.75">
      <c r="B294" s="673"/>
      <c r="C294" s="147"/>
      <c r="D294" s="674"/>
      <c r="E294" s="674"/>
      <c r="F294" s="674"/>
      <c r="G294" s="674"/>
      <c r="H294" s="674"/>
      <c r="I294" s="674"/>
      <c r="J294" s="674"/>
      <c r="K294" s="674"/>
      <c r="L294" s="674"/>
      <c r="M294" s="147"/>
      <c r="N294" s="674"/>
      <c r="O294" s="675"/>
      <c r="P294" s="466"/>
      <c r="Q294" s="466"/>
      <c r="R294" s="466"/>
      <c r="S294" s="466"/>
      <c r="T294" s="466"/>
      <c r="U294" s="466"/>
      <c r="V294" s="466"/>
    </row>
    <row r="295" spans="2:22" ht="12.75">
      <c r="B295" s="673"/>
      <c r="C295" s="147"/>
      <c r="D295" s="674"/>
      <c r="E295" s="674"/>
      <c r="F295" s="674"/>
      <c r="G295" s="674"/>
      <c r="H295" s="674"/>
      <c r="I295" s="674"/>
      <c r="J295" s="674"/>
      <c r="K295" s="674"/>
      <c r="L295" s="674"/>
      <c r="M295" s="147"/>
      <c r="N295" s="674"/>
      <c r="O295" s="675"/>
      <c r="P295" s="466"/>
      <c r="Q295" s="466"/>
      <c r="R295" s="466"/>
      <c r="S295" s="466"/>
      <c r="T295" s="466"/>
      <c r="U295" s="466"/>
      <c r="V295" s="466"/>
    </row>
    <row r="296" spans="2:22" ht="12.75">
      <c r="B296" s="673"/>
      <c r="C296" s="147"/>
      <c r="D296" s="674"/>
      <c r="E296" s="674"/>
      <c r="F296" s="674"/>
      <c r="G296" s="674"/>
      <c r="H296" s="674"/>
      <c r="I296" s="674"/>
      <c r="J296" s="674"/>
      <c r="K296" s="674"/>
      <c r="L296" s="674"/>
      <c r="M296" s="147"/>
      <c r="N296" s="674"/>
      <c r="O296" s="675"/>
      <c r="P296" s="466"/>
      <c r="Q296" s="466"/>
      <c r="R296" s="466"/>
      <c r="S296" s="466"/>
      <c r="T296" s="466"/>
      <c r="U296" s="466"/>
      <c r="V296" s="466"/>
    </row>
    <row r="297" spans="2:22" ht="12.75">
      <c r="B297" s="673"/>
      <c r="C297" s="147"/>
      <c r="D297" s="674"/>
      <c r="E297" s="674"/>
      <c r="F297" s="674"/>
      <c r="G297" s="674"/>
      <c r="H297" s="674"/>
      <c r="I297" s="674"/>
      <c r="J297" s="674"/>
      <c r="K297" s="674"/>
      <c r="L297" s="674"/>
      <c r="M297" s="147"/>
      <c r="N297" s="674"/>
      <c r="O297" s="675"/>
      <c r="P297" s="466"/>
      <c r="Q297" s="466"/>
      <c r="R297" s="466"/>
      <c r="S297" s="466"/>
      <c r="T297" s="466"/>
      <c r="U297" s="466"/>
      <c r="V297" s="466"/>
    </row>
    <row r="298" spans="2:22" ht="12.75">
      <c r="B298" s="673"/>
      <c r="C298" s="147"/>
      <c r="D298" s="674"/>
      <c r="E298" s="674"/>
      <c r="F298" s="674"/>
      <c r="G298" s="674"/>
      <c r="H298" s="674"/>
      <c r="I298" s="674"/>
      <c r="J298" s="674"/>
      <c r="K298" s="674"/>
      <c r="L298" s="674"/>
      <c r="M298" s="147"/>
      <c r="N298" s="674"/>
      <c r="O298" s="675"/>
      <c r="P298" s="466"/>
      <c r="Q298" s="466"/>
      <c r="R298" s="466"/>
      <c r="S298" s="466"/>
      <c r="T298" s="466"/>
      <c r="U298" s="466"/>
      <c r="V298" s="466"/>
    </row>
    <row r="299" spans="2:22" ht="12.75">
      <c r="B299" s="673"/>
      <c r="C299" s="147"/>
      <c r="D299" s="674"/>
      <c r="E299" s="674"/>
      <c r="F299" s="674"/>
      <c r="G299" s="674"/>
      <c r="H299" s="674"/>
      <c r="I299" s="674"/>
      <c r="J299" s="674"/>
      <c r="K299" s="674"/>
      <c r="L299" s="674"/>
      <c r="M299" s="147"/>
      <c r="N299" s="674"/>
      <c r="O299" s="675"/>
      <c r="P299" s="466"/>
      <c r="Q299" s="466"/>
      <c r="R299" s="466"/>
      <c r="S299" s="466"/>
      <c r="T299" s="466"/>
      <c r="U299" s="466"/>
      <c r="V299" s="466"/>
    </row>
    <row r="300" spans="2:22" ht="12.75">
      <c r="B300" s="673"/>
      <c r="C300" s="147"/>
      <c r="D300" s="674"/>
      <c r="E300" s="674"/>
      <c r="F300" s="674"/>
      <c r="G300" s="674"/>
      <c r="H300" s="674"/>
      <c r="I300" s="674"/>
      <c r="J300" s="674"/>
      <c r="K300" s="674"/>
      <c r="L300" s="674"/>
      <c r="M300" s="147"/>
      <c r="N300" s="674"/>
      <c r="O300" s="675"/>
      <c r="P300" s="466"/>
      <c r="Q300" s="466"/>
      <c r="R300" s="466"/>
      <c r="S300" s="466"/>
      <c r="T300" s="466"/>
      <c r="U300" s="466"/>
      <c r="V300" s="466"/>
    </row>
    <row r="301" spans="2:22" ht="12.75">
      <c r="B301" s="673"/>
      <c r="C301" s="147"/>
      <c r="D301" s="674"/>
      <c r="E301" s="674"/>
      <c r="F301" s="674"/>
      <c r="G301" s="674"/>
      <c r="H301" s="674"/>
      <c r="I301" s="674"/>
      <c r="J301" s="674"/>
      <c r="K301" s="674"/>
      <c r="L301" s="674"/>
      <c r="M301" s="147"/>
      <c r="N301" s="674"/>
      <c r="O301" s="675"/>
      <c r="P301" s="466"/>
      <c r="Q301" s="466"/>
      <c r="R301" s="466"/>
      <c r="S301" s="466"/>
      <c r="T301" s="466"/>
      <c r="U301" s="466"/>
      <c r="V301" s="466"/>
    </row>
    <row r="302" spans="2:22" ht="12.75">
      <c r="B302" s="673"/>
      <c r="C302" s="147"/>
      <c r="D302" s="674"/>
      <c r="E302" s="674"/>
      <c r="F302" s="674"/>
      <c r="G302" s="674"/>
      <c r="H302" s="674"/>
      <c r="I302" s="674"/>
      <c r="J302" s="674"/>
      <c r="K302" s="674"/>
      <c r="L302" s="674"/>
      <c r="M302" s="147"/>
      <c r="N302" s="674"/>
      <c r="O302" s="675"/>
      <c r="P302" s="466"/>
      <c r="Q302" s="466"/>
      <c r="R302" s="466"/>
      <c r="S302" s="466"/>
      <c r="T302" s="466"/>
      <c r="U302" s="466"/>
      <c r="V302" s="466"/>
    </row>
    <row r="303" spans="2:22" ht="12.75">
      <c r="B303" s="673"/>
      <c r="C303" s="147"/>
      <c r="D303" s="674"/>
      <c r="E303" s="674"/>
      <c r="F303" s="674"/>
      <c r="G303" s="674"/>
      <c r="H303" s="674"/>
      <c r="I303" s="674"/>
      <c r="J303" s="674"/>
      <c r="K303" s="674"/>
      <c r="L303" s="674"/>
      <c r="M303" s="147"/>
      <c r="N303" s="674"/>
      <c r="O303" s="675"/>
      <c r="P303" s="466"/>
      <c r="Q303" s="466"/>
      <c r="R303" s="466"/>
      <c r="S303" s="466"/>
      <c r="T303" s="466"/>
      <c r="U303" s="466"/>
      <c r="V303" s="466"/>
    </row>
    <row r="304" spans="2:22" ht="12.75">
      <c r="B304" s="673"/>
      <c r="C304" s="147"/>
      <c r="D304" s="674"/>
      <c r="E304" s="674"/>
      <c r="F304" s="674"/>
      <c r="G304" s="674"/>
      <c r="H304" s="674"/>
      <c r="I304" s="674"/>
      <c r="J304" s="674"/>
      <c r="K304" s="674"/>
      <c r="L304" s="674"/>
      <c r="M304" s="147"/>
      <c r="N304" s="674"/>
      <c r="O304" s="675"/>
      <c r="P304" s="466"/>
      <c r="Q304" s="466"/>
      <c r="R304" s="466"/>
      <c r="S304" s="466"/>
      <c r="T304" s="466"/>
      <c r="U304" s="466"/>
      <c r="V304" s="466"/>
    </row>
    <row r="305" spans="2:22" ht="12.75">
      <c r="B305" s="673"/>
      <c r="C305" s="147"/>
      <c r="D305" s="674"/>
      <c r="E305" s="674"/>
      <c r="F305" s="674"/>
      <c r="G305" s="674"/>
      <c r="H305" s="674"/>
      <c r="I305" s="674"/>
      <c r="J305" s="674"/>
      <c r="K305" s="674"/>
      <c r="L305" s="674"/>
      <c r="M305" s="147"/>
      <c r="N305" s="674"/>
      <c r="O305" s="675"/>
      <c r="P305" s="466"/>
      <c r="Q305" s="466"/>
      <c r="R305" s="466"/>
      <c r="S305" s="466"/>
      <c r="T305" s="466"/>
      <c r="U305" s="466"/>
      <c r="V305" s="466"/>
    </row>
    <row r="306" spans="2:22" ht="12.75">
      <c r="B306" s="673"/>
      <c r="C306" s="147"/>
      <c r="D306" s="674"/>
      <c r="E306" s="674"/>
      <c r="F306" s="674"/>
      <c r="G306" s="674"/>
      <c r="H306" s="674"/>
      <c r="I306" s="674"/>
      <c r="J306" s="674"/>
      <c r="K306" s="674"/>
      <c r="L306" s="674"/>
      <c r="M306" s="147"/>
      <c r="N306" s="674"/>
      <c r="O306" s="675"/>
      <c r="P306" s="466"/>
      <c r="Q306" s="466"/>
      <c r="R306" s="466"/>
      <c r="S306" s="466"/>
      <c r="T306" s="466"/>
      <c r="U306" s="466"/>
      <c r="V306" s="466"/>
    </row>
    <row r="307" spans="2:22" ht="12.75">
      <c r="B307" s="673"/>
      <c r="C307" s="147"/>
      <c r="D307" s="674"/>
      <c r="E307" s="674"/>
      <c r="F307" s="674"/>
      <c r="G307" s="674"/>
      <c r="H307" s="674"/>
      <c r="I307" s="674"/>
      <c r="J307" s="674"/>
      <c r="K307" s="674"/>
      <c r="L307" s="674"/>
      <c r="M307" s="147"/>
      <c r="N307" s="674"/>
      <c r="O307" s="675"/>
      <c r="P307" s="466"/>
      <c r="Q307" s="466"/>
      <c r="R307" s="466"/>
      <c r="S307" s="466"/>
      <c r="T307" s="466"/>
      <c r="U307" s="466"/>
      <c r="V307" s="466"/>
    </row>
    <row r="308" spans="2:22" ht="12.75">
      <c r="B308" s="673"/>
      <c r="C308" s="147"/>
      <c r="D308" s="674"/>
      <c r="E308" s="674"/>
      <c r="F308" s="674"/>
      <c r="G308" s="674"/>
      <c r="H308" s="674"/>
      <c r="I308" s="674"/>
      <c r="J308" s="674"/>
      <c r="K308" s="674"/>
      <c r="L308" s="674"/>
      <c r="M308" s="147"/>
      <c r="N308" s="674"/>
      <c r="O308" s="675"/>
      <c r="P308" s="466"/>
      <c r="Q308" s="466"/>
      <c r="R308" s="466"/>
      <c r="S308" s="466"/>
      <c r="T308" s="466"/>
      <c r="U308" s="466"/>
      <c r="V308" s="466"/>
    </row>
    <row r="309" spans="2:22" ht="12.75">
      <c r="B309" s="673"/>
      <c r="C309" s="147"/>
      <c r="D309" s="674"/>
      <c r="E309" s="674"/>
      <c r="F309" s="674"/>
      <c r="G309" s="674"/>
      <c r="H309" s="674"/>
      <c r="I309" s="674"/>
      <c r="J309" s="674"/>
      <c r="K309" s="674"/>
      <c r="L309" s="674"/>
      <c r="M309" s="147"/>
      <c r="N309" s="674"/>
      <c r="O309" s="675"/>
      <c r="P309" s="466"/>
      <c r="Q309" s="466"/>
      <c r="R309" s="466"/>
      <c r="S309" s="466"/>
      <c r="T309" s="466"/>
      <c r="U309" s="466"/>
      <c r="V309" s="466"/>
    </row>
    <row r="310" spans="2:22" ht="12.75">
      <c r="B310" s="673"/>
      <c r="C310" s="147"/>
      <c r="D310" s="674"/>
      <c r="E310" s="674"/>
      <c r="F310" s="674"/>
      <c r="G310" s="674"/>
      <c r="H310" s="674"/>
      <c r="I310" s="674"/>
      <c r="J310" s="674"/>
      <c r="K310" s="674"/>
      <c r="L310" s="674"/>
      <c r="M310" s="147"/>
      <c r="N310" s="674"/>
      <c r="O310" s="675"/>
      <c r="P310" s="466"/>
      <c r="Q310" s="466"/>
      <c r="R310" s="466"/>
      <c r="S310" s="466"/>
      <c r="T310" s="466"/>
      <c r="U310" s="466"/>
      <c r="V310" s="466"/>
    </row>
    <row r="311" spans="2:22" ht="12.75">
      <c r="B311" s="673"/>
      <c r="C311" s="147"/>
      <c r="D311" s="674"/>
      <c r="E311" s="674"/>
      <c r="F311" s="674"/>
      <c r="G311" s="674"/>
      <c r="H311" s="674"/>
      <c r="I311" s="674"/>
      <c r="J311" s="674"/>
      <c r="K311" s="674"/>
      <c r="L311" s="674"/>
      <c r="M311" s="147"/>
      <c r="N311" s="674"/>
      <c r="O311" s="675"/>
      <c r="P311" s="466"/>
      <c r="Q311" s="466"/>
      <c r="R311" s="466"/>
      <c r="S311" s="466"/>
      <c r="T311" s="466"/>
      <c r="U311" s="466"/>
      <c r="V311" s="466"/>
    </row>
    <row r="312" spans="2:22" ht="12.75">
      <c r="B312" s="673"/>
      <c r="C312" s="147"/>
      <c r="D312" s="674"/>
      <c r="E312" s="674"/>
      <c r="F312" s="674"/>
      <c r="G312" s="674"/>
      <c r="H312" s="674"/>
      <c r="I312" s="674"/>
      <c r="J312" s="674"/>
      <c r="K312" s="674"/>
      <c r="L312" s="674"/>
      <c r="M312" s="147"/>
      <c r="N312" s="674"/>
      <c r="O312" s="675"/>
      <c r="P312" s="466"/>
      <c r="Q312" s="466"/>
      <c r="R312" s="466"/>
      <c r="S312" s="466"/>
      <c r="T312" s="466"/>
      <c r="U312" s="466"/>
      <c r="V312" s="466"/>
    </row>
    <row r="313" spans="2:22" ht="12.75">
      <c r="B313" s="673"/>
      <c r="C313" s="147"/>
      <c r="D313" s="674"/>
      <c r="E313" s="674"/>
      <c r="F313" s="674"/>
      <c r="G313" s="674"/>
      <c r="H313" s="674"/>
      <c r="I313" s="674"/>
      <c r="J313" s="674"/>
      <c r="K313" s="674"/>
      <c r="L313" s="674"/>
      <c r="M313" s="147"/>
      <c r="N313" s="674"/>
      <c r="O313" s="675"/>
      <c r="P313" s="466"/>
      <c r="Q313" s="466"/>
      <c r="R313" s="466"/>
      <c r="S313" s="466"/>
      <c r="T313" s="466"/>
      <c r="U313" s="466"/>
      <c r="V313" s="466"/>
    </row>
    <row r="314" spans="2:22" ht="12.75">
      <c r="B314" s="673"/>
      <c r="C314" s="147"/>
      <c r="D314" s="674"/>
      <c r="E314" s="674"/>
      <c r="F314" s="674"/>
      <c r="G314" s="674"/>
      <c r="H314" s="674"/>
      <c r="I314" s="674"/>
      <c r="J314" s="674"/>
      <c r="K314" s="674"/>
      <c r="L314" s="674"/>
      <c r="M314" s="147"/>
      <c r="N314" s="674"/>
      <c r="O314" s="675"/>
      <c r="P314" s="466"/>
      <c r="Q314" s="466"/>
      <c r="R314" s="466"/>
      <c r="S314" s="466"/>
      <c r="T314" s="466"/>
      <c r="U314" s="466"/>
      <c r="V314" s="466"/>
    </row>
    <row r="315" spans="2:22" ht="12.75">
      <c r="B315" s="673"/>
      <c r="C315" s="147"/>
      <c r="D315" s="674"/>
      <c r="E315" s="674"/>
      <c r="F315" s="674"/>
      <c r="G315" s="674"/>
      <c r="H315" s="674"/>
      <c r="I315" s="674"/>
      <c r="J315" s="674"/>
      <c r="K315" s="674"/>
      <c r="L315" s="674"/>
      <c r="M315" s="147"/>
      <c r="N315" s="674"/>
      <c r="O315" s="675"/>
      <c r="P315" s="466"/>
      <c r="Q315" s="466"/>
      <c r="R315" s="466"/>
      <c r="S315" s="466"/>
      <c r="T315" s="466"/>
      <c r="U315" s="466"/>
      <c r="V315" s="466"/>
    </row>
    <row r="316" spans="2:22" ht="12.75">
      <c r="B316" s="673"/>
      <c r="C316" s="147"/>
      <c r="D316" s="674"/>
      <c r="E316" s="674"/>
      <c r="F316" s="674"/>
      <c r="G316" s="674"/>
      <c r="H316" s="674"/>
      <c r="I316" s="674"/>
      <c r="J316" s="674"/>
      <c r="K316" s="674"/>
      <c r="L316" s="674"/>
      <c r="M316" s="147"/>
      <c r="N316" s="674"/>
      <c r="O316" s="675"/>
      <c r="P316" s="466"/>
      <c r="Q316" s="466"/>
      <c r="R316" s="466"/>
      <c r="S316" s="466"/>
      <c r="T316" s="466"/>
      <c r="U316" s="466"/>
      <c r="V316" s="466"/>
    </row>
    <row r="317" spans="2:22" ht="12.75">
      <c r="B317" s="673"/>
      <c r="C317" s="147"/>
      <c r="D317" s="674"/>
      <c r="E317" s="674"/>
      <c r="F317" s="674"/>
      <c r="G317" s="674"/>
      <c r="H317" s="674"/>
      <c r="I317" s="674"/>
      <c r="J317" s="674"/>
      <c r="K317" s="674"/>
      <c r="L317" s="674"/>
      <c r="M317" s="147"/>
      <c r="N317" s="674"/>
      <c r="O317" s="675"/>
      <c r="P317" s="466"/>
      <c r="Q317" s="466"/>
      <c r="R317" s="466"/>
      <c r="S317" s="466"/>
      <c r="T317" s="466"/>
      <c r="U317" s="466"/>
      <c r="V317" s="466"/>
    </row>
    <row r="318" spans="2:22" ht="12.75">
      <c r="B318" s="673"/>
      <c r="C318" s="147"/>
      <c r="D318" s="674"/>
      <c r="E318" s="674"/>
      <c r="F318" s="674"/>
      <c r="G318" s="674"/>
      <c r="H318" s="674"/>
      <c r="I318" s="674"/>
      <c r="J318" s="674"/>
      <c r="K318" s="674"/>
      <c r="L318" s="674"/>
      <c r="M318" s="147"/>
      <c r="N318" s="674"/>
      <c r="O318" s="675"/>
      <c r="P318" s="466"/>
      <c r="Q318" s="466"/>
      <c r="R318" s="466"/>
      <c r="S318" s="466"/>
      <c r="T318" s="466"/>
      <c r="U318" s="466"/>
      <c r="V318" s="466"/>
    </row>
    <row r="319" spans="2:22" ht="12.75">
      <c r="B319" s="673"/>
      <c r="C319" s="147"/>
      <c r="D319" s="674"/>
      <c r="E319" s="674"/>
      <c r="F319" s="674"/>
      <c r="G319" s="674"/>
      <c r="H319" s="674"/>
      <c r="I319" s="674"/>
      <c r="J319" s="674"/>
      <c r="K319" s="674"/>
      <c r="L319" s="674"/>
      <c r="M319" s="147"/>
      <c r="N319" s="674"/>
      <c r="O319" s="675"/>
      <c r="P319" s="466"/>
      <c r="Q319" s="466"/>
      <c r="R319" s="466"/>
      <c r="S319" s="466"/>
      <c r="T319" s="466"/>
      <c r="U319" s="466"/>
      <c r="V319" s="466"/>
    </row>
    <row r="320" spans="2:22" ht="12.75">
      <c r="B320" s="673"/>
      <c r="C320" s="147"/>
      <c r="D320" s="674"/>
      <c r="E320" s="674"/>
      <c r="F320" s="674"/>
      <c r="G320" s="674"/>
      <c r="H320" s="674"/>
      <c r="I320" s="674"/>
      <c r="J320" s="674"/>
      <c r="K320" s="674"/>
      <c r="L320" s="674"/>
      <c r="M320" s="147"/>
      <c r="N320" s="674"/>
      <c r="O320" s="675"/>
      <c r="P320" s="466"/>
      <c r="Q320" s="466"/>
      <c r="R320" s="466"/>
      <c r="S320" s="466"/>
      <c r="T320" s="466"/>
      <c r="U320" s="466"/>
      <c r="V320" s="466"/>
    </row>
    <row r="321" spans="2:22" ht="12.75">
      <c r="B321" s="673"/>
      <c r="C321" s="147"/>
      <c r="D321" s="674"/>
      <c r="E321" s="674"/>
      <c r="F321" s="674"/>
      <c r="G321" s="674"/>
      <c r="H321" s="674"/>
      <c r="I321" s="674"/>
      <c r="J321" s="674"/>
      <c r="K321" s="674"/>
      <c r="L321" s="674"/>
      <c r="M321" s="147"/>
      <c r="N321" s="674"/>
      <c r="O321" s="675"/>
      <c r="P321" s="466"/>
      <c r="Q321" s="466"/>
      <c r="R321" s="466"/>
      <c r="S321" s="466"/>
      <c r="T321" s="466"/>
      <c r="U321" s="466"/>
      <c r="V321" s="466"/>
    </row>
    <row r="322" spans="2:22" ht="12.75">
      <c r="B322" s="673"/>
      <c r="C322" s="147"/>
      <c r="D322" s="674"/>
      <c r="E322" s="674"/>
      <c r="F322" s="674"/>
      <c r="G322" s="674"/>
      <c r="H322" s="674"/>
      <c r="I322" s="674"/>
      <c r="J322" s="674"/>
      <c r="K322" s="674"/>
      <c r="L322" s="674"/>
      <c r="M322" s="147"/>
      <c r="N322" s="674"/>
      <c r="O322" s="675"/>
      <c r="P322" s="466"/>
      <c r="Q322" s="466"/>
      <c r="R322" s="466"/>
      <c r="S322" s="466"/>
      <c r="T322" s="466"/>
      <c r="U322" s="466"/>
      <c r="V322" s="466"/>
    </row>
    <row r="323" spans="2:22" ht="12.75">
      <c r="B323" s="673"/>
      <c r="C323" s="147"/>
      <c r="D323" s="674"/>
      <c r="E323" s="674"/>
      <c r="F323" s="674"/>
      <c r="G323" s="674"/>
      <c r="H323" s="674"/>
      <c r="I323" s="674"/>
      <c r="J323" s="674"/>
      <c r="K323" s="674"/>
      <c r="L323" s="674"/>
      <c r="M323" s="147"/>
      <c r="N323" s="674"/>
      <c r="O323" s="675"/>
      <c r="P323" s="466"/>
      <c r="Q323" s="466"/>
      <c r="R323" s="466"/>
      <c r="S323" s="466"/>
      <c r="T323" s="466"/>
      <c r="U323" s="466"/>
      <c r="V323" s="466"/>
    </row>
    <row r="324" spans="2:22" ht="12.75">
      <c r="B324" s="673"/>
      <c r="C324" s="147"/>
      <c r="D324" s="674"/>
      <c r="E324" s="674"/>
      <c r="F324" s="674"/>
      <c r="G324" s="674"/>
      <c r="H324" s="674"/>
      <c r="I324" s="674"/>
      <c r="J324" s="674"/>
      <c r="K324" s="674"/>
      <c r="L324" s="674"/>
      <c r="M324" s="147"/>
      <c r="N324" s="674"/>
      <c r="O324" s="675"/>
      <c r="P324" s="466"/>
      <c r="Q324" s="466"/>
      <c r="R324" s="466"/>
      <c r="S324" s="466"/>
      <c r="T324" s="466"/>
      <c r="U324" s="466"/>
      <c r="V324" s="466"/>
    </row>
    <row r="325" spans="2:22" ht="12.75">
      <c r="B325" s="673"/>
      <c r="C325" s="147"/>
      <c r="D325" s="674"/>
      <c r="E325" s="674"/>
      <c r="F325" s="674"/>
      <c r="G325" s="674"/>
      <c r="H325" s="674"/>
      <c r="I325" s="674"/>
      <c r="J325" s="674"/>
      <c r="K325" s="674"/>
      <c r="L325" s="674"/>
      <c r="M325" s="147"/>
      <c r="N325" s="674"/>
      <c r="O325" s="675"/>
      <c r="P325" s="466"/>
      <c r="Q325" s="466"/>
      <c r="R325" s="466"/>
      <c r="S325" s="466"/>
      <c r="T325" s="466"/>
      <c r="U325" s="466"/>
      <c r="V325" s="466"/>
    </row>
    <row r="326" spans="2:22" ht="12.75">
      <c r="B326" s="673"/>
      <c r="C326" s="147"/>
      <c r="D326" s="674"/>
      <c r="E326" s="674"/>
      <c r="F326" s="674"/>
      <c r="G326" s="674"/>
      <c r="H326" s="674"/>
      <c r="I326" s="674"/>
      <c r="J326" s="674"/>
      <c r="K326" s="674"/>
      <c r="L326" s="674"/>
      <c r="M326" s="147"/>
      <c r="N326" s="674"/>
      <c r="O326" s="675"/>
      <c r="P326" s="466"/>
      <c r="Q326" s="466"/>
      <c r="R326" s="466"/>
      <c r="S326" s="466"/>
      <c r="T326" s="466"/>
      <c r="U326" s="466"/>
      <c r="V326" s="466"/>
    </row>
    <row r="327" spans="2:22" ht="12.75">
      <c r="B327" s="673"/>
      <c r="C327" s="147"/>
      <c r="D327" s="674"/>
      <c r="E327" s="674"/>
      <c r="F327" s="674"/>
      <c r="G327" s="674"/>
      <c r="H327" s="674"/>
      <c r="I327" s="674"/>
      <c r="J327" s="674"/>
      <c r="K327" s="674"/>
      <c r="L327" s="674"/>
      <c r="M327" s="147"/>
      <c r="N327" s="674"/>
      <c r="O327" s="675"/>
      <c r="P327" s="466"/>
      <c r="Q327" s="466"/>
      <c r="R327" s="466"/>
      <c r="S327" s="466"/>
      <c r="T327" s="466"/>
      <c r="U327" s="466"/>
      <c r="V327" s="466"/>
    </row>
    <row r="328" spans="2:22" ht="12.75">
      <c r="B328" s="673"/>
      <c r="C328" s="147"/>
      <c r="D328" s="674"/>
      <c r="E328" s="674"/>
      <c r="F328" s="674"/>
      <c r="G328" s="674"/>
      <c r="H328" s="674"/>
      <c r="I328" s="674"/>
      <c r="J328" s="674"/>
      <c r="K328" s="674"/>
      <c r="L328" s="674"/>
      <c r="M328" s="147"/>
      <c r="N328" s="674"/>
      <c r="O328" s="675"/>
      <c r="P328" s="466"/>
      <c r="Q328" s="466"/>
      <c r="R328" s="466"/>
      <c r="S328" s="466"/>
      <c r="T328" s="466"/>
      <c r="U328" s="466"/>
      <c r="V328" s="466"/>
    </row>
    <row r="329" spans="2:22" ht="12.75">
      <c r="B329" s="673"/>
      <c r="C329" s="147"/>
      <c r="D329" s="674"/>
      <c r="E329" s="674"/>
      <c r="F329" s="674"/>
      <c r="G329" s="674"/>
      <c r="H329" s="674"/>
      <c r="I329" s="674"/>
      <c r="J329" s="674"/>
      <c r="K329" s="674"/>
      <c r="L329" s="674"/>
      <c r="M329" s="147"/>
      <c r="N329" s="674"/>
      <c r="O329" s="675"/>
      <c r="P329" s="466"/>
      <c r="Q329" s="466"/>
      <c r="R329" s="466"/>
      <c r="S329" s="466"/>
      <c r="T329" s="466"/>
      <c r="U329" s="466"/>
      <c r="V329" s="466"/>
    </row>
    <row r="330" spans="2:22" ht="12.75">
      <c r="B330" s="673"/>
      <c r="C330" s="147"/>
      <c r="D330" s="674"/>
      <c r="E330" s="674"/>
      <c r="F330" s="674"/>
      <c r="G330" s="674"/>
      <c r="H330" s="674"/>
      <c r="I330" s="674"/>
      <c r="J330" s="674"/>
      <c r="K330" s="674"/>
      <c r="L330" s="674"/>
      <c r="M330" s="147"/>
      <c r="N330" s="674"/>
      <c r="O330" s="675"/>
      <c r="P330" s="466"/>
      <c r="Q330" s="466"/>
      <c r="R330" s="466"/>
      <c r="S330" s="466"/>
      <c r="T330" s="466"/>
      <c r="U330" s="466"/>
      <c r="V330" s="466"/>
    </row>
    <row r="331" spans="2:22" ht="12.75">
      <c r="B331" s="673"/>
      <c r="C331" s="147"/>
      <c r="D331" s="674"/>
      <c r="E331" s="674"/>
      <c r="F331" s="674"/>
      <c r="G331" s="674"/>
      <c r="H331" s="674"/>
      <c r="I331" s="674"/>
      <c r="J331" s="674"/>
      <c r="K331" s="674"/>
      <c r="L331" s="674"/>
      <c r="M331" s="147"/>
      <c r="N331" s="674"/>
      <c r="O331" s="675"/>
      <c r="P331" s="466"/>
      <c r="Q331" s="466"/>
      <c r="R331" s="466"/>
      <c r="S331" s="466"/>
      <c r="T331" s="466"/>
      <c r="U331" s="466"/>
      <c r="V331" s="466"/>
    </row>
    <row r="332" spans="2:22" ht="12.75">
      <c r="B332" s="673"/>
      <c r="C332" s="147"/>
      <c r="D332" s="674"/>
      <c r="E332" s="674"/>
      <c r="F332" s="674"/>
      <c r="G332" s="674"/>
      <c r="H332" s="674"/>
      <c r="I332" s="674"/>
      <c r="J332" s="674"/>
      <c r="K332" s="674"/>
      <c r="L332" s="674"/>
      <c r="M332" s="147"/>
      <c r="N332" s="674"/>
      <c r="O332" s="675"/>
      <c r="P332" s="466"/>
      <c r="Q332" s="466"/>
      <c r="R332" s="466"/>
      <c r="S332" s="466"/>
      <c r="T332" s="466"/>
      <c r="U332" s="466"/>
      <c r="V332" s="466"/>
    </row>
    <row r="333" spans="2:22" ht="12.75">
      <c r="B333" s="673"/>
      <c r="C333" s="147"/>
      <c r="D333" s="674"/>
      <c r="E333" s="674"/>
      <c r="F333" s="674"/>
      <c r="G333" s="674"/>
      <c r="H333" s="674"/>
      <c r="I333" s="674"/>
      <c r="J333" s="674"/>
      <c r="K333" s="674"/>
      <c r="L333" s="674"/>
      <c r="M333" s="147"/>
      <c r="N333" s="674"/>
      <c r="O333" s="675"/>
      <c r="P333" s="466"/>
      <c r="Q333" s="466"/>
      <c r="R333" s="466"/>
      <c r="S333" s="466"/>
      <c r="T333" s="466"/>
      <c r="U333" s="466"/>
      <c r="V333" s="466"/>
    </row>
    <row r="334" spans="2:22" ht="12.75">
      <c r="B334" s="673"/>
      <c r="C334" s="147"/>
      <c r="D334" s="674"/>
      <c r="E334" s="674"/>
      <c r="F334" s="674"/>
      <c r="G334" s="674"/>
      <c r="H334" s="674"/>
      <c r="I334" s="674"/>
      <c r="J334" s="674"/>
      <c r="K334" s="674"/>
      <c r="L334" s="674"/>
      <c r="M334" s="147"/>
      <c r="N334" s="674"/>
      <c r="O334" s="675"/>
      <c r="P334" s="466"/>
      <c r="Q334" s="466"/>
      <c r="R334" s="466"/>
      <c r="S334" s="466"/>
      <c r="T334" s="466"/>
      <c r="U334" s="466"/>
      <c r="V334" s="466"/>
    </row>
    <row r="335" spans="2:22" ht="12.75">
      <c r="B335" s="673"/>
      <c r="C335" s="147"/>
      <c r="D335" s="674"/>
      <c r="E335" s="674"/>
      <c r="F335" s="674"/>
      <c r="G335" s="674"/>
      <c r="H335" s="674"/>
      <c r="I335" s="674"/>
      <c r="J335" s="674"/>
      <c r="K335" s="674"/>
      <c r="L335" s="674"/>
      <c r="M335" s="147"/>
      <c r="N335" s="674"/>
      <c r="O335" s="675"/>
      <c r="P335" s="466"/>
      <c r="Q335" s="466"/>
      <c r="R335" s="466"/>
      <c r="S335" s="466"/>
      <c r="T335" s="466"/>
      <c r="U335" s="466"/>
      <c r="V335" s="466"/>
    </row>
    <row r="336" spans="2:22" ht="12.75">
      <c r="B336" s="673"/>
      <c r="C336" s="147"/>
      <c r="D336" s="674"/>
      <c r="E336" s="674"/>
      <c r="F336" s="674"/>
      <c r="G336" s="674"/>
      <c r="H336" s="674"/>
      <c r="I336" s="674"/>
      <c r="J336" s="674"/>
      <c r="K336" s="674"/>
      <c r="L336" s="674"/>
      <c r="M336" s="147"/>
      <c r="N336" s="674"/>
      <c r="O336" s="675"/>
      <c r="P336" s="466"/>
      <c r="Q336" s="466"/>
      <c r="R336" s="466"/>
      <c r="S336" s="466"/>
      <c r="T336" s="466"/>
      <c r="U336" s="466"/>
      <c r="V336" s="466"/>
    </row>
    <row r="337" spans="2:22" ht="12.75">
      <c r="B337" s="673"/>
      <c r="C337" s="147"/>
      <c r="D337" s="674"/>
      <c r="E337" s="674"/>
      <c r="F337" s="674"/>
      <c r="G337" s="674"/>
      <c r="H337" s="674"/>
      <c r="I337" s="674"/>
      <c r="J337" s="674"/>
      <c r="K337" s="674"/>
      <c r="L337" s="674"/>
      <c r="M337" s="147"/>
      <c r="N337" s="674"/>
      <c r="O337" s="675"/>
      <c r="P337" s="466"/>
      <c r="Q337" s="466"/>
      <c r="R337" s="466"/>
      <c r="S337" s="466"/>
      <c r="T337" s="466"/>
      <c r="U337" s="466"/>
      <c r="V337" s="466"/>
    </row>
    <row r="338" spans="2:22" ht="12.75">
      <c r="B338" s="673"/>
      <c r="C338" s="147"/>
      <c r="D338" s="674"/>
      <c r="E338" s="674"/>
      <c r="F338" s="674"/>
      <c r="G338" s="674"/>
      <c r="H338" s="674"/>
      <c r="I338" s="674"/>
      <c r="J338" s="674"/>
      <c r="K338" s="674"/>
      <c r="L338" s="674"/>
      <c r="M338" s="147"/>
      <c r="N338" s="674"/>
      <c r="O338" s="675"/>
      <c r="P338" s="466"/>
      <c r="Q338" s="466"/>
      <c r="R338" s="466"/>
      <c r="S338" s="466"/>
      <c r="T338" s="466"/>
      <c r="U338" s="466"/>
      <c r="V338" s="466"/>
    </row>
    <row r="339" spans="2:22" ht="12.75">
      <c r="B339" s="673"/>
      <c r="C339" s="147"/>
      <c r="D339" s="674"/>
      <c r="E339" s="674"/>
      <c r="F339" s="674"/>
      <c r="G339" s="674"/>
      <c r="H339" s="674"/>
      <c r="I339" s="674"/>
      <c r="J339" s="674"/>
      <c r="K339" s="674"/>
      <c r="L339" s="674"/>
      <c r="M339" s="147"/>
      <c r="N339" s="674"/>
      <c r="O339" s="675"/>
      <c r="P339" s="466"/>
      <c r="Q339" s="466"/>
      <c r="R339" s="466"/>
      <c r="S339" s="466"/>
      <c r="T339" s="466"/>
      <c r="U339" s="466"/>
      <c r="V339" s="466"/>
    </row>
    <row r="340" spans="2:22" ht="12.75">
      <c r="B340" s="673"/>
      <c r="C340" s="147"/>
      <c r="D340" s="674"/>
      <c r="E340" s="674"/>
      <c r="F340" s="674"/>
      <c r="G340" s="674"/>
      <c r="H340" s="674"/>
      <c r="I340" s="674"/>
      <c r="J340" s="674"/>
      <c r="K340" s="674"/>
      <c r="L340" s="674"/>
      <c r="M340" s="147"/>
      <c r="N340" s="674"/>
      <c r="O340" s="675"/>
      <c r="P340" s="466"/>
      <c r="Q340" s="466"/>
      <c r="R340" s="466"/>
      <c r="S340" s="466"/>
      <c r="T340" s="466"/>
      <c r="U340" s="466"/>
      <c r="V340" s="466"/>
    </row>
    <row r="341" spans="2:22" ht="12.75">
      <c r="B341" s="673"/>
      <c r="C341" s="147"/>
      <c r="D341" s="674"/>
      <c r="E341" s="674"/>
      <c r="F341" s="674"/>
      <c r="G341" s="674"/>
      <c r="H341" s="674"/>
      <c r="I341" s="674"/>
      <c r="J341" s="674"/>
      <c r="K341" s="674"/>
      <c r="L341" s="674"/>
      <c r="M341" s="147"/>
      <c r="N341" s="674"/>
      <c r="O341" s="675"/>
      <c r="P341" s="466"/>
      <c r="Q341" s="466"/>
      <c r="R341" s="466"/>
      <c r="S341" s="466"/>
      <c r="T341" s="466"/>
      <c r="U341" s="466"/>
      <c r="V341" s="466"/>
    </row>
    <row r="342" spans="2:22" ht="12.75">
      <c r="B342" s="673"/>
      <c r="C342" s="147"/>
      <c r="D342" s="674"/>
      <c r="E342" s="674"/>
      <c r="F342" s="674"/>
      <c r="G342" s="674"/>
      <c r="H342" s="674"/>
      <c r="I342" s="674"/>
      <c r="J342" s="674"/>
      <c r="K342" s="674"/>
      <c r="L342" s="674"/>
      <c r="M342" s="147"/>
      <c r="N342" s="674"/>
      <c r="O342" s="675"/>
      <c r="P342" s="466"/>
      <c r="Q342" s="466"/>
      <c r="R342" s="466"/>
      <c r="S342" s="466"/>
      <c r="T342" s="466"/>
      <c r="U342" s="466"/>
      <c r="V342" s="466"/>
    </row>
    <row r="343" spans="2:22" ht="12.75">
      <c r="B343" s="673"/>
      <c r="C343" s="147"/>
      <c r="D343" s="674"/>
      <c r="E343" s="674"/>
      <c r="F343" s="674"/>
      <c r="G343" s="674"/>
      <c r="H343" s="674"/>
      <c r="I343" s="674"/>
      <c r="J343" s="674"/>
      <c r="K343" s="674"/>
      <c r="L343" s="674"/>
      <c r="M343" s="147"/>
      <c r="N343" s="674"/>
      <c r="O343" s="675"/>
      <c r="P343" s="466"/>
      <c r="Q343" s="466"/>
      <c r="R343" s="466"/>
      <c r="S343" s="466"/>
      <c r="T343" s="466"/>
      <c r="U343" s="466"/>
      <c r="V343" s="466"/>
    </row>
    <row r="344" spans="2:22" ht="12.75">
      <c r="B344" s="673"/>
      <c r="C344" s="147"/>
      <c r="D344" s="674"/>
      <c r="E344" s="674"/>
      <c r="F344" s="674"/>
      <c r="G344" s="674"/>
      <c r="H344" s="674"/>
      <c r="I344" s="674"/>
      <c r="J344" s="674"/>
      <c r="K344" s="674"/>
      <c r="L344" s="674"/>
      <c r="M344" s="147"/>
      <c r="N344" s="674"/>
      <c r="O344" s="675"/>
      <c r="P344" s="466"/>
      <c r="Q344" s="466"/>
      <c r="R344" s="466"/>
      <c r="S344" s="466"/>
      <c r="T344" s="466"/>
      <c r="U344" s="466"/>
      <c r="V344" s="466"/>
    </row>
    <row r="345" spans="2:22" ht="12.75">
      <c r="B345" s="673"/>
      <c r="C345" s="147"/>
      <c r="D345" s="674"/>
      <c r="E345" s="674"/>
      <c r="F345" s="674"/>
      <c r="G345" s="674"/>
      <c r="H345" s="674"/>
      <c r="I345" s="674"/>
      <c r="J345" s="674"/>
      <c r="K345" s="674"/>
      <c r="L345" s="674"/>
      <c r="M345" s="147"/>
      <c r="N345" s="674"/>
      <c r="O345" s="675"/>
      <c r="P345" s="466"/>
      <c r="Q345" s="466"/>
      <c r="R345" s="466"/>
      <c r="S345" s="466"/>
      <c r="T345" s="466"/>
      <c r="U345" s="466"/>
      <c r="V345" s="466"/>
    </row>
    <row r="346" spans="2:22" ht="12.75">
      <c r="B346" s="673"/>
      <c r="C346" s="147"/>
      <c r="D346" s="674"/>
      <c r="E346" s="674"/>
      <c r="F346" s="674"/>
      <c r="G346" s="674"/>
      <c r="H346" s="674"/>
      <c r="I346" s="674"/>
      <c r="J346" s="674"/>
      <c r="K346" s="674"/>
      <c r="L346" s="674"/>
      <c r="M346" s="147"/>
      <c r="N346" s="674"/>
      <c r="O346" s="675"/>
      <c r="P346" s="466"/>
      <c r="Q346" s="466"/>
      <c r="R346" s="466"/>
      <c r="S346" s="466"/>
      <c r="T346" s="466"/>
      <c r="U346" s="466"/>
      <c r="V346" s="466"/>
    </row>
    <row r="347" spans="2:22" ht="12.75">
      <c r="B347" s="673"/>
      <c r="C347" s="147"/>
      <c r="D347" s="674"/>
      <c r="E347" s="674"/>
      <c r="F347" s="674"/>
      <c r="G347" s="674"/>
      <c r="H347" s="674"/>
      <c r="I347" s="674"/>
      <c r="J347" s="674"/>
      <c r="K347" s="674"/>
      <c r="L347" s="674"/>
      <c r="M347" s="147"/>
      <c r="N347" s="674"/>
      <c r="O347" s="675"/>
      <c r="P347" s="466"/>
      <c r="Q347" s="466"/>
      <c r="R347" s="466"/>
      <c r="S347" s="466"/>
      <c r="T347" s="466"/>
      <c r="U347" s="466"/>
      <c r="V347" s="466"/>
    </row>
    <row r="348" spans="2:22" ht="12.75">
      <c r="B348" s="673"/>
      <c r="C348" s="147"/>
      <c r="D348" s="674"/>
      <c r="E348" s="674"/>
      <c r="F348" s="674"/>
      <c r="G348" s="674"/>
      <c r="H348" s="674"/>
      <c r="I348" s="674"/>
      <c r="J348" s="674"/>
      <c r="K348" s="674"/>
      <c r="L348" s="674"/>
      <c r="M348" s="147"/>
      <c r="N348" s="674"/>
      <c r="O348" s="675"/>
      <c r="P348" s="466"/>
      <c r="Q348" s="466"/>
      <c r="R348" s="466"/>
      <c r="S348" s="466"/>
      <c r="T348" s="466"/>
      <c r="U348" s="466"/>
      <c r="V348" s="466"/>
    </row>
    <row r="349" spans="2:22" ht="12.75">
      <c r="B349" s="673"/>
      <c r="C349" s="147"/>
      <c r="D349" s="674"/>
      <c r="E349" s="674"/>
      <c r="F349" s="674"/>
      <c r="G349" s="674"/>
      <c r="H349" s="674"/>
      <c r="I349" s="674"/>
      <c r="J349" s="674"/>
      <c r="K349" s="674"/>
      <c r="L349" s="674"/>
      <c r="M349" s="147"/>
      <c r="N349" s="674"/>
      <c r="O349" s="675"/>
      <c r="P349" s="466"/>
      <c r="Q349" s="466"/>
      <c r="R349" s="466"/>
      <c r="S349" s="466"/>
      <c r="T349" s="466"/>
      <c r="U349" s="466"/>
      <c r="V349" s="466"/>
    </row>
    <row r="350" spans="2:22" ht="12.75">
      <c r="B350" s="673"/>
      <c r="C350" s="147"/>
      <c r="D350" s="674"/>
      <c r="E350" s="674"/>
      <c r="F350" s="674"/>
      <c r="G350" s="674"/>
      <c r="H350" s="674"/>
      <c r="I350" s="674"/>
      <c r="J350" s="674"/>
      <c r="K350" s="674"/>
      <c r="L350" s="674"/>
      <c r="M350" s="147"/>
      <c r="N350" s="674"/>
      <c r="O350" s="675"/>
      <c r="P350" s="466"/>
      <c r="Q350" s="466"/>
      <c r="R350" s="466"/>
      <c r="S350" s="466"/>
      <c r="T350" s="466"/>
      <c r="U350" s="466"/>
      <c r="V350" s="466"/>
    </row>
    <row r="351" spans="2:22" ht="12.75">
      <c r="B351" s="673"/>
      <c r="C351" s="147"/>
      <c r="D351" s="674"/>
      <c r="E351" s="674"/>
      <c r="F351" s="674"/>
      <c r="G351" s="674"/>
      <c r="H351" s="674"/>
      <c r="I351" s="674"/>
      <c r="J351" s="674"/>
      <c r="K351" s="674"/>
      <c r="L351" s="674"/>
      <c r="M351" s="147"/>
      <c r="N351" s="674"/>
      <c r="O351" s="675"/>
      <c r="P351" s="466"/>
      <c r="Q351" s="466"/>
      <c r="R351" s="466"/>
      <c r="S351" s="466"/>
      <c r="T351" s="466"/>
      <c r="U351" s="466"/>
      <c r="V351" s="466"/>
    </row>
    <row r="352" spans="2:22" ht="12.75">
      <c r="B352" s="673"/>
      <c r="C352" s="147"/>
      <c r="D352" s="674"/>
      <c r="E352" s="674"/>
      <c r="F352" s="674"/>
      <c r="G352" s="674"/>
      <c r="H352" s="674"/>
      <c r="I352" s="674"/>
      <c r="J352" s="674"/>
      <c r="K352" s="674"/>
      <c r="L352" s="674"/>
      <c r="M352" s="147"/>
      <c r="N352" s="674"/>
      <c r="O352" s="675"/>
      <c r="P352" s="466"/>
      <c r="Q352" s="466"/>
      <c r="R352" s="466"/>
      <c r="S352" s="466"/>
      <c r="T352" s="466"/>
      <c r="U352" s="466"/>
      <c r="V352" s="466"/>
    </row>
    <row r="353" spans="2:22" ht="12.75">
      <c r="B353" s="673"/>
      <c r="C353" s="147"/>
      <c r="D353" s="674"/>
      <c r="E353" s="674"/>
      <c r="F353" s="674"/>
      <c r="G353" s="674"/>
      <c r="H353" s="674"/>
      <c r="I353" s="674"/>
      <c r="J353" s="674"/>
      <c r="K353" s="674"/>
      <c r="L353" s="674"/>
      <c r="M353" s="147"/>
      <c r="N353" s="674"/>
      <c r="O353" s="675"/>
      <c r="P353" s="466"/>
      <c r="Q353" s="466"/>
      <c r="R353" s="466"/>
      <c r="S353" s="466"/>
      <c r="T353" s="466"/>
      <c r="U353" s="466"/>
      <c r="V353" s="466"/>
    </row>
    <row r="354" spans="2:22" ht="12.75">
      <c r="B354" s="673"/>
      <c r="C354" s="147"/>
      <c r="D354" s="674"/>
      <c r="E354" s="674"/>
      <c r="F354" s="674"/>
      <c r="G354" s="674"/>
      <c r="H354" s="674"/>
      <c r="I354" s="674"/>
      <c r="J354" s="674"/>
      <c r="K354" s="674"/>
      <c r="L354" s="674"/>
      <c r="M354" s="147"/>
      <c r="N354" s="674"/>
      <c r="O354" s="675"/>
      <c r="P354" s="466"/>
      <c r="Q354" s="466"/>
      <c r="R354" s="466"/>
      <c r="S354" s="466"/>
      <c r="T354" s="466"/>
      <c r="U354" s="466"/>
      <c r="V354" s="466"/>
    </row>
    <row r="355" spans="2:22" ht="12.75">
      <c r="B355" s="673"/>
      <c r="C355" s="147"/>
      <c r="D355" s="674"/>
      <c r="E355" s="674"/>
      <c r="F355" s="674"/>
      <c r="G355" s="674"/>
      <c r="H355" s="674"/>
      <c r="I355" s="674"/>
      <c r="J355" s="674"/>
      <c r="K355" s="674"/>
      <c r="L355" s="674"/>
      <c r="M355" s="147"/>
      <c r="N355" s="674"/>
      <c r="O355" s="675"/>
      <c r="P355" s="466"/>
      <c r="Q355" s="466"/>
      <c r="R355" s="466"/>
      <c r="S355" s="466"/>
      <c r="T355" s="466"/>
      <c r="U355" s="466"/>
      <c r="V355" s="466"/>
    </row>
    <row r="356" spans="2:22" ht="12.75">
      <c r="B356" s="673"/>
      <c r="C356" s="147"/>
      <c r="D356" s="674"/>
      <c r="E356" s="674"/>
      <c r="F356" s="674"/>
      <c r="G356" s="674"/>
      <c r="H356" s="674"/>
      <c r="I356" s="674"/>
      <c r="J356" s="674"/>
      <c r="K356" s="674"/>
      <c r="L356" s="674"/>
      <c r="M356" s="147"/>
      <c r="N356" s="674"/>
      <c r="O356" s="675"/>
      <c r="P356" s="466"/>
      <c r="Q356" s="466"/>
      <c r="R356" s="466"/>
      <c r="S356" s="466"/>
      <c r="T356" s="466"/>
      <c r="U356" s="466"/>
      <c r="V356" s="466"/>
    </row>
    <row r="357" spans="2:22" ht="12.75">
      <c r="B357" s="673"/>
      <c r="C357" s="147"/>
      <c r="D357" s="674"/>
      <c r="E357" s="674"/>
      <c r="F357" s="674"/>
      <c r="G357" s="674"/>
      <c r="H357" s="674"/>
      <c r="I357" s="674"/>
      <c r="J357" s="674"/>
      <c r="K357" s="674"/>
      <c r="L357" s="674"/>
      <c r="M357" s="147"/>
      <c r="N357" s="674"/>
      <c r="O357" s="675"/>
      <c r="P357" s="466"/>
      <c r="Q357" s="466"/>
      <c r="R357" s="466"/>
      <c r="S357" s="466"/>
      <c r="T357" s="466"/>
      <c r="U357" s="466"/>
      <c r="V357" s="466"/>
    </row>
    <row r="358" spans="2:22" ht="12.75">
      <c r="B358" s="673"/>
      <c r="C358" s="147"/>
      <c r="D358" s="674"/>
      <c r="E358" s="674"/>
      <c r="F358" s="674"/>
      <c r="G358" s="674"/>
      <c r="H358" s="674"/>
      <c r="I358" s="674"/>
      <c r="J358" s="674"/>
      <c r="K358" s="674"/>
      <c r="L358" s="674"/>
      <c r="M358" s="147"/>
      <c r="N358" s="674"/>
      <c r="O358" s="675"/>
      <c r="P358" s="466"/>
      <c r="Q358" s="466"/>
      <c r="R358" s="466"/>
      <c r="S358" s="466"/>
      <c r="T358" s="466"/>
      <c r="U358" s="466"/>
      <c r="V358" s="466"/>
    </row>
    <row r="359" spans="2:22" ht="12.75">
      <c r="B359" s="673"/>
      <c r="C359" s="147"/>
      <c r="D359" s="674"/>
      <c r="E359" s="674"/>
      <c r="F359" s="674"/>
      <c r="G359" s="674"/>
      <c r="H359" s="674"/>
      <c r="I359" s="674"/>
      <c r="J359" s="674"/>
      <c r="K359" s="674"/>
      <c r="L359" s="674"/>
      <c r="M359" s="147"/>
      <c r="N359" s="674"/>
      <c r="O359" s="675"/>
      <c r="P359" s="466"/>
      <c r="Q359" s="466"/>
      <c r="R359" s="466"/>
      <c r="S359" s="466"/>
      <c r="T359" s="466"/>
      <c r="U359" s="466"/>
      <c r="V359" s="466"/>
    </row>
    <row r="360" spans="2:22" ht="12.75">
      <c r="B360" s="673"/>
      <c r="C360" s="147"/>
      <c r="D360" s="674"/>
      <c r="E360" s="674"/>
      <c r="F360" s="674"/>
      <c r="G360" s="674"/>
      <c r="H360" s="674"/>
      <c r="I360" s="674"/>
      <c r="J360" s="674"/>
      <c r="K360" s="674"/>
      <c r="L360" s="674"/>
      <c r="M360" s="147"/>
      <c r="N360" s="674"/>
      <c r="O360" s="675"/>
      <c r="P360" s="466"/>
      <c r="Q360" s="466"/>
      <c r="R360" s="466"/>
      <c r="S360" s="466"/>
      <c r="T360" s="466"/>
      <c r="U360" s="466"/>
      <c r="V360" s="466"/>
    </row>
    <row r="361" spans="2:22" ht="12.75">
      <c r="B361" s="673"/>
      <c r="C361" s="147"/>
      <c r="D361" s="674"/>
      <c r="E361" s="674"/>
      <c r="F361" s="674"/>
      <c r="G361" s="674"/>
      <c r="H361" s="674"/>
      <c r="I361" s="674"/>
      <c r="J361" s="674"/>
      <c r="K361" s="674"/>
      <c r="L361" s="674"/>
      <c r="M361" s="147"/>
      <c r="N361" s="674"/>
      <c r="O361" s="675"/>
      <c r="P361" s="466"/>
      <c r="Q361" s="466"/>
      <c r="R361" s="466"/>
      <c r="S361" s="466"/>
      <c r="T361" s="466"/>
      <c r="U361" s="466"/>
      <c r="V361" s="466"/>
    </row>
    <row r="362" spans="2:22" ht="12.75">
      <c r="B362" s="673"/>
      <c r="C362" s="147"/>
      <c r="D362" s="674"/>
      <c r="E362" s="674"/>
      <c r="F362" s="674"/>
      <c r="G362" s="674"/>
      <c r="H362" s="674"/>
      <c r="I362" s="674"/>
      <c r="J362" s="674"/>
      <c r="K362" s="674"/>
      <c r="L362" s="674"/>
      <c r="M362" s="147"/>
      <c r="N362" s="674"/>
      <c r="O362" s="675"/>
      <c r="P362" s="466"/>
      <c r="Q362" s="466"/>
      <c r="R362" s="466"/>
      <c r="S362" s="466"/>
      <c r="T362" s="466"/>
      <c r="U362" s="466"/>
      <c r="V362" s="466"/>
    </row>
    <row r="363" spans="2:22" ht="12.75">
      <c r="B363" s="673"/>
      <c r="C363" s="147"/>
      <c r="D363" s="674"/>
      <c r="E363" s="674"/>
      <c r="F363" s="674"/>
      <c r="G363" s="674"/>
      <c r="H363" s="674"/>
      <c r="I363" s="674"/>
      <c r="J363" s="674"/>
      <c r="K363" s="674"/>
      <c r="L363" s="674"/>
      <c r="M363" s="147"/>
      <c r="N363" s="674"/>
      <c r="O363" s="675"/>
      <c r="P363" s="466"/>
      <c r="Q363" s="466"/>
      <c r="R363" s="466"/>
      <c r="S363" s="466"/>
      <c r="T363" s="466"/>
      <c r="U363" s="466"/>
      <c r="V363" s="466"/>
    </row>
    <row r="364" spans="2:22" ht="12.75">
      <c r="B364" s="673"/>
      <c r="C364" s="147"/>
      <c r="D364" s="674"/>
      <c r="E364" s="674"/>
      <c r="F364" s="674"/>
      <c r="G364" s="674"/>
      <c r="H364" s="674"/>
      <c r="I364" s="674"/>
      <c r="J364" s="674"/>
      <c r="K364" s="674"/>
      <c r="L364" s="674"/>
      <c r="M364" s="147"/>
      <c r="N364" s="674"/>
      <c r="O364" s="675"/>
      <c r="P364" s="466"/>
      <c r="Q364" s="466"/>
      <c r="R364" s="466"/>
      <c r="S364" s="466"/>
      <c r="T364" s="466"/>
      <c r="U364" s="466"/>
      <c r="V364" s="466"/>
    </row>
    <row r="365" spans="2:22" ht="12.75">
      <c r="B365" s="673"/>
      <c r="C365" s="147"/>
      <c r="D365" s="674"/>
      <c r="E365" s="674"/>
      <c r="F365" s="674"/>
      <c r="G365" s="674"/>
      <c r="H365" s="674"/>
      <c r="I365" s="674"/>
      <c r="J365" s="674"/>
      <c r="K365" s="674"/>
      <c r="L365" s="674"/>
      <c r="M365" s="147"/>
      <c r="N365" s="674"/>
      <c r="O365" s="675"/>
      <c r="P365" s="466"/>
      <c r="Q365" s="466"/>
      <c r="R365" s="466"/>
      <c r="S365" s="466"/>
      <c r="T365" s="466"/>
      <c r="U365" s="466"/>
      <c r="V365" s="466"/>
    </row>
    <row r="366" spans="2:22" ht="12.75">
      <c r="B366" s="673"/>
      <c r="C366" s="147"/>
      <c r="D366" s="674"/>
      <c r="E366" s="674"/>
      <c r="F366" s="674"/>
      <c r="G366" s="674"/>
      <c r="H366" s="674"/>
      <c r="I366" s="674"/>
      <c r="J366" s="674"/>
      <c r="K366" s="674"/>
      <c r="L366" s="674"/>
      <c r="M366" s="147"/>
      <c r="N366" s="674"/>
      <c r="O366" s="675"/>
      <c r="P366" s="466"/>
      <c r="Q366" s="466"/>
      <c r="R366" s="466"/>
      <c r="S366" s="466"/>
      <c r="T366" s="466"/>
      <c r="U366" s="466"/>
      <c r="V366" s="466"/>
    </row>
    <row r="367" spans="2:22" ht="12.75">
      <c r="B367" s="673"/>
      <c r="C367" s="147"/>
      <c r="D367" s="674"/>
      <c r="E367" s="674"/>
      <c r="F367" s="674"/>
      <c r="G367" s="674"/>
      <c r="H367" s="674"/>
      <c r="I367" s="674"/>
      <c r="J367" s="674"/>
      <c r="K367" s="674"/>
      <c r="L367" s="674"/>
      <c r="M367" s="147"/>
      <c r="N367" s="674"/>
      <c r="O367" s="675"/>
      <c r="P367" s="466"/>
      <c r="Q367" s="466"/>
      <c r="R367" s="466"/>
      <c r="S367" s="466"/>
      <c r="T367" s="466"/>
      <c r="U367" s="466"/>
      <c r="V367" s="466"/>
    </row>
    <row r="368" spans="2:22" ht="12.75">
      <c r="B368" s="673"/>
      <c r="C368" s="147"/>
      <c r="D368" s="674"/>
      <c r="E368" s="674"/>
      <c r="F368" s="674"/>
      <c r="G368" s="674"/>
      <c r="H368" s="674"/>
      <c r="I368" s="674"/>
      <c r="J368" s="674"/>
      <c r="K368" s="674"/>
      <c r="L368" s="674"/>
      <c r="M368" s="147"/>
      <c r="N368" s="674"/>
      <c r="O368" s="675"/>
      <c r="P368" s="466"/>
      <c r="Q368" s="466"/>
      <c r="R368" s="466"/>
      <c r="S368" s="466"/>
      <c r="T368" s="466"/>
      <c r="U368" s="466"/>
      <c r="V368" s="466"/>
    </row>
    <row r="369" spans="2:22" ht="12.75">
      <c r="B369" s="673"/>
      <c r="C369" s="147"/>
      <c r="D369" s="674"/>
      <c r="E369" s="674"/>
      <c r="F369" s="674"/>
      <c r="G369" s="674"/>
      <c r="H369" s="674"/>
      <c r="I369" s="674"/>
      <c r="J369" s="674"/>
      <c r="K369" s="674"/>
      <c r="L369" s="674"/>
      <c r="M369" s="147"/>
      <c r="N369" s="674"/>
      <c r="O369" s="675"/>
      <c r="P369" s="466"/>
      <c r="Q369" s="466"/>
      <c r="R369" s="466"/>
      <c r="S369" s="466"/>
      <c r="T369" s="466"/>
      <c r="U369" s="466"/>
      <c r="V369" s="466"/>
    </row>
    <row r="370" spans="2:22" ht="12.75">
      <c r="B370" s="673"/>
      <c r="C370" s="147"/>
      <c r="D370" s="674"/>
      <c r="E370" s="674"/>
      <c r="F370" s="674"/>
      <c r="G370" s="674"/>
      <c r="H370" s="674"/>
      <c r="I370" s="674"/>
      <c r="J370" s="674"/>
      <c r="K370" s="674"/>
      <c r="L370" s="674"/>
      <c r="M370" s="147"/>
      <c r="N370" s="674"/>
      <c r="O370" s="675"/>
      <c r="P370" s="466"/>
      <c r="Q370" s="466"/>
      <c r="R370" s="466"/>
      <c r="S370" s="466"/>
      <c r="T370" s="466"/>
      <c r="U370" s="466"/>
      <c r="V370" s="466"/>
    </row>
    <row r="371" spans="2:22" ht="12.75">
      <c r="B371" s="673"/>
      <c r="C371" s="147"/>
      <c r="D371" s="674"/>
      <c r="E371" s="674"/>
      <c r="F371" s="674"/>
      <c r="G371" s="674"/>
      <c r="H371" s="674"/>
      <c r="I371" s="674"/>
      <c r="J371" s="674"/>
      <c r="K371" s="674"/>
      <c r="L371" s="674"/>
      <c r="M371" s="147"/>
      <c r="N371" s="674"/>
      <c r="O371" s="675"/>
      <c r="P371" s="466"/>
      <c r="Q371" s="466"/>
      <c r="R371" s="466"/>
      <c r="S371" s="466"/>
      <c r="T371" s="466"/>
      <c r="U371" s="466"/>
      <c r="V371" s="466"/>
    </row>
    <row r="372" spans="2:22" ht="12.75">
      <c r="B372" s="673"/>
      <c r="C372" s="147"/>
      <c r="D372" s="674"/>
      <c r="E372" s="674"/>
      <c r="F372" s="674"/>
      <c r="G372" s="674"/>
      <c r="H372" s="674"/>
      <c r="I372" s="674"/>
      <c r="J372" s="674"/>
      <c r="K372" s="674"/>
      <c r="L372" s="674"/>
      <c r="M372" s="147"/>
      <c r="N372" s="674"/>
      <c r="O372" s="675"/>
      <c r="P372" s="466"/>
      <c r="Q372" s="466"/>
      <c r="R372" s="466"/>
      <c r="S372" s="466"/>
      <c r="T372" s="466"/>
      <c r="U372" s="466"/>
      <c r="V372" s="466"/>
    </row>
    <row r="373" spans="2:22" ht="12.75">
      <c r="B373" s="673"/>
      <c r="C373" s="147"/>
      <c r="D373" s="674"/>
      <c r="E373" s="674"/>
      <c r="F373" s="674"/>
      <c r="G373" s="674"/>
      <c r="H373" s="674"/>
      <c r="I373" s="674"/>
      <c r="J373" s="674"/>
      <c r="K373" s="674"/>
      <c r="L373" s="674"/>
      <c r="M373" s="147"/>
      <c r="N373" s="674"/>
      <c r="O373" s="675"/>
      <c r="P373" s="466"/>
      <c r="Q373" s="466"/>
      <c r="R373" s="466"/>
      <c r="S373" s="466"/>
      <c r="T373" s="466"/>
      <c r="U373" s="466"/>
      <c r="V373" s="466"/>
    </row>
    <row r="374" spans="2:22" ht="12.75">
      <c r="B374" s="673"/>
      <c r="C374" s="147"/>
      <c r="D374" s="674"/>
      <c r="E374" s="674"/>
      <c r="F374" s="674"/>
      <c r="G374" s="674"/>
      <c r="H374" s="674"/>
      <c r="I374" s="674"/>
      <c r="J374" s="674"/>
      <c r="K374" s="674"/>
      <c r="L374" s="674"/>
      <c r="M374" s="147"/>
      <c r="N374" s="674"/>
      <c r="O374" s="675"/>
      <c r="P374" s="466"/>
      <c r="Q374" s="466"/>
      <c r="R374" s="466"/>
      <c r="S374" s="466"/>
      <c r="T374" s="466"/>
      <c r="U374" s="466"/>
      <c r="V374" s="466"/>
    </row>
    <row r="375" spans="2:22" ht="12.75">
      <c r="B375" s="673"/>
      <c r="C375" s="147"/>
      <c r="D375" s="674"/>
      <c r="E375" s="674"/>
      <c r="F375" s="674"/>
      <c r="G375" s="674"/>
      <c r="H375" s="674"/>
      <c r="I375" s="674"/>
      <c r="J375" s="674"/>
      <c r="K375" s="674"/>
      <c r="L375" s="674"/>
      <c r="M375" s="147"/>
      <c r="N375" s="674"/>
      <c r="O375" s="675"/>
      <c r="P375" s="466"/>
      <c r="Q375" s="466"/>
      <c r="R375" s="466"/>
      <c r="S375" s="466"/>
      <c r="T375" s="466"/>
      <c r="U375" s="466"/>
      <c r="V375" s="466"/>
    </row>
    <row r="376" spans="2:22" ht="12.75">
      <c r="B376" s="673"/>
      <c r="C376" s="147"/>
      <c r="D376" s="674"/>
      <c r="E376" s="674"/>
      <c r="F376" s="674"/>
      <c r="G376" s="674"/>
      <c r="H376" s="674"/>
      <c r="I376" s="674"/>
      <c r="J376" s="674"/>
      <c r="K376" s="674"/>
      <c r="L376" s="674"/>
      <c r="M376" s="147"/>
      <c r="N376" s="674"/>
      <c r="O376" s="675"/>
      <c r="P376" s="466"/>
      <c r="Q376" s="466"/>
      <c r="R376" s="466"/>
      <c r="S376" s="466"/>
      <c r="T376" s="466"/>
      <c r="U376" s="466"/>
      <c r="V376" s="466"/>
    </row>
    <row r="377" spans="2:22" ht="12.75">
      <c r="B377" s="673"/>
      <c r="C377" s="147"/>
      <c r="D377" s="674"/>
      <c r="E377" s="674"/>
      <c r="F377" s="674"/>
      <c r="G377" s="674"/>
      <c r="H377" s="674"/>
      <c r="I377" s="674"/>
      <c r="J377" s="674"/>
      <c r="K377" s="674"/>
      <c r="L377" s="674"/>
      <c r="M377" s="147"/>
      <c r="N377" s="674"/>
      <c r="O377" s="675"/>
      <c r="P377" s="466"/>
      <c r="Q377" s="466"/>
      <c r="R377" s="466"/>
      <c r="S377" s="466"/>
      <c r="T377" s="466"/>
      <c r="U377" s="466"/>
      <c r="V377" s="466"/>
    </row>
    <row r="378" spans="2:22" ht="12.75">
      <c r="B378" s="673"/>
      <c r="C378" s="147"/>
      <c r="D378" s="674"/>
      <c r="E378" s="674"/>
      <c r="F378" s="674"/>
      <c r="G378" s="674"/>
      <c r="H378" s="674"/>
      <c r="I378" s="674"/>
      <c r="J378" s="674"/>
      <c r="K378" s="674"/>
      <c r="L378" s="674"/>
      <c r="M378" s="147"/>
      <c r="N378" s="674"/>
      <c r="O378" s="675"/>
      <c r="P378" s="466"/>
      <c r="Q378" s="466"/>
      <c r="R378" s="466"/>
      <c r="S378" s="466"/>
      <c r="T378" s="466"/>
      <c r="U378" s="466"/>
      <c r="V378" s="466"/>
    </row>
    <row r="379" spans="2:22" ht="12.75">
      <c r="B379" s="673"/>
      <c r="C379" s="147"/>
      <c r="D379" s="674"/>
      <c r="E379" s="674"/>
      <c r="F379" s="674"/>
      <c r="G379" s="674"/>
      <c r="H379" s="674"/>
      <c r="I379" s="674"/>
      <c r="J379" s="674"/>
      <c r="K379" s="674"/>
      <c r="L379" s="674"/>
      <c r="M379" s="147"/>
      <c r="N379" s="674"/>
      <c r="O379" s="675"/>
      <c r="P379" s="466"/>
      <c r="Q379" s="466"/>
      <c r="R379" s="466"/>
      <c r="S379" s="466"/>
      <c r="T379" s="466"/>
      <c r="U379" s="466"/>
      <c r="V379" s="466"/>
    </row>
    <row r="380" spans="2:22" ht="12.75">
      <c r="B380" s="673"/>
      <c r="C380" s="147"/>
      <c r="D380" s="674"/>
      <c r="E380" s="674"/>
      <c r="F380" s="674"/>
      <c r="G380" s="674"/>
      <c r="H380" s="674"/>
      <c r="I380" s="674"/>
      <c r="J380" s="674"/>
      <c r="K380" s="674"/>
      <c r="L380" s="674"/>
      <c r="M380" s="147"/>
      <c r="N380" s="674"/>
      <c r="O380" s="675"/>
      <c r="P380" s="466"/>
      <c r="Q380" s="466"/>
      <c r="R380" s="466"/>
      <c r="S380" s="466"/>
      <c r="T380" s="466"/>
      <c r="U380" s="466"/>
      <c r="V380" s="466"/>
    </row>
    <row r="381" spans="2:22" ht="12.75">
      <c r="B381" s="673"/>
      <c r="C381" s="147"/>
      <c r="D381" s="674"/>
      <c r="E381" s="674"/>
      <c r="F381" s="674"/>
      <c r="G381" s="674"/>
      <c r="H381" s="674"/>
      <c r="I381" s="674"/>
      <c r="J381" s="674"/>
      <c r="K381" s="674"/>
      <c r="L381" s="674"/>
      <c r="M381" s="147"/>
      <c r="N381" s="674"/>
      <c r="O381" s="675"/>
      <c r="P381" s="466"/>
      <c r="Q381" s="466"/>
      <c r="R381" s="466"/>
      <c r="S381" s="466"/>
      <c r="T381" s="466"/>
      <c r="U381" s="466"/>
      <c r="V381" s="466"/>
    </row>
    <row r="382" spans="2:22" ht="12.75">
      <c r="B382" s="673"/>
      <c r="C382" s="147"/>
      <c r="D382" s="674"/>
      <c r="E382" s="674"/>
      <c r="F382" s="674"/>
      <c r="G382" s="674"/>
      <c r="H382" s="674"/>
      <c r="I382" s="674"/>
      <c r="J382" s="674"/>
      <c r="K382" s="674"/>
      <c r="L382" s="674"/>
      <c r="M382" s="147"/>
      <c r="N382" s="674"/>
      <c r="O382" s="675"/>
      <c r="P382" s="466"/>
      <c r="Q382" s="466"/>
      <c r="R382" s="466"/>
      <c r="S382" s="466"/>
      <c r="T382" s="466"/>
      <c r="U382" s="466"/>
      <c r="V382" s="466"/>
    </row>
    <row r="383" spans="2:22" ht="12.75">
      <c r="B383" s="673"/>
      <c r="C383" s="147"/>
      <c r="D383" s="674"/>
      <c r="E383" s="674"/>
      <c r="F383" s="674"/>
      <c r="G383" s="674"/>
      <c r="H383" s="674"/>
      <c r="I383" s="674"/>
      <c r="J383" s="674"/>
      <c r="K383" s="674"/>
      <c r="L383" s="674"/>
      <c r="M383" s="147"/>
      <c r="N383" s="674"/>
      <c r="O383" s="675"/>
      <c r="P383" s="466"/>
      <c r="Q383" s="466"/>
      <c r="R383" s="466"/>
      <c r="S383" s="466"/>
      <c r="T383" s="466"/>
      <c r="U383" s="466"/>
      <c r="V383" s="466"/>
    </row>
    <row r="384" spans="2:22" ht="12.75">
      <c r="B384" s="673"/>
      <c r="C384" s="147"/>
      <c r="D384" s="674"/>
      <c r="E384" s="674"/>
      <c r="F384" s="674"/>
      <c r="G384" s="674"/>
      <c r="H384" s="674"/>
      <c r="I384" s="674"/>
      <c r="J384" s="674"/>
      <c r="K384" s="674"/>
      <c r="L384" s="674"/>
      <c r="M384" s="147"/>
      <c r="N384" s="674"/>
      <c r="O384" s="675"/>
      <c r="P384" s="466"/>
      <c r="Q384" s="466"/>
      <c r="R384" s="466"/>
      <c r="S384" s="466"/>
      <c r="T384" s="466"/>
      <c r="U384" s="466"/>
      <c r="V384" s="466"/>
    </row>
    <row r="385" spans="2:22" ht="12.75">
      <c r="B385" s="673"/>
      <c r="C385" s="147"/>
      <c r="D385" s="674"/>
      <c r="E385" s="674"/>
      <c r="F385" s="674"/>
      <c r="G385" s="674"/>
      <c r="H385" s="674"/>
      <c r="I385" s="674"/>
      <c r="J385" s="674"/>
      <c r="K385" s="674"/>
      <c r="L385" s="674"/>
      <c r="M385" s="147"/>
      <c r="N385" s="674"/>
      <c r="O385" s="675"/>
      <c r="P385" s="466"/>
      <c r="Q385" s="466"/>
      <c r="R385" s="466"/>
      <c r="S385" s="466"/>
      <c r="T385" s="466"/>
      <c r="U385" s="466"/>
      <c r="V385" s="466"/>
    </row>
    <row r="386" spans="2:22" ht="12.75">
      <c r="B386" s="673"/>
      <c r="C386" s="147"/>
      <c r="D386" s="674"/>
      <c r="E386" s="674"/>
      <c r="F386" s="674"/>
      <c r="G386" s="674"/>
      <c r="H386" s="674"/>
      <c r="I386" s="674"/>
      <c r="J386" s="674"/>
      <c r="K386" s="674"/>
      <c r="L386" s="674"/>
      <c r="M386" s="147"/>
      <c r="N386" s="674"/>
      <c r="O386" s="675"/>
      <c r="P386" s="466"/>
      <c r="Q386" s="466"/>
      <c r="R386" s="466"/>
      <c r="S386" s="466"/>
      <c r="T386" s="466"/>
      <c r="U386" s="466"/>
      <c r="V386" s="466"/>
    </row>
    <row r="387" spans="2:22" ht="12.75">
      <c r="B387" s="673"/>
      <c r="C387" s="147"/>
      <c r="D387" s="674"/>
      <c r="E387" s="674"/>
      <c r="F387" s="674"/>
      <c r="G387" s="674"/>
      <c r="H387" s="674"/>
      <c r="I387" s="674"/>
      <c r="J387" s="674"/>
      <c r="K387" s="674"/>
      <c r="L387" s="674"/>
      <c r="M387" s="147"/>
      <c r="N387" s="674"/>
      <c r="O387" s="675"/>
      <c r="P387" s="466"/>
      <c r="Q387" s="466"/>
      <c r="R387" s="466"/>
      <c r="S387" s="466"/>
      <c r="T387" s="466"/>
      <c r="U387" s="466"/>
      <c r="V387" s="466"/>
    </row>
    <row r="388" spans="2:22" ht="12.75">
      <c r="B388" s="673"/>
      <c r="C388" s="147"/>
      <c r="D388" s="674"/>
      <c r="E388" s="674"/>
      <c r="F388" s="674"/>
      <c r="G388" s="674"/>
      <c r="H388" s="674"/>
      <c r="I388" s="674"/>
      <c r="J388" s="674"/>
      <c r="K388" s="674"/>
      <c r="L388" s="674"/>
      <c r="M388" s="147"/>
      <c r="N388" s="674"/>
      <c r="O388" s="675"/>
      <c r="P388" s="466"/>
      <c r="Q388" s="466"/>
      <c r="R388" s="466"/>
      <c r="S388" s="466"/>
      <c r="T388" s="466"/>
      <c r="U388" s="466"/>
      <c r="V388" s="466"/>
    </row>
    <row r="389" spans="2:22" ht="12.75">
      <c r="B389" s="673"/>
      <c r="C389" s="147"/>
      <c r="D389" s="674"/>
      <c r="E389" s="674"/>
      <c r="F389" s="674"/>
      <c r="G389" s="674"/>
      <c r="H389" s="674"/>
      <c r="I389" s="674"/>
      <c r="J389" s="674"/>
      <c r="K389" s="674"/>
      <c r="L389" s="674"/>
      <c r="M389" s="147"/>
      <c r="N389" s="674"/>
      <c r="O389" s="675"/>
      <c r="P389" s="466"/>
      <c r="Q389" s="466"/>
      <c r="R389" s="466"/>
      <c r="S389" s="466"/>
      <c r="T389" s="466"/>
      <c r="U389" s="466"/>
      <c r="V389" s="466"/>
    </row>
    <row r="390" spans="2:22" ht="12.75">
      <c r="B390" s="673"/>
      <c r="C390" s="147"/>
      <c r="D390" s="674"/>
      <c r="E390" s="674"/>
      <c r="F390" s="674"/>
      <c r="G390" s="674"/>
      <c r="H390" s="674"/>
      <c r="I390" s="674"/>
      <c r="J390" s="674"/>
      <c r="K390" s="674"/>
      <c r="L390" s="674"/>
      <c r="M390" s="147"/>
      <c r="N390" s="674"/>
      <c r="O390" s="675"/>
      <c r="P390" s="466"/>
      <c r="Q390" s="466"/>
      <c r="R390" s="466"/>
      <c r="S390" s="466"/>
      <c r="T390" s="466"/>
      <c r="U390" s="466"/>
      <c r="V390" s="466"/>
    </row>
    <row r="391" spans="2:22" ht="12.75">
      <c r="B391" s="673"/>
      <c r="C391" s="147"/>
      <c r="D391" s="674"/>
      <c r="E391" s="674"/>
      <c r="F391" s="674"/>
      <c r="G391" s="674"/>
      <c r="H391" s="674"/>
      <c r="I391" s="674"/>
      <c r="J391" s="674"/>
      <c r="K391" s="674"/>
      <c r="L391" s="674"/>
      <c r="M391" s="147"/>
      <c r="N391" s="674"/>
      <c r="O391" s="675"/>
      <c r="P391" s="466"/>
      <c r="Q391" s="466"/>
      <c r="R391" s="466"/>
      <c r="S391" s="466"/>
      <c r="T391" s="466"/>
      <c r="U391" s="466"/>
      <c r="V391" s="466"/>
    </row>
    <row r="392" spans="2:22" ht="12.75">
      <c r="B392" s="673"/>
      <c r="C392" s="147"/>
      <c r="D392" s="674"/>
      <c r="E392" s="674"/>
      <c r="F392" s="674"/>
      <c r="G392" s="674"/>
      <c r="H392" s="674"/>
      <c r="I392" s="674"/>
      <c r="J392" s="674"/>
      <c r="K392" s="674"/>
      <c r="L392" s="674"/>
      <c r="M392" s="147"/>
      <c r="N392" s="674"/>
      <c r="O392" s="675"/>
      <c r="P392" s="466"/>
      <c r="Q392" s="466"/>
      <c r="R392" s="466"/>
      <c r="S392" s="466"/>
      <c r="T392" s="466"/>
      <c r="U392" s="466"/>
      <c r="V392" s="466"/>
    </row>
    <row r="393" spans="2:22" ht="12.75">
      <c r="B393" s="673"/>
      <c r="C393" s="147"/>
      <c r="D393" s="674"/>
      <c r="E393" s="674"/>
      <c r="F393" s="674"/>
      <c r="G393" s="674"/>
      <c r="H393" s="674"/>
      <c r="I393" s="674"/>
      <c r="J393" s="674"/>
      <c r="K393" s="674"/>
      <c r="L393" s="674"/>
      <c r="M393" s="147"/>
      <c r="N393" s="674"/>
      <c r="O393" s="675"/>
      <c r="P393" s="466"/>
      <c r="Q393" s="466"/>
      <c r="R393" s="466"/>
      <c r="S393" s="466"/>
      <c r="T393" s="466"/>
      <c r="U393" s="466"/>
      <c r="V393" s="466"/>
    </row>
    <row r="394" spans="2:22" ht="12.75">
      <c r="B394" s="673"/>
      <c r="C394" s="147"/>
      <c r="D394" s="674"/>
      <c r="E394" s="674"/>
      <c r="F394" s="674"/>
      <c r="G394" s="674"/>
      <c r="H394" s="674"/>
      <c r="I394" s="674"/>
      <c r="J394" s="674"/>
      <c r="K394" s="674"/>
      <c r="L394" s="674"/>
      <c r="M394" s="147"/>
      <c r="N394" s="674"/>
      <c r="O394" s="675"/>
      <c r="P394" s="466"/>
      <c r="Q394" s="466"/>
      <c r="R394" s="466"/>
      <c r="S394" s="466"/>
      <c r="T394" s="466"/>
      <c r="U394" s="466"/>
      <c r="V394" s="466"/>
    </row>
    <row r="395" spans="2:22" ht="12.75">
      <c r="B395" s="673"/>
      <c r="C395" s="147"/>
      <c r="D395" s="674"/>
      <c r="E395" s="674"/>
      <c r="F395" s="674"/>
      <c r="G395" s="674"/>
      <c r="H395" s="674"/>
      <c r="I395" s="674"/>
      <c r="J395" s="674"/>
      <c r="K395" s="674"/>
      <c r="L395" s="674"/>
      <c r="M395" s="147"/>
      <c r="N395" s="674"/>
      <c r="O395" s="675"/>
      <c r="P395" s="466"/>
      <c r="Q395" s="466"/>
      <c r="R395" s="466"/>
      <c r="S395" s="466"/>
      <c r="T395" s="466"/>
      <c r="U395" s="466"/>
      <c r="V395" s="466"/>
    </row>
    <row r="396" spans="2:22" ht="12.75">
      <c r="B396" s="673"/>
      <c r="C396" s="147"/>
      <c r="D396" s="674"/>
      <c r="E396" s="674"/>
      <c r="F396" s="674"/>
      <c r="G396" s="674"/>
      <c r="H396" s="674"/>
      <c r="I396" s="674"/>
      <c r="J396" s="674"/>
      <c r="K396" s="674"/>
      <c r="L396" s="674"/>
      <c r="M396" s="147"/>
      <c r="N396" s="674"/>
      <c r="O396" s="675"/>
      <c r="P396" s="466"/>
      <c r="Q396" s="466"/>
      <c r="R396" s="466"/>
      <c r="S396" s="466"/>
      <c r="T396" s="466"/>
      <c r="U396" s="466"/>
      <c r="V396" s="466"/>
    </row>
    <row r="397" spans="2:22" ht="12.75">
      <c r="B397" s="673"/>
      <c r="C397" s="147"/>
      <c r="D397" s="674"/>
      <c r="E397" s="674"/>
      <c r="F397" s="674"/>
      <c r="G397" s="674"/>
      <c r="H397" s="674"/>
      <c r="I397" s="674"/>
      <c r="J397" s="674"/>
      <c r="K397" s="674"/>
      <c r="L397" s="674"/>
      <c r="M397" s="147"/>
      <c r="N397" s="674"/>
      <c r="O397" s="675"/>
      <c r="P397" s="466"/>
      <c r="Q397" s="466"/>
      <c r="R397" s="466"/>
      <c r="S397" s="466"/>
      <c r="T397" s="466"/>
      <c r="U397" s="466"/>
      <c r="V397" s="466"/>
    </row>
    <row r="398" spans="2:22" ht="12.75">
      <c r="B398" s="673"/>
      <c r="C398" s="147"/>
      <c r="D398" s="674"/>
      <c r="E398" s="674"/>
      <c r="F398" s="674"/>
      <c r="G398" s="674"/>
      <c r="H398" s="674"/>
      <c r="I398" s="674"/>
      <c r="J398" s="674"/>
      <c r="K398" s="674"/>
      <c r="L398" s="674"/>
      <c r="M398" s="147"/>
      <c r="N398" s="674"/>
      <c r="O398" s="675"/>
      <c r="P398" s="466"/>
      <c r="Q398" s="466"/>
      <c r="R398" s="466"/>
      <c r="S398" s="466"/>
      <c r="T398" s="466"/>
      <c r="U398" s="466"/>
      <c r="V398" s="466"/>
    </row>
    <row r="399" spans="2:22" ht="12.75">
      <c r="B399" s="673"/>
      <c r="C399" s="147"/>
      <c r="D399" s="674"/>
      <c r="E399" s="674"/>
      <c r="F399" s="674"/>
      <c r="G399" s="674"/>
      <c r="H399" s="674"/>
      <c r="I399" s="674"/>
      <c r="J399" s="674"/>
      <c r="K399" s="674"/>
      <c r="L399" s="674"/>
      <c r="M399" s="147"/>
      <c r="N399" s="674"/>
      <c r="O399" s="675"/>
      <c r="P399" s="466"/>
      <c r="Q399" s="466"/>
      <c r="R399" s="466"/>
      <c r="S399" s="466"/>
      <c r="T399" s="466"/>
      <c r="U399" s="466"/>
      <c r="V399" s="466"/>
    </row>
    <row r="400" spans="2:22" ht="12.75">
      <c r="B400" s="673"/>
      <c r="C400" s="147"/>
      <c r="D400" s="674"/>
      <c r="E400" s="674"/>
      <c r="F400" s="674"/>
      <c r="G400" s="674"/>
      <c r="H400" s="674"/>
      <c r="I400" s="674"/>
      <c r="J400" s="674"/>
      <c r="K400" s="674"/>
      <c r="L400" s="674"/>
      <c r="M400" s="147"/>
      <c r="N400" s="674"/>
      <c r="O400" s="675"/>
      <c r="P400" s="466"/>
      <c r="Q400" s="466"/>
      <c r="R400" s="466"/>
      <c r="S400" s="466"/>
      <c r="T400" s="466"/>
      <c r="U400" s="466"/>
      <c r="V400" s="466"/>
    </row>
    <row r="401" spans="2:22" ht="12.75">
      <c r="B401" s="673"/>
      <c r="C401" s="147"/>
      <c r="D401" s="674"/>
      <c r="E401" s="674"/>
      <c r="F401" s="674"/>
      <c r="G401" s="674"/>
      <c r="H401" s="674"/>
      <c r="I401" s="674"/>
      <c r="J401" s="674"/>
      <c r="K401" s="674"/>
      <c r="L401" s="674"/>
      <c r="M401" s="147"/>
      <c r="N401" s="674"/>
      <c r="O401" s="675"/>
      <c r="P401" s="466"/>
      <c r="Q401" s="466"/>
      <c r="R401" s="466"/>
      <c r="S401" s="466"/>
      <c r="T401" s="466"/>
      <c r="U401" s="466"/>
      <c r="V401" s="466"/>
    </row>
    <row r="402" spans="2:22" ht="12.75">
      <c r="B402" s="673"/>
      <c r="C402" s="147"/>
      <c r="D402" s="674"/>
      <c r="E402" s="674"/>
      <c r="F402" s="674"/>
      <c r="G402" s="674"/>
      <c r="H402" s="674"/>
      <c r="I402" s="674"/>
      <c r="J402" s="674"/>
      <c r="K402" s="674"/>
      <c r="L402" s="674"/>
      <c r="M402" s="147"/>
      <c r="N402" s="674"/>
      <c r="O402" s="675"/>
      <c r="P402" s="466"/>
      <c r="Q402" s="466"/>
      <c r="R402" s="466"/>
      <c r="S402" s="466"/>
      <c r="T402" s="466"/>
      <c r="U402" s="466"/>
      <c r="V402" s="466"/>
    </row>
    <row r="403" spans="2:22" ht="12.75">
      <c r="B403" s="673"/>
      <c r="C403" s="147"/>
      <c r="D403" s="674"/>
      <c r="E403" s="674"/>
      <c r="F403" s="674"/>
      <c r="G403" s="674"/>
      <c r="H403" s="674"/>
      <c r="I403" s="674"/>
      <c r="J403" s="674"/>
      <c r="K403" s="674"/>
      <c r="L403" s="674"/>
      <c r="M403" s="147"/>
      <c r="N403" s="674"/>
      <c r="O403" s="675"/>
      <c r="P403" s="466"/>
      <c r="Q403" s="466"/>
      <c r="R403" s="466"/>
      <c r="S403" s="466"/>
      <c r="T403" s="466"/>
      <c r="U403" s="466"/>
      <c r="V403" s="466"/>
    </row>
    <row r="404" spans="2:22" ht="12.75">
      <c r="B404" s="673"/>
      <c r="C404" s="147"/>
      <c r="D404" s="674"/>
      <c r="E404" s="674"/>
      <c r="F404" s="674"/>
      <c r="G404" s="674"/>
      <c r="H404" s="674"/>
      <c r="I404" s="674"/>
      <c r="J404" s="674"/>
      <c r="K404" s="674"/>
      <c r="L404" s="674"/>
      <c r="M404" s="147"/>
      <c r="N404" s="674"/>
      <c r="O404" s="675"/>
      <c r="P404" s="466"/>
      <c r="Q404" s="466"/>
      <c r="R404" s="466"/>
      <c r="S404" s="466"/>
      <c r="T404" s="466"/>
      <c r="U404" s="466"/>
      <c r="V404" s="466"/>
    </row>
    <row r="405" spans="2:22" ht="12.75">
      <c r="B405" s="673"/>
      <c r="C405" s="147"/>
      <c r="D405" s="674"/>
      <c r="E405" s="674"/>
      <c r="F405" s="674"/>
      <c r="G405" s="674"/>
      <c r="H405" s="674"/>
      <c r="I405" s="674"/>
      <c r="J405" s="674"/>
      <c r="K405" s="674"/>
      <c r="L405" s="674"/>
      <c r="M405" s="147"/>
      <c r="N405" s="674"/>
      <c r="O405" s="675"/>
      <c r="P405" s="466"/>
      <c r="Q405" s="466"/>
      <c r="R405" s="466"/>
      <c r="S405" s="466"/>
      <c r="T405" s="466"/>
      <c r="U405" s="466"/>
      <c r="V405" s="466"/>
    </row>
    <row r="406" spans="2:22" ht="12.75">
      <c r="B406" s="673"/>
      <c r="C406" s="147"/>
      <c r="D406" s="674"/>
      <c r="E406" s="674"/>
      <c r="F406" s="674"/>
      <c r="G406" s="674"/>
      <c r="H406" s="674"/>
      <c r="I406" s="674"/>
      <c r="J406" s="674"/>
      <c r="K406" s="674"/>
      <c r="L406" s="674"/>
      <c r="M406" s="147"/>
      <c r="N406" s="674"/>
      <c r="O406" s="675"/>
      <c r="P406" s="466"/>
      <c r="Q406" s="466"/>
      <c r="R406" s="466"/>
      <c r="S406" s="466"/>
      <c r="T406" s="466"/>
      <c r="U406" s="466"/>
      <c r="V406" s="466"/>
    </row>
    <row r="407" spans="2:22" ht="12.75">
      <c r="B407" s="673"/>
      <c r="C407" s="147"/>
      <c r="D407" s="674"/>
      <c r="E407" s="674"/>
      <c r="F407" s="674"/>
      <c r="G407" s="674"/>
      <c r="H407" s="674"/>
      <c r="I407" s="674"/>
      <c r="J407" s="674"/>
      <c r="K407" s="674"/>
      <c r="L407" s="674"/>
      <c r="M407" s="147"/>
      <c r="N407" s="674"/>
      <c r="O407" s="675"/>
      <c r="P407" s="466"/>
      <c r="Q407" s="466"/>
      <c r="R407" s="466"/>
      <c r="S407" s="466"/>
      <c r="T407" s="466"/>
      <c r="U407" s="466"/>
      <c r="V407" s="466"/>
    </row>
    <row r="408" spans="2:22" ht="12.75">
      <c r="B408" s="673"/>
      <c r="C408" s="147"/>
      <c r="D408" s="674"/>
      <c r="E408" s="674"/>
      <c r="F408" s="674"/>
      <c r="G408" s="674"/>
      <c r="H408" s="674"/>
      <c r="I408" s="674"/>
      <c r="J408" s="674"/>
      <c r="K408" s="674"/>
      <c r="L408" s="674"/>
      <c r="M408" s="147"/>
      <c r="N408" s="674"/>
      <c r="O408" s="675"/>
      <c r="P408" s="466"/>
      <c r="Q408" s="466"/>
      <c r="R408" s="466"/>
      <c r="S408" s="466"/>
      <c r="T408" s="466"/>
      <c r="U408" s="466"/>
      <c r="V408" s="466"/>
    </row>
    <row r="409" spans="2:22" ht="12.75">
      <c r="B409" s="673"/>
      <c r="C409" s="147"/>
      <c r="D409" s="674"/>
      <c r="E409" s="674"/>
      <c r="F409" s="674"/>
      <c r="G409" s="674"/>
      <c r="H409" s="674"/>
      <c r="I409" s="674"/>
      <c r="J409" s="674"/>
      <c r="K409" s="674"/>
      <c r="L409" s="674"/>
      <c r="M409" s="147"/>
      <c r="N409" s="674"/>
      <c r="O409" s="675"/>
      <c r="P409" s="466"/>
      <c r="Q409" s="466"/>
      <c r="R409" s="466"/>
      <c r="S409" s="466"/>
      <c r="T409" s="466"/>
      <c r="U409" s="466"/>
      <c r="V409" s="466"/>
    </row>
    <row r="410" spans="2:22" ht="12.75">
      <c r="B410" s="673"/>
      <c r="C410" s="147"/>
      <c r="D410" s="674"/>
      <c r="E410" s="674"/>
      <c r="F410" s="674"/>
      <c r="G410" s="674"/>
      <c r="H410" s="674"/>
      <c r="I410" s="674"/>
      <c r="J410" s="674"/>
      <c r="K410" s="674"/>
      <c r="L410" s="674"/>
      <c r="M410" s="147"/>
      <c r="N410" s="674"/>
      <c r="O410" s="675"/>
      <c r="P410" s="466"/>
      <c r="Q410" s="466"/>
      <c r="R410" s="466"/>
      <c r="S410" s="466"/>
      <c r="T410" s="466"/>
      <c r="U410" s="466"/>
      <c r="V410" s="466"/>
    </row>
    <row r="411" spans="2:22" ht="12.75">
      <c r="B411" s="673"/>
      <c r="C411" s="147"/>
      <c r="D411" s="674"/>
      <c r="E411" s="674"/>
      <c r="F411" s="674"/>
      <c r="G411" s="674"/>
      <c r="H411" s="674"/>
      <c r="I411" s="674"/>
      <c r="J411" s="674"/>
      <c r="K411" s="674"/>
      <c r="L411" s="674"/>
      <c r="M411" s="147"/>
      <c r="N411" s="674"/>
      <c r="O411" s="675"/>
      <c r="P411" s="466"/>
      <c r="Q411" s="466"/>
      <c r="R411" s="466"/>
      <c r="S411" s="466"/>
      <c r="T411" s="466"/>
      <c r="U411" s="466"/>
      <c r="V411" s="466"/>
    </row>
    <row r="412" spans="2:22" ht="12.75">
      <c r="B412" s="673"/>
      <c r="C412" s="147"/>
      <c r="D412" s="674"/>
      <c r="E412" s="674"/>
      <c r="F412" s="674"/>
      <c r="G412" s="674"/>
      <c r="H412" s="674"/>
      <c r="I412" s="674"/>
      <c r="J412" s="674"/>
      <c r="K412" s="674"/>
      <c r="L412" s="674"/>
      <c r="M412" s="147"/>
      <c r="N412" s="674"/>
      <c r="O412" s="675"/>
      <c r="P412" s="466"/>
      <c r="Q412" s="466"/>
      <c r="R412" s="466"/>
      <c r="S412" s="466"/>
      <c r="T412" s="466"/>
      <c r="U412" s="466"/>
      <c r="V412" s="466"/>
    </row>
    <row r="413" spans="2:22" ht="12.75">
      <c r="B413" s="673"/>
      <c r="C413" s="147"/>
      <c r="D413" s="674"/>
      <c r="E413" s="674"/>
      <c r="F413" s="674"/>
      <c r="G413" s="674"/>
      <c r="H413" s="674"/>
      <c r="I413" s="674"/>
      <c r="J413" s="674"/>
      <c r="K413" s="674"/>
      <c r="L413" s="674"/>
      <c r="M413" s="147"/>
      <c r="N413" s="674"/>
      <c r="O413" s="675"/>
      <c r="P413" s="466"/>
      <c r="Q413" s="466"/>
      <c r="R413" s="466"/>
      <c r="S413" s="466"/>
      <c r="T413" s="466"/>
      <c r="U413" s="466"/>
      <c r="V413" s="466"/>
    </row>
    <row r="414" spans="2:22" ht="12.75">
      <c r="B414" s="673"/>
      <c r="C414" s="147"/>
      <c r="D414" s="674"/>
      <c r="E414" s="674"/>
      <c r="F414" s="674"/>
      <c r="G414" s="674"/>
      <c r="H414" s="674"/>
      <c r="I414" s="674"/>
      <c r="J414" s="674"/>
      <c r="K414" s="674"/>
      <c r="L414" s="674"/>
      <c r="M414" s="147"/>
      <c r="N414" s="674"/>
      <c r="O414" s="675"/>
      <c r="P414" s="466"/>
      <c r="Q414" s="466"/>
      <c r="R414" s="466"/>
      <c r="S414" s="466"/>
      <c r="T414" s="466"/>
      <c r="U414" s="466"/>
      <c r="V414" s="466"/>
    </row>
    <row r="415" spans="2:22" ht="12.75">
      <c r="B415" s="673"/>
      <c r="C415" s="147"/>
      <c r="D415" s="674"/>
      <c r="E415" s="674"/>
      <c r="F415" s="674"/>
      <c r="G415" s="674"/>
      <c r="H415" s="674"/>
      <c r="I415" s="674"/>
      <c r="J415" s="674"/>
      <c r="K415" s="674"/>
      <c r="L415" s="674"/>
      <c r="M415" s="147"/>
      <c r="N415" s="674"/>
      <c r="O415" s="675"/>
      <c r="P415" s="466"/>
      <c r="Q415" s="466"/>
      <c r="R415" s="466"/>
      <c r="S415" s="466"/>
      <c r="T415" s="466"/>
      <c r="U415" s="466"/>
      <c r="V415" s="466"/>
    </row>
    <row r="416" spans="2:22" ht="12.75">
      <c r="B416" s="673"/>
      <c r="C416" s="147"/>
      <c r="D416" s="674"/>
      <c r="E416" s="674"/>
      <c r="F416" s="674"/>
      <c r="G416" s="674"/>
      <c r="H416" s="674"/>
      <c r="I416" s="674"/>
      <c r="J416" s="674"/>
      <c r="K416" s="674"/>
      <c r="L416" s="674"/>
      <c r="M416" s="147"/>
      <c r="N416" s="674"/>
      <c r="O416" s="675"/>
      <c r="P416" s="466"/>
      <c r="Q416" s="466"/>
      <c r="R416" s="466"/>
      <c r="S416" s="466"/>
      <c r="T416" s="466"/>
      <c r="U416" s="466"/>
      <c r="V416" s="466"/>
    </row>
    <row r="417" spans="2:22" ht="12.75">
      <c r="B417" s="673"/>
      <c r="C417" s="147"/>
      <c r="D417" s="674"/>
      <c r="E417" s="674"/>
      <c r="F417" s="674"/>
      <c r="G417" s="674"/>
      <c r="H417" s="674"/>
      <c r="I417" s="674"/>
      <c r="J417" s="674"/>
      <c r="K417" s="674"/>
      <c r="L417" s="674"/>
      <c r="M417" s="147"/>
      <c r="N417" s="674"/>
      <c r="O417" s="675"/>
      <c r="P417" s="466"/>
      <c r="Q417" s="466"/>
      <c r="R417" s="466"/>
      <c r="S417" s="466"/>
      <c r="T417" s="466"/>
      <c r="U417" s="466"/>
      <c r="V417" s="466"/>
    </row>
    <row r="418" spans="2:22" ht="12.75">
      <c r="B418" s="673"/>
      <c r="C418" s="147"/>
      <c r="D418" s="674"/>
      <c r="E418" s="674"/>
      <c r="F418" s="674"/>
      <c r="G418" s="674"/>
      <c r="H418" s="674"/>
      <c r="I418" s="674"/>
      <c r="J418" s="674"/>
      <c r="K418" s="674"/>
      <c r="L418" s="674"/>
      <c r="M418" s="147"/>
      <c r="N418" s="674"/>
      <c r="O418" s="675"/>
      <c r="P418" s="466"/>
      <c r="Q418" s="466"/>
      <c r="R418" s="466"/>
      <c r="S418" s="466"/>
      <c r="T418" s="466"/>
      <c r="U418" s="466"/>
      <c r="V418" s="466"/>
    </row>
    <row r="419" spans="2:22" ht="12.75">
      <c r="B419" s="673"/>
      <c r="C419" s="147"/>
      <c r="D419" s="674"/>
      <c r="E419" s="674"/>
      <c r="F419" s="674"/>
      <c r="G419" s="674"/>
      <c r="H419" s="674"/>
      <c r="I419" s="674"/>
      <c r="J419" s="674"/>
      <c r="K419" s="674"/>
      <c r="L419" s="674"/>
      <c r="M419" s="147"/>
      <c r="N419" s="674"/>
      <c r="O419" s="675"/>
      <c r="P419" s="466"/>
      <c r="Q419" s="466"/>
      <c r="R419" s="466"/>
      <c r="S419" s="466"/>
      <c r="T419" s="466"/>
      <c r="U419" s="466"/>
      <c r="V419" s="466"/>
    </row>
    <row r="420" spans="2:22" ht="12.75">
      <c r="B420" s="673"/>
      <c r="C420" s="147"/>
      <c r="D420" s="674"/>
      <c r="E420" s="674"/>
      <c r="F420" s="674"/>
      <c r="G420" s="674"/>
      <c r="H420" s="674"/>
      <c r="I420" s="674"/>
      <c r="J420" s="674"/>
      <c r="K420" s="674"/>
      <c r="L420" s="674"/>
      <c r="M420" s="147"/>
      <c r="N420" s="674"/>
      <c r="O420" s="675"/>
      <c r="P420" s="466"/>
      <c r="Q420" s="466"/>
      <c r="R420" s="466"/>
      <c r="S420" s="466"/>
      <c r="T420" s="466"/>
      <c r="U420" s="466"/>
      <c r="V420" s="466"/>
    </row>
    <row r="421" spans="2:22" ht="12.75">
      <c r="B421" s="673"/>
      <c r="C421" s="147"/>
      <c r="D421" s="674"/>
      <c r="E421" s="674"/>
      <c r="F421" s="674"/>
      <c r="G421" s="674"/>
      <c r="H421" s="674"/>
      <c r="I421" s="674"/>
      <c r="J421" s="674"/>
      <c r="K421" s="674"/>
      <c r="L421" s="674"/>
      <c r="M421" s="147"/>
      <c r="N421" s="674"/>
      <c r="O421" s="675"/>
      <c r="P421" s="466"/>
      <c r="Q421" s="466"/>
      <c r="R421" s="466"/>
      <c r="S421" s="466"/>
      <c r="T421" s="466"/>
      <c r="U421" s="466"/>
      <c r="V421" s="466"/>
    </row>
    <row r="422" spans="2:22" ht="12.75">
      <c r="B422" s="673"/>
      <c r="C422" s="147"/>
      <c r="D422" s="674"/>
      <c r="E422" s="674"/>
      <c r="F422" s="674"/>
      <c r="G422" s="674"/>
      <c r="H422" s="674"/>
      <c r="I422" s="674"/>
      <c r="J422" s="674"/>
      <c r="K422" s="674"/>
      <c r="L422" s="674"/>
      <c r="M422" s="147"/>
      <c r="N422" s="674"/>
      <c r="O422" s="675"/>
      <c r="P422" s="466"/>
      <c r="Q422" s="466"/>
      <c r="R422" s="466"/>
      <c r="S422" s="466"/>
      <c r="T422" s="466"/>
      <c r="U422" s="466"/>
      <c r="V422" s="466"/>
    </row>
    <row r="423" spans="2:22" ht="12.75">
      <c r="B423" s="673"/>
      <c r="C423" s="147"/>
      <c r="D423" s="674"/>
      <c r="E423" s="674"/>
      <c r="F423" s="674"/>
      <c r="G423" s="674"/>
      <c r="H423" s="674"/>
      <c r="I423" s="674"/>
      <c r="J423" s="674"/>
      <c r="K423" s="674"/>
      <c r="L423" s="674"/>
      <c r="M423" s="147"/>
      <c r="N423" s="674"/>
      <c r="O423" s="675"/>
      <c r="P423" s="466"/>
      <c r="Q423" s="466"/>
      <c r="R423" s="466"/>
      <c r="S423" s="466"/>
      <c r="T423" s="466"/>
      <c r="U423" s="466"/>
      <c r="V423" s="466"/>
    </row>
    <row r="424" spans="2:22" ht="12.75">
      <c r="B424" s="673"/>
      <c r="C424" s="147"/>
      <c r="D424" s="674"/>
      <c r="E424" s="674"/>
      <c r="F424" s="674"/>
      <c r="G424" s="674"/>
      <c r="H424" s="674"/>
      <c r="I424" s="674"/>
      <c r="J424" s="674"/>
      <c r="K424" s="674"/>
      <c r="L424" s="674"/>
      <c r="M424" s="147"/>
      <c r="N424" s="674"/>
      <c r="O424" s="675"/>
      <c r="P424" s="466"/>
      <c r="Q424" s="466"/>
      <c r="R424" s="466"/>
      <c r="S424" s="466"/>
      <c r="T424" s="466"/>
      <c r="U424" s="466"/>
      <c r="V424" s="466"/>
    </row>
    <row r="425" spans="2:22" ht="12.75">
      <c r="B425" s="673"/>
      <c r="C425" s="147"/>
      <c r="D425" s="674"/>
      <c r="E425" s="674"/>
      <c r="F425" s="674"/>
      <c r="G425" s="674"/>
      <c r="H425" s="674"/>
      <c r="I425" s="674"/>
      <c r="J425" s="674"/>
      <c r="K425" s="674"/>
      <c r="L425" s="674"/>
      <c r="M425" s="147"/>
      <c r="N425" s="674"/>
      <c r="O425" s="675"/>
      <c r="P425" s="466"/>
      <c r="Q425" s="466"/>
      <c r="R425" s="466"/>
      <c r="S425" s="466"/>
      <c r="T425" s="466"/>
      <c r="U425" s="466"/>
      <c r="V425" s="466"/>
    </row>
    <row r="426" spans="2:22" ht="12.75">
      <c r="B426" s="673"/>
      <c r="C426" s="147"/>
      <c r="D426" s="674"/>
      <c r="E426" s="674"/>
      <c r="F426" s="674"/>
      <c r="G426" s="674"/>
      <c r="H426" s="674"/>
      <c r="I426" s="674"/>
      <c r="J426" s="674"/>
      <c r="K426" s="674"/>
      <c r="L426" s="674"/>
      <c r="M426" s="147"/>
      <c r="N426" s="674"/>
      <c r="O426" s="675"/>
      <c r="P426" s="466"/>
      <c r="Q426" s="466"/>
      <c r="R426" s="466"/>
      <c r="S426" s="466"/>
      <c r="T426" s="466"/>
      <c r="U426" s="466"/>
      <c r="V426" s="466"/>
    </row>
    <row r="427" spans="2:22" ht="12.75">
      <c r="B427" s="673"/>
      <c r="C427" s="147"/>
      <c r="D427" s="674"/>
      <c r="E427" s="674"/>
      <c r="F427" s="674"/>
      <c r="G427" s="674"/>
      <c r="H427" s="674"/>
      <c r="I427" s="674"/>
      <c r="J427" s="674"/>
      <c r="K427" s="674"/>
      <c r="L427" s="674"/>
      <c r="M427" s="147"/>
      <c r="N427" s="674"/>
      <c r="O427" s="675"/>
      <c r="P427" s="466"/>
      <c r="Q427" s="466"/>
      <c r="R427" s="466"/>
      <c r="S427" s="466"/>
      <c r="T427" s="466"/>
      <c r="U427" s="466"/>
      <c r="V427" s="466"/>
    </row>
    <row r="428" spans="2:22" ht="12.75">
      <c r="B428" s="673"/>
      <c r="C428" s="147"/>
      <c r="D428" s="674"/>
      <c r="E428" s="674"/>
      <c r="F428" s="674"/>
      <c r="G428" s="674"/>
      <c r="H428" s="674"/>
      <c r="I428" s="674"/>
      <c r="J428" s="674"/>
      <c r="K428" s="674"/>
      <c r="L428" s="674"/>
      <c r="M428" s="147"/>
      <c r="N428" s="674"/>
      <c r="O428" s="675"/>
      <c r="P428" s="466"/>
      <c r="Q428" s="466"/>
      <c r="R428" s="466"/>
      <c r="S428" s="466"/>
      <c r="T428" s="466"/>
      <c r="U428" s="466"/>
      <c r="V428" s="466"/>
    </row>
    <row r="429" spans="2:22" ht="12.75">
      <c r="B429" s="673"/>
      <c r="C429" s="147"/>
      <c r="D429" s="674"/>
      <c r="E429" s="674"/>
      <c r="F429" s="674"/>
      <c r="G429" s="674"/>
      <c r="H429" s="674"/>
      <c r="I429" s="674"/>
      <c r="J429" s="674"/>
      <c r="K429" s="674"/>
      <c r="L429" s="674"/>
      <c r="M429" s="147"/>
      <c r="N429" s="674"/>
      <c r="O429" s="675"/>
      <c r="P429" s="466"/>
      <c r="Q429" s="466"/>
      <c r="R429" s="466"/>
      <c r="S429" s="466"/>
      <c r="T429" s="466"/>
      <c r="U429" s="466"/>
      <c r="V429" s="466"/>
    </row>
    <row r="430" spans="2:22" ht="12.75">
      <c r="B430" s="673"/>
      <c r="C430" s="147"/>
      <c r="D430" s="674"/>
      <c r="E430" s="674"/>
      <c r="F430" s="674"/>
      <c r="G430" s="674"/>
      <c r="H430" s="674"/>
      <c r="I430" s="674"/>
      <c r="J430" s="674"/>
      <c r="K430" s="674"/>
      <c r="L430" s="674"/>
      <c r="M430" s="147"/>
      <c r="N430" s="674"/>
      <c r="O430" s="675"/>
      <c r="P430" s="466"/>
      <c r="Q430" s="466"/>
      <c r="R430" s="466"/>
      <c r="S430" s="466"/>
      <c r="T430" s="466"/>
      <c r="U430" s="466"/>
      <c r="V430" s="466"/>
    </row>
    <row r="431" spans="2:22" ht="12.75">
      <c r="B431" s="673"/>
      <c r="C431" s="147"/>
      <c r="D431" s="674"/>
      <c r="E431" s="674"/>
      <c r="F431" s="674"/>
      <c r="G431" s="674"/>
      <c r="H431" s="674"/>
      <c r="I431" s="674"/>
      <c r="J431" s="674"/>
      <c r="K431" s="674"/>
      <c r="L431" s="674"/>
      <c r="M431" s="147"/>
      <c r="N431" s="674"/>
      <c r="O431" s="675"/>
      <c r="P431" s="466"/>
      <c r="Q431" s="466"/>
      <c r="R431" s="466"/>
      <c r="S431" s="466"/>
      <c r="T431" s="466"/>
      <c r="U431" s="466"/>
      <c r="V431" s="466"/>
    </row>
    <row r="432" spans="2:22" ht="12.75">
      <c r="B432" s="673"/>
      <c r="C432" s="147"/>
      <c r="D432" s="674"/>
      <c r="E432" s="674"/>
      <c r="F432" s="674"/>
      <c r="G432" s="674"/>
      <c r="H432" s="674"/>
      <c r="I432" s="674"/>
      <c r="J432" s="674"/>
      <c r="K432" s="674"/>
      <c r="L432" s="674"/>
      <c r="M432" s="147"/>
      <c r="N432" s="674"/>
      <c r="O432" s="675"/>
      <c r="P432" s="466"/>
      <c r="Q432" s="466"/>
      <c r="R432" s="466"/>
      <c r="S432" s="466"/>
      <c r="T432" s="466"/>
      <c r="U432" s="466"/>
      <c r="V432" s="466"/>
    </row>
    <row r="433" spans="2:22" ht="12.75">
      <c r="B433" s="673"/>
      <c r="C433" s="147"/>
      <c r="D433" s="674"/>
      <c r="E433" s="674"/>
      <c r="F433" s="674"/>
      <c r="G433" s="674"/>
      <c r="H433" s="674"/>
      <c r="I433" s="674"/>
      <c r="J433" s="674"/>
      <c r="K433" s="674"/>
      <c r="L433" s="674"/>
      <c r="M433" s="147"/>
      <c r="N433" s="674"/>
      <c r="O433" s="675"/>
      <c r="P433" s="466"/>
      <c r="Q433" s="466"/>
      <c r="R433" s="466"/>
      <c r="S433" s="466"/>
      <c r="T433" s="466"/>
      <c r="U433" s="466"/>
      <c r="V433" s="466"/>
    </row>
    <row r="434" spans="2:22" ht="12.75">
      <c r="B434" s="673"/>
      <c r="C434" s="147"/>
      <c r="D434" s="674"/>
      <c r="E434" s="674"/>
      <c r="F434" s="674"/>
      <c r="G434" s="674"/>
      <c r="H434" s="674"/>
      <c r="I434" s="674"/>
      <c r="J434" s="674"/>
      <c r="K434" s="674"/>
      <c r="L434" s="674"/>
      <c r="M434" s="147"/>
      <c r="N434" s="674"/>
      <c r="O434" s="675"/>
      <c r="P434" s="466"/>
      <c r="Q434" s="466"/>
      <c r="R434" s="466"/>
      <c r="S434" s="466"/>
      <c r="T434" s="466"/>
      <c r="U434" s="466"/>
      <c r="V434" s="466"/>
    </row>
    <row r="435" spans="2:22" ht="12.75">
      <c r="B435" s="673"/>
      <c r="C435" s="147"/>
      <c r="D435" s="674"/>
      <c r="E435" s="674"/>
      <c r="F435" s="674"/>
      <c r="G435" s="674"/>
      <c r="H435" s="674"/>
      <c r="I435" s="674"/>
      <c r="J435" s="674"/>
      <c r="K435" s="674"/>
      <c r="L435" s="674"/>
      <c r="M435" s="147"/>
      <c r="N435" s="674"/>
      <c r="O435" s="675"/>
      <c r="P435" s="466"/>
      <c r="Q435" s="466"/>
      <c r="R435" s="466"/>
      <c r="S435" s="466"/>
      <c r="T435" s="466"/>
      <c r="U435" s="466"/>
      <c r="V435" s="466"/>
    </row>
    <row r="436" spans="2:22" ht="12.75">
      <c r="B436" s="673"/>
      <c r="C436" s="147"/>
      <c r="D436" s="674"/>
      <c r="E436" s="674"/>
      <c r="F436" s="674"/>
      <c r="G436" s="674"/>
      <c r="H436" s="674"/>
      <c r="I436" s="674"/>
      <c r="J436" s="674"/>
      <c r="K436" s="674"/>
      <c r="L436" s="674"/>
      <c r="M436" s="147"/>
      <c r="N436" s="674"/>
      <c r="O436" s="675"/>
      <c r="P436" s="466"/>
      <c r="Q436" s="466"/>
      <c r="R436" s="466"/>
      <c r="S436" s="466"/>
      <c r="T436" s="466"/>
      <c r="U436" s="466"/>
      <c r="V436" s="466"/>
    </row>
    <row r="437" spans="2:22" ht="12.75">
      <c r="B437" s="673"/>
      <c r="C437" s="147"/>
      <c r="D437" s="674"/>
      <c r="E437" s="674"/>
      <c r="F437" s="674"/>
      <c r="G437" s="674"/>
      <c r="H437" s="674"/>
      <c r="I437" s="674"/>
      <c r="J437" s="674"/>
      <c r="K437" s="674"/>
      <c r="L437" s="674"/>
      <c r="M437" s="147"/>
      <c r="N437" s="674"/>
      <c r="O437" s="675"/>
      <c r="P437" s="466"/>
      <c r="Q437" s="466"/>
      <c r="R437" s="466"/>
      <c r="S437" s="466"/>
      <c r="T437" s="466"/>
      <c r="U437" s="466"/>
      <c r="V437" s="466"/>
    </row>
    <row r="438" spans="2:22" ht="12.75">
      <c r="B438" s="673"/>
      <c r="C438" s="147"/>
      <c r="D438" s="674"/>
      <c r="E438" s="674"/>
      <c r="F438" s="674"/>
      <c r="G438" s="674"/>
      <c r="H438" s="674"/>
      <c r="I438" s="674"/>
      <c r="J438" s="674"/>
      <c r="K438" s="674"/>
      <c r="L438" s="674"/>
      <c r="M438" s="147"/>
      <c r="N438" s="674"/>
      <c r="O438" s="675"/>
      <c r="P438" s="466"/>
      <c r="Q438" s="466"/>
      <c r="R438" s="466"/>
      <c r="S438" s="466"/>
      <c r="T438" s="466"/>
      <c r="U438" s="466"/>
      <c r="V438" s="466"/>
    </row>
    <row r="439" spans="2:22" ht="12.75">
      <c r="B439" s="673"/>
      <c r="C439" s="147"/>
      <c r="D439" s="674"/>
      <c r="E439" s="674"/>
      <c r="F439" s="674"/>
      <c r="G439" s="674"/>
      <c r="H439" s="674"/>
      <c r="I439" s="674"/>
      <c r="J439" s="674"/>
      <c r="K439" s="674"/>
      <c r="L439" s="674"/>
      <c r="M439" s="147"/>
      <c r="N439" s="674"/>
      <c r="O439" s="675"/>
      <c r="P439" s="466"/>
      <c r="Q439" s="466"/>
      <c r="R439" s="466"/>
      <c r="S439" s="466"/>
      <c r="T439" s="466"/>
      <c r="U439" s="466"/>
      <c r="V439" s="466"/>
    </row>
    <row r="440" spans="2:22" ht="12.75">
      <c r="B440" s="673"/>
      <c r="C440" s="147"/>
      <c r="D440" s="674"/>
      <c r="E440" s="674"/>
      <c r="F440" s="674"/>
      <c r="G440" s="674"/>
      <c r="H440" s="674"/>
      <c r="I440" s="674"/>
      <c r="J440" s="674"/>
      <c r="K440" s="674"/>
      <c r="L440" s="674"/>
      <c r="M440" s="147"/>
      <c r="N440" s="674"/>
      <c r="O440" s="675"/>
      <c r="P440" s="466"/>
      <c r="Q440" s="466"/>
      <c r="R440" s="466"/>
      <c r="S440" s="466"/>
      <c r="T440" s="466"/>
      <c r="U440" s="466"/>
      <c r="V440" s="466"/>
    </row>
    <row r="441" spans="2:22" ht="12.75">
      <c r="B441" s="673"/>
      <c r="C441" s="147"/>
      <c r="D441" s="674"/>
      <c r="E441" s="674"/>
      <c r="F441" s="674"/>
      <c r="G441" s="674"/>
      <c r="H441" s="674"/>
      <c r="I441" s="674"/>
      <c r="J441" s="674"/>
      <c r="K441" s="674"/>
      <c r="L441" s="674"/>
      <c r="M441" s="147"/>
      <c r="N441" s="674"/>
      <c r="O441" s="675"/>
      <c r="P441" s="466"/>
      <c r="Q441" s="466"/>
      <c r="R441" s="466"/>
      <c r="S441" s="466"/>
      <c r="T441" s="466"/>
      <c r="U441" s="466"/>
      <c r="V441" s="466"/>
    </row>
    <row r="442" spans="2:22" ht="12.75">
      <c r="B442" s="673"/>
      <c r="C442" s="147"/>
      <c r="D442" s="674"/>
      <c r="E442" s="674"/>
      <c r="F442" s="674"/>
      <c r="G442" s="674"/>
      <c r="H442" s="674"/>
      <c r="I442" s="674"/>
      <c r="J442" s="674"/>
      <c r="K442" s="674"/>
      <c r="L442" s="674"/>
      <c r="M442" s="147"/>
      <c r="N442" s="674"/>
      <c r="O442" s="675"/>
      <c r="P442" s="466"/>
      <c r="Q442" s="466"/>
      <c r="R442" s="466"/>
      <c r="S442" s="466"/>
      <c r="T442" s="466"/>
      <c r="U442" s="466"/>
      <c r="V442" s="466"/>
    </row>
    <row r="443" spans="2:22" ht="12.75">
      <c r="B443" s="673"/>
      <c r="C443" s="147"/>
      <c r="D443" s="674"/>
      <c r="E443" s="674"/>
      <c r="F443" s="674"/>
      <c r="G443" s="674"/>
      <c r="H443" s="674"/>
      <c r="I443" s="674"/>
      <c r="J443" s="674"/>
      <c r="K443" s="674"/>
      <c r="L443" s="674"/>
      <c r="M443" s="147"/>
      <c r="N443" s="674"/>
      <c r="O443" s="675"/>
      <c r="P443" s="466"/>
      <c r="Q443" s="466"/>
      <c r="R443" s="466"/>
      <c r="S443" s="466"/>
      <c r="T443" s="466"/>
      <c r="U443" s="466"/>
      <c r="V443" s="466"/>
    </row>
    <row r="444" spans="2:22" ht="12.75">
      <c r="B444" s="673"/>
      <c r="C444" s="147"/>
      <c r="D444" s="674"/>
      <c r="E444" s="674"/>
      <c r="F444" s="674"/>
      <c r="G444" s="674"/>
      <c r="H444" s="674"/>
      <c r="I444" s="674"/>
      <c r="J444" s="674"/>
      <c r="K444" s="674"/>
      <c r="L444" s="674"/>
      <c r="M444" s="147"/>
      <c r="N444" s="674"/>
      <c r="O444" s="675"/>
      <c r="P444" s="466"/>
      <c r="Q444" s="466"/>
      <c r="R444" s="466"/>
      <c r="S444" s="466"/>
      <c r="T444" s="466"/>
      <c r="U444" s="466"/>
      <c r="V444" s="466"/>
    </row>
    <row r="445" spans="2:22" ht="12.75">
      <c r="B445" s="673"/>
      <c r="C445" s="147"/>
      <c r="D445" s="674"/>
      <c r="E445" s="674"/>
      <c r="F445" s="674"/>
      <c r="G445" s="674"/>
      <c r="H445" s="674"/>
      <c r="I445" s="674"/>
      <c r="J445" s="674"/>
      <c r="K445" s="674"/>
      <c r="L445" s="674"/>
      <c r="M445" s="147"/>
      <c r="N445" s="674"/>
      <c r="O445" s="675"/>
      <c r="P445" s="466"/>
      <c r="Q445" s="466"/>
      <c r="R445" s="466"/>
      <c r="S445" s="466"/>
      <c r="T445" s="466"/>
      <c r="U445" s="466"/>
      <c r="V445" s="466"/>
    </row>
    <row r="446" spans="2:22" ht="12.75">
      <c r="B446" s="673"/>
      <c r="C446" s="147"/>
      <c r="D446" s="674"/>
      <c r="E446" s="674"/>
      <c r="F446" s="674"/>
      <c r="G446" s="674"/>
      <c r="H446" s="674"/>
      <c r="I446" s="674"/>
      <c r="J446" s="674"/>
      <c r="K446" s="674"/>
      <c r="L446" s="674"/>
      <c r="M446" s="147"/>
      <c r="N446" s="674"/>
      <c r="O446" s="675"/>
      <c r="P446" s="466"/>
      <c r="Q446" s="466"/>
      <c r="R446" s="466"/>
      <c r="S446" s="466"/>
      <c r="T446" s="466"/>
      <c r="U446" s="466"/>
      <c r="V446" s="466"/>
    </row>
    <row r="447" spans="2:22" ht="12.75">
      <c r="B447" s="673"/>
      <c r="C447" s="147"/>
      <c r="D447" s="674"/>
      <c r="E447" s="674"/>
      <c r="F447" s="674"/>
      <c r="G447" s="674"/>
      <c r="H447" s="674"/>
      <c r="I447" s="674"/>
      <c r="J447" s="674"/>
      <c r="K447" s="674"/>
      <c r="L447" s="674"/>
      <c r="M447" s="147"/>
      <c r="N447" s="674"/>
      <c r="O447" s="675"/>
      <c r="P447" s="466"/>
      <c r="Q447" s="466"/>
      <c r="R447" s="466"/>
      <c r="S447" s="466"/>
      <c r="T447" s="466"/>
      <c r="U447" s="466"/>
      <c r="V447" s="466"/>
    </row>
    <row r="448" spans="2:22" ht="12.75">
      <c r="B448" s="673"/>
      <c r="C448" s="147"/>
      <c r="D448" s="674"/>
      <c r="E448" s="674"/>
      <c r="F448" s="674"/>
      <c r="G448" s="674"/>
      <c r="H448" s="674"/>
      <c r="I448" s="674"/>
      <c r="J448" s="674"/>
      <c r="K448" s="674"/>
      <c r="L448" s="674"/>
      <c r="M448" s="147"/>
      <c r="N448" s="674"/>
      <c r="O448" s="675"/>
      <c r="P448" s="466"/>
      <c r="Q448" s="466"/>
      <c r="R448" s="466"/>
      <c r="S448" s="466"/>
      <c r="T448" s="466"/>
      <c r="U448" s="466"/>
      <c r="V448" s="466"/>
    </row>
    <row r="449" spans="2:22" ht="12.75">
      <c r="B449" s="673"/>
      <c r="C449" s="147"/>
      <c r="D449" s="674"/>
      <c r="E449" s="674"/>
      <c r="F449" s="674"/>
      <c r="G449" s="674"/>
      <c r="H449" s="674"/>
      <c r="I449" s="674"/>
      <c r="J449" s="674"/>
      <c r="K449" s="674"/>
      <c r="L449" s="674"/>
      <c r="M449" s="147"/>
      <c r="N449" s="674"/>
      <c r="O449" s="675"/>
      <c r="P449" s="466"/>
      <c r="Q449" s="466"/>
      <c r="R449" s="466"/>
      <c r="S449" s="466"/>
      <c r="T449" s="466"/>
      <c r="U449" s="466"/>
      <c r="V449" s="466"/>
    </row>
    <row r="450" spans="2:22" ht="12.75">
      <c r="B450" s="673"/>
      <c r="C450" s="147"/>
      <c r="D450" s="674"/>
      <c r="E450" s="674"/>
      <c r="F450" s="674"/>
      <c r="G450" s="674"/>
      <c r="H450" s="674"/>
      <c r="I450" s="674"/>
      <c r="J450" s="674"/>
      <c r="K450" s="674"/>
      <c r="L450" s="674"/>
      <c r="M450" s="147"/>
      <c r="N450" s="674"/>
      <c r="O450" s="675"/>
      <c r="P450" s="466"/>
      <c r="Q450" s="466"/>
      <c r="R450" s="466"/>
      <c r="S450" s="466"/>
      <c r="T450" s="466"/>
      <c r="U450" s="466"/>
      <c r="V450" s="466"/>
    </row>
    <row r="451" spans="2:22" ht="12.75">
      <c r="B451" s="673"/>
      <c r="C451" s="147"/>
      <c r="D451" s="674"/>
      <c r="E451" s="674"/>
      <c r="F451" s="674"/>
      <c r="G451" s="674"/>
      <c r="H451" s="674"/>
      <c r="I451" s="674"/>
      <c r="J451" s="674"/>
      <c r="K451" s="674"/>
      <c r="L451" s="674"/>
      <c r="M451" s="147"/>
      <c r="N451" s="674"/>
      <c r="O451" s="675"/>
      <c r="P451" s="466"/>
      <c r="Q451" s="466"/>
      <c r="R451" s="466"/>
      <c r="S451" s="466"/>
      <c r="T451" s="466"/>
      <c r="U451" s="466"/>
      <c r="V451" s="466"/>
    </row>
    <row r="452" spans="2:22" ht="12.75">
      <c r="B452" s="673"/>
      <c r="C452" s="147"/>
      <c r="D452" s="674"/>
      <c r="E452" s="674"/>
      <c r="F452" s="674"/>
      <c r="G452" s="674"/>
      <c r="H452" s="674"/>
      <c r="I452" s="674"/>
      <c r="J452" s="674"/>
      <c r="K452" s="674"/>
      <c r="L452" s="674"/>
      <c r="M452" s="147"/>
      <c r="N452" s="674"/>
      <c r="O452" s="675"/>
      <c r="P452" s="466"/>
      <c r="Q452" s="466"/>
      <c r="R452" s="466"/>
      <c r="S452" s="466"/>
      <c r="T452" s="466"/>
      <c r="U452" s="466"/>
      <c r="V452" s="466"/>
    </row>
    <row r="453" spans="2:22" ht="12.75">
      <c r="B453" s="673"/>
      <c r="C453" s="147"/>
      <c r="D453" s="674"/>
      <c r="E453" s="674"/>
      <c r="F453" s="674"/>
      <c r="G453" s="674"/>
      <c r="H453" s="674"/>
      <c r="I453" s="674"/>
      <c r="J453" s="674"/>
      <c r="K453" s="674"/>
      <c r="L453" s="674"/>
      <c r="M453" s="147"/>
      <c r="N453" s="674"/>
      <c r="O453" s="675"/>
      <c r="P453" s="466"/>
      <c r="Q453" s="466"/>
      <c r="R453" s="466"/>
      <c r="S453" s="466"/>
      <c r="T453" s="466"/>
      <c r="U453" s="466"/>
      <c r="V453" s="466"/>
    </row>
    <row r="454" spans="2:22" ht="12.75">
      <c r="B454" s="673"/>
      <c r="C454" s="147"/>
      <c r="D454" s="674"/>
      <c r="E454" s="674"/>
      <c r="F454" s="674"/>
      <c r="G454" s="674"/>
      <c r="H454" s="674"/>
      <c r="I454" s="674"/>
      <c r="J454" s="674"/>
      <c r="K454" s="674"/>
      <c r="L454" s="674"/>
      <c r="M454" s="147"/>
      <c r="N454" s="674"/>
      <c r="O454" s="675"/>
      <c r="P454" s="466"/>
      <c r="Q454" s="466"/>
      <c r="R454" s="466"/>
      <c r="S454" s="466"/>
      <c r="T454" s="466"/>
      <c r="U454" s="466"/>
      <c r="V454" s="466"/>
    </row>
    <row r="455" spans="2:22" ht="12.75">
      <c r="B455" s="673"/>
      <c r="C455" s="147"/>
      <c r="D455" s="674"/>
      <c r="E455" s="674"/>
      <c r="F455" s="674"/>
      <c r="G455" s="674"/>
      <c r="H455" s="674"/>
      <c r="I455" s="674"/>
      <c r="J455" s="674"/>
      <c r="K455" s="674"/>
      <c r="L455" s="674"/>
      <c r="M455" s="147"/>
      <c r="N455" s="674"/>
      <c r="O455" s="675"/>
      <c r="P455" s="466"/>
      <c r="Q455" s="466"/>
      <c r="R455" s="466"/>
      <c r="S455" s="466"/>
      <c r="T455" s="466"/>
      <c r="U455" s="466"/>
      <c r="V455" s="466"/>
    </row>
    <row r="456" spans="2:22" ht="12.75">
      <c r="B456" s="673"/>
      <c r="C456" s="147"/>
      <c r="D456" s="674"/>
      <c r="E456" s="674"/>
      <c r="F456" s="674"/>
      <c r="G456" s="674"/>
      <c r="H456" s="674"/>
      <c r="I456" s="674"/>
      <c r="J456" s="674"/>
      <c r="K456" s="674"/>
      <c r="L456" s="674"/>
      <c r="M456" s="147"/>
      <c r="N456" s="674"/>
      <c r="O456" s="675"/>
      <c r="P456" s="466"/>
      <c r="Q456" s="466"/>
      <c r="R456" s="466"/>
      <c r="S456" s="466"/>
      <c r="T456" s="466"/>
      <c r="U456" s="466"/>
      <c r="V456" s="466"/>
    </row>
    <row r="457" spans="2:22" ht="12.75">
      <c r="B457" s="673"/>
      <c r="C457" s="147"/>
      <c r="D457" s="674"/>
      <c r="E457" s="674"/>
      <c r="F457" s="674"/>
      <c r="G457" s="674"/>
      <c r="H457" s="674"/>
      <c r="I457" s="674"/>
      <c r="J457" s="674"/>
      <c r="K457" s="674"/>
      <c r="L457" s="674"/>
      <c r="M457" s="147"/>
      <c r="N457" s="674"/>
      <c r="O457" s="675"/>
      <c r="P457" s="466"/>
      <c r="Q457" s="466"/>
      <c r="R457" s="466"/>
      <c r="S457" s="466"/>
      <c r="T457" s="466"/>
      <c r="U457" s="466"/>
      <c r="V457" s="466"/>
    </row>
    <row r="458" spans="2:22" ht="12.75">
      <c r="B458" s="673"/>
      <c r="C458" s="147"/>
      <c r="D458" s="674"/>
      <c r="E458" s="674"/>
      <c r="F458" s="674"/>
      <c r="G458" s="674"/>
      <c r="H458" s="674"/>
      <c r="I458" s="674"/>
      <c r="J458" s="674"/>
      <c r="K458" s="674"/>
      <c r="L458" s="674"/>
      <c r="M458" s="147"/>
      <c r="N458" s="674"/>
      <c r="O458" s="675"/>
      <c r="P458" s="466"/>
      <c r="Q458" s="466"/>
      <c r="R458" s="466"/>
      <c r="S458" s="466"/>
      <c r="T458" s="466"/>
      <c r="U458" s="466"/>
      <c r="V458" s="466"/>
    </row>
    <row r="459" spans="2:22" ht="12.75">
      <c r="B459" s="673"/>
      <c r="C459" s="147"/>
      <c r="D459" s="674"/>
      <c r="E459" s="674"/>
      <c r="F459" s="674"/>
      <c r="G459" s="674"/>
      <c r="H459" s="674"/>
      <c r="I459" s="674"/>
      <c r="J459" s="674"/>
      <c r="K459" s="674"/>
      <c r="L459" s="674"/>
      <c r="M459" s="147"/>
      <c r="N459" s="674"/>
      <c r="O459" s="675"/>
      <c r="P459" s="466"/>
      <c r="Q459" s="466"/>
      <c r="R459" s="466"/>
      <c r="S459" s="466"/>
      <c r="T459" s="466"/>
      <c r="U459" s="466"/>
      <c r="V459" s="466"/>
    </row>
    <row r="460" spans="2:22" ht="12.75">
      <c r="B460" s="673"/>
      <c r="C460" s="147"/>
      <c r="D460" s="674"/>
      <c r="E460" s="674"/>
      <c r="F460" s="674"/>
      <c r="G460" s="674"/>
      <c r="H460" s="674"/>
      <c r="I460" s="674"/>
      <c r="J460" s="674"/>
      <c r="K460" s="674"/>
      <c r="L460" s="674"/>
      <c r="M460" s="147"/>
      <c r="N460" s="674"/>
      <c r="O460" s="675"/>
      <c r="P460" s="466"/>
      <c r="Q460" s="466"/>
      <c r="R460" s="466"/>
      <c r="S460" s="466"/>
      <c r="T460" s="466"/>
      <c r="U460" s="466"/>
      <c r="V460" s="466"/>
    </row>
    <row r="461" spans="2:22" ht="12.75">
      <c r="B461" s="673"/>
      <c r="C461" s="147"/>
      <c r="D461" s="674"/>
      <c r="E461" s="674"/>
      <c r="F461" s="674"/>
      <c r="G461" s="674"/>
      <c r="H461" s="674"/>
      <c r="I461" s="674"/>
      <c r="J461" s="674"/>
      <c r="K461" s="674"/>
      <c r="L461" s="674"/>
      <c r="M461" s="147"/>
      <c r="N461" s="674"/>
      <c r="O461" s="675"/>
      <c r="P461" s="466"/>
      <c r="Q461" s="466"/>
      <c r="R461" s="466"/>
      <c r="S461" s="466"/>
      <c r="T461" s="466"/>
      <c r="U461" s="466"/>
      <c r="V461" s="466"/>
    </row>
    <row r="462" spans="2:22" ht="12.75">
      <c r="B462" s="673"/>
      <c r="C462" s="147"/>
      <c r="D462" s="674"/>
      <c r="E462" s="674"/>
      <c r="F462" s="674"/>
      <c r="G462" s="674"/>
      <c r="H462" s="674"/>
      <c r="I462" s="674"/>
      <c r="J462" s="674"/>
      <c r="K462" s="674"/>
      <c r="L462" s="674"/>
      <c r="M462" s="147"/>
      <c r="N462" s="674"/>
      <c r="O462" s="675"/>
      <c r="P462" s="466"/>
      <c r="Q462" s="466"/>
      <c r="R462" s="466"/>
      <c r="S462" s="466"/>
      <c r="T462" s="466"/>
      <c r="U462" s="466"/>
      <c r="V462" s="466"/>
    </row>
    <row r="463" spans="2:22" ht="12.75">
      <c r="B463" s="673"/>
      <c r="C463" s="147"/>
      <c r="D463" s="674"/>
      <c r="E463" s="674"/>
      <c r="F463" s="674"/>
      <c r="G463" s="674"/>
      <c r="H463" s="674"/>
      <c r="I463" s="674"/>
      <c r="J463" s="674"/>
      <c r="K463" s="674"/>
      <c r="L463" s="674"/>
      <c r="M463" s="147"/>
      <c r="N463" s="674"/>
      <c r="O463" s="675"/>
      <c r="P463" s="466"/>
      <c r="Q463" s="466"/>
      <c r="R463" s="466"/>
      <c r="S463" s="466"/>
      <c r="T463" s="466"/>
      <c r="U463" s="466"/>
      <c r="V463" s="466"/>
    </row>
    <row r="464" spans="2:22" ht="12.75">
      <c r="B464" s="673"/>
      <c r="C464" s="147"/>
      <c r="D464" s="674"/>
      <c r="E464" s="674"/>
      <c r="F464" s="674"/>
      <c r="G464" s="674"/>
      <c r="H464" s="674"/>
      <c r="I464" s="674"/>
      <c r="J464" s="674"/>
      <c r="K464" s="674"/>
      <c r="L464" s="674"/>
      <c r="M464" s="147"/>
      <c r="N464" s="674"/>
      <c r="O464" s="675"/>
      <c r="P464" s="466"/>
      <c r="Q464" s="466"/>
      <c r="R464" s="466"/>
      <c r="S464" s="466"/>
      <c r="T464" s="466"/>
      <c r="U464" s="466"/>
      <c r="V464" s="466"/>
    </row>
    <row r="465" spans="2:22" ht="12.75">
      <c r="B465" s="673"/>
      <c r="C465" s="147"/>
      <c r="D465" s="674"/>
      <c r="E465" s="674"/>
      <c r="F465" s="674"/>
      <c r="G465" s="674"/>
      <c r="H465" s="674"/>
      <c r="I465" s="674"/>
      <c r="J465" s="674"/>
      <c r="K465" s="674"/>
      <c r="L465" s="674"/>
      <c r="M465" s="147"/>
      <c r="N465" s="674"/>
      <c r="O465" s="675"/>
      <c r="P465" s="466"/>
      <c r="Q465" s="466"/>
      <c r="R465" s="466"/>
      <c r="S465" s="466"/>
      <c r="T465" s="466"/>
      <c r="U465" s="466"/>
      <c r="V465" s="466"/>
    </row>
    <row r="466" spans="2:22" ht="12.75">
      <c r="B466" s="673"/>
      <c r="C466" s="147"/>
      <c r="D466" s="674"/>
      <c r="E466" s="674"/>
      <c r="F466" s="674"/>
      <c r="G466" s="674"/>
      <c r="H466" s="674"/>
      <c r="I466" s="674"/>
      <c r="J466" s="674"/>
      <c r="K466" s="674"/>
      <c r="L466" s="674"/>
      <c r="M466" s="147"/>
      <c r="N466" s="674"/>
      <c r="O466" s="675"/>
      <c r="P466" s="466"/>
      <c r="Q466" s="466"/>
      <c r="R466" s="466"/>
      <c r="S466" s="466"/>
      <c r="T466" s="466"/>
      <c r="U466" s="466"/>
      <c r="V466" s="466"/>
    </row>
    <row r="467" spans="2:22" ht="12.75">
      <c r="B467" s="673"/>
      <c r="C467" s="147"/>
      <c r="D467" s="674"/>
      <c r="E467" s="674"/>
      <c r="F467" s="674"/>
      <c r="G467" s="674"/>
      <c r="H467" s="674"/>
      <c r="I467" s="674"/>
      <c r="J467" s="674"/>
      <c r="K467" s="674"/>
      <c r="L467" s="674"/>
      <c r="M467" s="147"/>
      <c r="N467" s="674"/>
      <c r="O467" s="675"/>
      <c r="P467" s="466"/>
      <c r="Q467" s="466"/>
      <c r="R467" s="466"/>
      <c r="S467" s="466"/>
      <c r="T467" s="466"/>
      <c r="U467" s="466"/>
      <c r="V467" s="466"/>
    </row>
    <row r="468" spans="2:22" ht="12.75">
      <c r="B468" s="673"/>
      <c r="C468" s="147"/>
      <c r="D468" s="674"/>
      <c r="E468" s="674"/>
      <c r="F468" s="674"/>
      <c r="G468" s="674"/>
      <c r="H468" s="674"/>
      <c r="I468" s="674"/>
      <c r="J468" s="674"/>
      <c r="K468" s="674"/>
      <c r="L468" s="674"/>
      <c r="M468" s="147"/>
      <c r="N468" s="674"/>
      <c r="O468" s="675"/>
      <c r="P468" s="466"/>
      <c r="Q468" s="466"/>
      <c r="R468" s="466"/>
      <c r="S468" s="466"/>
      <c r="T468" s="466"/>
      <c r="U468" s="466"/>
      <c r="V468" s="466"/>
    </row>
    <row r="469" spans="2:22" ht="12.75">
      <c r="B469" s="673"/>
      <c r="C469" s="147"/>
      <c r="D469" s="674"/>
      <c r="E469" s="674"/>
      <c r="F469" s="674"/>
      <c r="G469" s="674"/>
      <c r="H469" s="674"/>
      <c r="I469" s="674"/>
      <c r="J469" s="674"/>
      <c r="K469" s="674"/>
      <c r="L469" s="674"/>
      <c r="M469" s="147"/>
      <c r="N469" s="674"/>
      <c r="O469" s="675"/>
      <c r="P469" s="466"/>
      <c r="Q469" s="466"/>
      <c r="R469" s="466"/>
      <c r="S469" s="466"/>
      <c r="T469" s="466"/>
      <c r="U469" s="466"/>
      <c r="V469" s="466"/>
    </row>
    <row r="470" spans="2:22" ht="12.75">
      <c r="B470" s="673"/>
      <c r="C470" s="147"/>
      <c r="D470" s="674"/>
      <c r="E470" s="674"/>
      <c r="F470" s="674"/>
      <c r="G470" s="674"/>
      <c r="H470" s="674"/>
      <c r="I470" s="674"/>
      <c r="J470" s="674"/>
      <c r="K470" s="674"/>
      <c r="L470" s="674"/>
      <c r="M470" s="147"/>
      <c r="N470" s="674"/>
      <c r="O470" s="675"/>
      <c r="P470" s="466"/>
      <c r="Q470" s="466"/>
      <c r="R470" s="466"/>
      <c r="S470" s="466"/>
      <c r="T470" s="466"/>
      <c r="U470" s="466"/>
      <c r="V470" s="466"/>
    </row>
    <row r="471" spans="2:22" ht="12.75">
      <c r="B471" s="673"/>
      <c r="C471" s="147"/>
      <c r="D471" s="674"/>
      <c r="E471" s="674"/>
      <c r="F471" s="674"/>
      <c r="G471" s="674"/>
      <c r="H471" s="674"/>
      <c r="I471" s="674"/>
      <c r="J471" s="674"/>
      <c r="K471" s="674"/>
      <c r="L471" s="674"/>
      <c r="M471" s="147"/>
      <c r="N471" s="674"/>
      <c r="O471" s="675"/>
      <c r="P471" s="466"/>
      <c r="Q471" s="466"/>
      <c r="R471" s="466"/>
      <c r="S471" s="466"/>
      <c r="T471" s="466"/>
      <c r="U471" s="466"/>
      <c r="V471" s="466"/>
    </row>
    <row r="472" spans="2:22" ht="12.75">
      <c r="B472" s="673"/>
      <c r="C472" s="147"/>
      <c r="D472" s="674"/>
      <c r="E472" s="674"/>
      <c r="F472" s="674"/>
      <c r="G472" s="674"/>
      <c r="H472" s="674"/>
      <c r="I472" s="674"/>
      <c r="J472" s="674"/>
      <c r="K472" s="674"/>
      <c r="L472" s="674"/>
      <c r="M472" s="147"/>
      <c r="N472" s="674"/>
      <c r="O472" s="675"/>
      <c r="P472" s="466"/>
      <c r="Q472" s="466"/>
      <c r="R472" s="466"/>
      <c r="S472" s="466"/>
      <c r="T472" s="466"/>
      <c r="U472" s="466"/>
      <c r="V472" s="466"/>
    </row>
    <row r="473" spans="2:22" ht="12.75">
      <c r="B473" s="673"/>
      <c r="C473" s="147"/>
      <c r="D473" s="674"/>
      <c r="E473" s="674"/>
      <c r="F473" s="674"/>
      <c r="G473" s="674"/>
      <c r="H473" s="674"/>
      <c r="I473" s="674"/>
      <c r="J473" s="674"/>
      <c r="K473" s="674"/>
      <c r="L473" s="674"/>
      <c r="M473" s="147"/>
      <c r="N473" s="674"/>
      <c r="O473" s="675"/>
      <c r="P473" s="466"/>
      <c r="Q473" s="466"/>
      <c r="R473" s="466"/>
      <c r="S473" s="466"/>
      <c r="T473" s="466"/>
      <c r="U473" s="466"/>
      <c r="V473" s="466"/>
    </row>
    <row r="474" spans="2:22" ht="12.75">
      <c r="B474" s="673"/>
      <c r="C474" s="147"/>
      <c r="D474" s="674"/>
      <c r="E474" s="674"/>
      <c r="F474" s="674"/>
      <c r="G474" s="674"/>
      <c r="H474" s="674"/>
      <c r="I474" s="674"/>
      <c r="J474" s="674"/>
      <c r="K474" s="674"/>
      <c r="L474" s="674"/>
      <c r="M474" s="147"/>
      <c r="N474" s="674"/>
      <c r="O474" s="675"/>
      <c r="P474" s="466"/>
      <c r="Q474" s="466"/>
      <c r="R474" s="466"/>
      <c r="S474" s="466"/>
      <c r="T474" s="466"/>
      <c r="U474" s="466"/>
      <c r="V474" s="466"/>
    </row>
    <row r="475" spans="2:22" ht="12.75">
      <c r="B475" s="673"/>
      <c r="C475" s="147"/>
      <c r="D475" s="674"/>
      <c r="E475" s="674"/>
      <c r="F475" s="674"/>
      <c r="G475" s="674"/>
      <c r="H475" s="674"/>
      <c r="I475" s="674"/>
      <c r="J475" s="674"/>
      <c r="K475" s="674"/>
      <c r="L475" s="674"/>
      <c r="M475" s="147"/>
      <c r="N475" s="674"/>
      <c r="O475" s="675"/>
      <c r="P475" s="466"/>
      <c r="Q475" s="466"/>
      <c r="R475" s="466"/>
      <c r="S475" s="466"/>
      <c r="T475" s="466"/>
      <c r="U475" s="466"/>
      <c r="V475" s="466"/>
    </row>
    <row r="476" spans="2:22" ht="12.75">
      <c r="B476" s="673"/>
      <c r="C476" s="147"/>
      <c r="D476" s="674"/>
      <c r="E476" s="674"/>
      <c r="F476" s="674"/>
      <c r="G476" s="674"/>
      <c r="H476" s="674"/>
      <c r="I476" s="674"/>
      <c r="J476" s="674"/>
      <c r="K476" s="674"/>
      <c r="L476" s="674"/>
      <c r="M476" s="147"/>
      <c r="N476" s="674"/>
      <c r="O476" s="675"/>
      <c r="P476" s="466"/>
      <c r="Q476" s="466"/>
      <c r="R476" s="466"/>
      <c r="S476" s="466"/>
      <c r="T476" s="466"/>
      <c r="U476" s="466"/>
      <c r="V476" s="466"/>
    </row>
    <row r="477" spans="2:22" ht="12.75">
      <c r="B477" s="673"/>
      <c r="C477" s="147"/>
      <c r="D477" s="674"/>
      <c r="E477" s="674"/>
      <c r="F477" s="674"/>
      <c r="G477" s="674"/>
      <c r="H477" s="674"/>
      <c r="I477" s="674"/>
      <c r="J477" s="674"/>
      <c r="K477" s="674"/>
      <c r="L477" s="674"/>
      <c r="M477" s="147"/>
      <c r="N477" s="674"/>
      <c r="O477" s="675"/>
      <c r="P477" s="466"/>
      <c r="Q477" s="466"/>
      <c r="R477" s="466"/>
      <c r="S477" s="466"/>
      <c r="T477" s="466"/>
      <c r="U477" s="466"/>
      <c r="V477" s="466"/>
    </row>
    <row r="478" spans="2:22" ht="12.75">
      <c r="B478" s="673"/>
      <c r="C478" s="147"/>
      <c r="D478" s="674"/>
      <c r="E478" s="674"/>
      <c r="F478" s="674"/>
      <c r="G478" s="674"/>
      <c r="H478" s="674"/>
      <c r="I478" s="674"/>
      <c r="J478" s="674"/>
      <c r="K478" s="674"/>
      <c r="L478" s="674"/>
      <c r="M478" s="147"/>
      <c r="N478" s="674"/>
      <c r="O478" s="675"/>
      <c r="P478" s="466"/>
      <c r="Q478" s="466"/>
      <c r="R478" s="466"/>
      <c r="S478" s="466"/>
      <c r="T478" s="466"/>
      <c r="U478" s="466"/>
      <c r="V478" s="466"/>
    </row>
    <row r="479" spans="2:22" ht="12.75">
      <c r="B479" s="673"/>
      <c r="C479" s="147"/>
      <c r="D479" s="674"/>
      <c r="E479" s="674"/>
      <c r="F479" s="674"/>
      <c r="G479" s="674"/>
      <c r="H479" s="674"/>
      <c r="I479" s="674"/>
      <c r="J479" s="674"/>
      <c r="K479" s="674"/>
      <c r="L479" s="674"/>
      <c r="M479" s="147"/>
      <c r="N479" s="674"/>
      <c r="O479" s="675"/>
      <c r="P479" s="466"/>
      <c r="Q479" s="466"/>
      <c r="R479" s="466"/>
      <c r="S479" s="466"/>
      <c r="T479" s="466"/>
      <c r="U479" s="466"/>
      <c r="V479" s="466"/>
    </row>
    <row r="480" spans="2:22" ht="12.75">
      <c r="B480" s="673"/>
      <c r="C480" s="147"/>
      <c r="D480" s="674"/>
      <c r="E480" s="674"/>
      <c r="F480" s="674"/>
      <c r="G480" s="674"/>
      <c r="H480" s="674"/>
      <c r="I480" s="674"/>
      <c r="J480" s="674"/>
      <c r="K480" s="674"/>
      <c r="L480" s="674"/>
      <c r="M480" s="147"/>
      <c r="N480" s="674"/>
      <c r="O480" s="675"/>
      <c r="P480" s="466"/>
      <c r="Q480" s="466"/>
      <c r="R480" s="466"/>
      <c r="S480" s="466"/>
      <c r="T480" s="466"/>
      <c r="U480" s="466"/>
      <c r="V480" s="466"/>
    </row>
    <row r="481" spans="2:22" ht="12.75">
      <c r="B481" s="673"/>
      <c r="C481" s="147"/>
      <c r="D481" s="674"/>
      <c r="E481" s="674"/>
      <c r="F481" s="674"/>
      <c r="G481" s="674"/>
      <c r="H481" s="674"/>
      <c r="I481" s="674"/>
      <c r="J481" s="674"/>
      <c r="K481" s="674"/>
      <c r="L481" s="674"/>
      <c r="M481" s="147"/>
      <c r="N481" s="674"/>
      <c r="O481" s="675"/>
      <c r="P481" s="466"/>
      <c r="Q481" s="466"/>
      <c r="R481" s="466"/>
      <c r="S481" s="466"/>
      <c r="T481" s="466"/>
      <c r="U481" s="466"/>
      <c r="V481" s="466"/>
    </row>
    <row r="482" spans="2:22" ht="12.75">
      <c r="B482" s="673"/>
      <c r="C482" s="147"/>
      <c r="D482" s="674"/>
      <c r="E482" s="674"/>
      <c r="F482" s="674"/>
      <c r="G482" s="674"/>
      <c r="H482" s="674"/>
      <c r="I482" s="674"/>
      <c r="J482" s="674"/>
      <c r="K482" s="674"/>
      <c r="L482" s="674"/>
      <c r="M482" s="147"/>
      <c r="N482" s="674"/>
      <c r="O482" s="675"/>
      <c r="P482" s="466"/>
      <c r="Q482" s="466"/>
      <c r="R482" s="466"/>
      <c r="S482" s="466"/>
      <c r="T482" s="466"/>
      <c r="U482" s="466"/>
      <c r="V482" s="466"/>
    </row>
    <row r="483" spans="2:22" ht="12.75">
      <c r="B483" s="673"/>
      <c r="C483" s="147"/>
      <c r="D483" s="674"/>
      <c r="E483" s="674"/>
      <c r="F483" s="674"/>
      <c r="G483" s="674"/>
      <c r="H483" s="674"/>
      <c r="I483" s="674"/>
      <c r="J483" s="674"/>
      <c r="K483" s="674"/>
      <c r="L483" s="674"/>
      <c r="M483" s="147"/>
      <c r="N483" s="674"/>
      <c r="O483" s="675"/>
      <c r="P483" s="466"/>
      <c r="Q483" s="466"/>
      <c r="R483" s="466"/>
      <c r="S483" s="466"/>
      <c r="T483" s="466"/>
      <c r="U483" s="466"/>
      <c r="V483" s="466"/>
    </row>
    <row r="484" spans="2:22" ht="12.75">
      <c r="B484" s="673"/>
      <c r="C484" s="147"/>
      <c r="D484" s="674"/>
      <c r="E484" s="674"/>
      <c r="F484" s="674"/>
      <c r="G484" s="674"/>
      <c r="H484" s="674"/>
      <c r="I484" s="674"/>
      <c r="J484" s="674"/>
      <c r="K484" s="674"/>
      <c r="L484" s="674"/>
      <c r="M484" s="147"/>
      <c r="N484" s="674"/>
      <c r="O484" s="675"/>
      <c r="P484" s="466"/>
      <c r="Q484" s="466"/>
      <c r="R484" s="466"/>
      <c r="S484" s="466"/>
      <c r="T484" s="466"/>
      <c r="U484" s="466"/>
      <c r="V484" s="466"/>
    </row>
    <row r="485" spans="2:22" ht="12.75">
      <c r="B485" s="673"/>
      <c r="C485" s="147"/>
      <c r="D485" s="674"/>
      <c r="E485" s="674"/>
      <c r="F485" s="674"/>
      <c r="G485" s="674"/>
      <c r="H485" s="674"/>
      <c r="I485" s="674"/>
      <c r="J485" s="674"/>
      <c r="K485" s="674"/>
      <c r="L485" s="674"/>
      <c r="M485" s="147"/>
      <c r="N485" s="674"/>
      <c r="O485" s="675"/>
      <c r="P485" s="466"/>
      <c r="Q485" s="466"/>
      <c r="R485" s="466"/>
      <c r="S485" s="466"/>
      <c r="T485" s="466"/>
      <c r="U485" s="466"/>
      <c r="V485" s="466"/>
    </row>
    <row r="486" spans="2:22" ht="12.75">
      <c r="B486" s="673"/>
      <c r="C486" s="147"/>
      <c r="D486" s="674"/>
      <c r="E486" s="674"/>
      <c r="F486" s="674"/>
      <c r="G486" s="674"/>
      <c r="H486" s="674"/>
      <c r="I486" s="674"/>
      <c r="J486" s="674"/>
      <c r="K486" s="674"/>
      <c r="L486" s="674"/>
      <c r="M486" s="147"/>
      <c r="N486" s="674"/>
      <c r="O486" s="675"/>
      <c r="P486" s="466"/>
      <c r="Q486" s="466"/>
      <c r="R486" s="466"/>
      <c r="S486" s="466"/>
      <c r="T486" s="466"/>
      <c r="U486" s="466"/>
      <c r="V486" s="466"/>
    </row>
    <row r="487" spans="2:22" ht="12.75">
      <c r="B487" s="673"/>
      <c r="C487" s="147"/>
      <c r="D487" s="674"/>
      <c r="E487" s="674"/>
      <c r="F487" s="674"/>
      <c r="G487" s="674"/>
      <c r="H487" s="674"/>
      <c r="I487" s="674"/>
      <c r="J487" s="674"/>
      <c r="K487" s="674"/>
      <c r="L487" s="674"/>
      <c r="M487" s="147"/>
      <c r="N487" s="674"/>
      <c r="O487" s="675"/>
      <c r="P487" s="466"/>
      <c r="Q487" s="466"/>
      <c r="R487" s="466"/>
      <c r="S487" s="466"/>
      <c r="T487" s="466"/>
      <c r="U487" s="466"/>
      <c r="V487" s="466"/>
    </row>
    <row r="488" spans="2:22" ht="12.75">
      <c r="B488" s="673"/>
      <c r="C488" s="147"/>
      <c r="D488" s="674"/>
      <c r="E488" s="674"/>
      <c r="F488" s="674"/>
      <c r="G488" s="674"/>
      <c r="H488" s="674"/>
      <c r="I488" s="674"/>
      <c r="J488" s="674"/>
      <c r="K488" s="674"/>
      <c r="L488" s="674"/>
      <c r="M488" s="147"/>
      <c r="N488" s="674"/>
      <c r="O488" s="675"/>
      <c r="P488" s="466"/>
      <c r="Q488" s="466"/>
      <c r="R488" s="466"/>
      <c r="S488" s="466"/>
      <c r="T488" s="466"/>
      <c r="U488" s="466"/>
      <c r="V488" s="466"/>
    </row>
    <row r="489" spans="2:22" ht="12.75">
      <c r="B489" s="673"/>
      <c r="C489" s="147"/>
      <c r="D489" s="674"/>
      <c r="E489" s="674"/>
      <c r="F489" s="674"/>
      <c r="G489" s="674"/>
      <c r="H489" s="674"/>
      <c r="I489" s="674"/>
      <c r="J489" s="674"/>
      <c r="K489" s="674"/>
      <c r="L489" s="674"/>
      <c r="M489" s="147"/>
      <c r="N489" s="674"/>
      <c r="O489" s="675"/>
      <c r="P489" s="466"/>
      <c r="Q489" s="466"/>
      <c r="R489" s="466"/>
      <c r="S489" s="466"/>
      <c r="T489" s="466"/>
      <c r="U489" s="466"/>
      <c r="V489" s="466"/>
    </row>
    <row r="490" spans="2:22" ht="12.75">
      <c r="B490" s="673"/>
      <c r="C490" s="147"/>
      <c r="D490" s="674"/>
      <c r="E490" s="674"/>
      <c r="F490" s="674"/>
      <c r="G490" s="674"/>
      <c r="H490" s="674"/>
      <c r="I490" s="674"/>
      <c r="J490" s="674"/>
      <c r="K490" s="674"/>
      <c r="L490" s="674"/>
      <c r="M490" s="147"/>
      <c r="N490" s="674"/>
      <c r="O490" s="675"/>
      <c r="P490" s="466"/>
      <c r="Q490" s="466"/>
      <c r="R490" s="466"/>
      <c r="S490" s="466"/>
      <c r="T490" s="466"/>
      <c r="U490" s="466"/>
      <c r="V490" s="466"/>
    </row>
    <row r="491" spans="2:22" ht="12.75">
      <c r="B491" s="673"/>
      <c r="C491" s="147"/>
      <c r="D491" s="674"/>
      <c r="E491" s="674"/>
      <c r="F491" s="674"/>
      <c r="G491" s="674"/>
      <c r="H491" s="674"/>
      <c r="I491" s="674"/>
      <c r="J491" s="674"/>
      <c r="K491" s="674"/>
      <c r="L491" s="674"/>
      <c r="M491" s="147"/>
      <c r="N491" s="674"/>
      <c r="O491" s="675"/>
      <c r="P491" s="466"/>
      <c r="Q491" s="466"/>
      <c r="R491" s="466"/>
      <c r="S491" s="466"/>
      <c r="T491" s="466"/>
      <c r="U491" s="466"/>
      <c r="V491" s="466"/>
    </row>
    <row r="492" spans="2:22" ht="12.75">
      <c r="B492" s="673"/>
      <c r="C492" s="147"/>
      <c r="D492" s="674"/>
      <c r="E492" s="674"/>
      <c r="F492" s="674"/>
      <c r="G492" s="674"/>
      <c r="H492" s="674"/>
      <c r="I492" s="674"/>
      <c r="J492" s="674"/>
      <c r="K492" s="674"/>
      <c r="L492" s="674"/>
      <c r="M492" s="147"/>
      <c r="N492" s="674"/>
      <c r="O492" s="675"/>
      <c r="P492" s="466"/>
      <c r="Q492" s="466"/>
      <c r="R492" s="466"/>
      <c r="S492" s="466"/>
      <c r="T492" s="466"/>
      <c r="U492" s="466"/>
      <c r="V492" s="466"/>
    </row>
    <row r="493" spans="2:22" ht="12.75">
      <c r="B493" s="673"/>
      <c r="C493" s="147"/>
      <c r="D493" s="674"/>
      <c r="E493" s="674"/>
      <c r="F493" s="674"/>
      <c r="G493" s="674"/>
      <c r="H493" s="674"/>
      <c r="I493" s="674"/>
      <c r="J493" s="674"/>
      <c r="K493" s="674"/>
      <c r="L493" s="674"/>
      <c r="M493" s="147"/>
      <c r="N493" s="674"/>
      <c r="O493" s="675"/>
      <c r="P493" s="466"/>
      <c r="Q493" s="466"/>
      <c r="R493" s="466"/>
      <c r="S493" s="466"/>
      <c r="T493" s="466"/>
      <c r="U493" s="466"/>
      <c r="V493" s="466"/>
    </row>
    <row r="494" spans="2:22" ht="12.75">
      <c r="B494" s="673"/>
      <c r="C494" s="147"/>
      <c r="D494" s="674"/>
      <c r="E494" s="674"/>
      <c r="F494" s="674"/>
      <c r="G494" s="674"/>
      <c r="H494" s="674"/>
      <c r="I494" s="674"/>
      <c r="J494" s="674"/>
      <c r="K494" s="674"/>
      <c r="L494" s="674"/>
      <c r="M494" s="147"/>
      <c r="N494" s="674"/>
      <c r="O494" s="675"/>
      <c r="P494" s="466"/>
      <c r="Q494" s="466"/>
      <c r="R494" s="466"/>
      <c r="S494" s="466"/>
      <c r="T494" s="466"/>
      <c r="U494" s="466"/>
      <c r="V494" s="466"/>
    </row>
    <row r="495" spans="2:22" ht="12.75">
      <c r="B495" s="673"/>
      <c r="C495" s="147"/>
      <c r="D495" s="674"/>
      <c r="E495" s="674"/>
      <c r="F495" s="674"/>
      <c r="G495" s="674"/>
      <c r="H495" s="674"/>
      <c r="I495" s="674"/>
      <c r="J495" s="674"/>
      <c r="K495" s="674"/>
      <c r="L495" s="674"/>
      <c r="M495" s="147"/>
      <c r="N495" s="674"/>
      <c r="O495" s="675"/>
      <c r="P495" s="466"/>
      <c r="Q495" s="466"/>
      <c r="R495" s="466"/>
      <c r="S495" s="466"/>
      <c r="T495" s="466"/>
      <c r="U495" s="466"/>
      <c r="V495" s="466"/>
    </row>
    <row r="496" spans="2:22" ht="12.75">
      <c r="B496" s="673"/>
      <c r="C496" s="147"/>
      <c r="D496" s="674"/>
      <c r="E496" s="674"/>
      <c r="F496" s="674"/>
      <c r="G496" s="674"/>
      <c r="H496" s="674"/>
      <c r="I496" s="674"/>
      <c r="J496" s="674"/>
      <c r="K496" s="674"/>
      <c r="L496" s="674"/>
      <c r="M496" s="147"/>
      <c r="N496" s="674"/>
      <c r="O496" s="675"/>
      <c r="P496" s="466"/>
      <c r="Q496" s="466"/>
      <c r="R496" s="466"/>
      <c r="S496" s="466"/>
      <c r="T496" s="466"/>
      <c r="U496" s="466"/>
      <c r="V496" s="466"/>
    </row>
    <row r="497" spans="2:22" ht="12.75">
      <c r="B497" s="673"/>
      <c r="C497" s="147"/>
      <c r="D497" s="674"/>
      <c r="E497" s="674"/>
      <c r="F497" s="674"/>
      <c r="G497" s="674"/>
      <c r="H497" s="674"/>
      <c r="I497" s="674"/>
      <c r="J497" s="674"/>
      <c r="K497" s="674"/>
      <c r="L497" s="674"/>
      <c r="M497" s="147"/>
      <c r="N497" s="674"/>
      <c r="O497" s="675"/>
      <c r="P497" s="466"/>
      <c r="Q497" s="466"/>
      <c r="R497" s="466"/>
      <c r="S497" s="466"/>
      <c r="T497" s="466"/>
      <c r="U497" s="466"/>
      <c r="V497" s="466"/>
    </row>
    <row r="498" spans="2:22" ht="12.75">
      <c r="B498" s="673"/>
      <c r="C498" s="147"/>
      <c r="D498" s="674"/>
      <c r="E498" s="674"/>
      <c r="F498" s="674"/>
      <c r="G498" s="674"/>
      <c r="H498" s="674"/>
      <c r="I498" s="674"/>
      <c r="J498" s="674"/>
      <c r="K498" s="674"/>
      <c r="L498" s="674"/>
      <c r="M498" s="147"/>
      <c r="N498" s="674"/>
      <c r="O498" s="675"/>
      <c r="P498" s="466"/>
      <c r="Q498" s="466"/>
      <c r="R498" s="466"/>
      <c r="S498" s="466"/>
      <c r="T498" s="466"/>
      <c r="U498" s="466"/>
      <c r="V498" s="466"/>
    </row>
    <row r="499" spans="2:22" ht="12.75">
      <c r="B499" s="673"/>
      <c r="C499" s="147"/>
      <c r="D499" s="674"/>
      <c r="E499" s="674"/>
      <c r="F499" s="674"/>
      <c r="G499" s="674"/>
      <c r="H499" s="674"/>
      <c r="I499" s="674"/>
      <c r="J499" s="674"/>
      <c r="K499" s="674"/>
      <c r="L499" s="674"/>
      <c r="M499" s="147"/>
      <c r="N499" s="674"/>
      <c r="O499" s="675"/>
      <c r="P499" s="466"/>
      <c r="Q499" s="466"/>
      <c r="R499" s="466"/>
      <c r="S499" s="466"/>
      <c r="T499" s="466"/>
      <c r="U499" s="466"/>
      <c r="V499" s="466"/>
    </row>
    <row r="500" spans="2:22" ht="12.75">
      <c r="B500" s="673"/>
      <c r="C500" s="147"/>
      <c r="D500" s="674"/>
      <c r="E500" s="674"/>
      <c r="F500" s="674"/>
      <c r="G500" s="674"/>
      <c r="H500" s="674"/>
      <c r="I500" s="674"/>
      <c r="J500" s="674"/>
      <c r="K500" s="674"/>
      <c r="L500" s="674"/>
      <c r="M500" s="147"/>
      <c r="N500" s="674"/>
      <c r="O500" s="675"/>
      <c r="P500" s="466"/>
      <c r="Q500" s="466"/>
      <c r="R500" s="466"/>
      <c r="S500" s="466"/>
      <c r="T500" s="466"/>
      <c r="U500" s="466"/>
      <c r="V500" s="466"/>
    </row>
    <row r="501" spans="2:22" ht="12.75">
      <c r="B501" s="673"/>
      <c r="C501" s="147"/>
      <c r="D501" s="674"/>
      <c r="E501" s="674"/>
      <c r="F501" s="674"/>
      <c r="G501" s="674"/>
      <c r="H501" s="674"/>
      <c r="I501" s="674"/>
      <c r="J501" s="674"/>
      <c r="K501" s="674"/>
      <c r="L501" s="674"/>
      <c r="M501" s="147"/>
      <c r="N501" s="674"/>
      <c r="O501" s="675"/>
      <c r="P501" s="466"/>
      <c r="Q501" s="466"/>
      <c r="R501" s="466"/>
      <c r="S501" s="466"/>
      <c r="T501" s="466"/>
      <c r="U501" s="466"/>
      <c r="V501" s="466"/>
    </row>
    <row r="502" spans="2:22" ht="12.75">
      <c r="B502" s="673"/>
      <c r="C502" s="147"/>
      <c r="D502" s="674"/>
      <c r="E502" s="674"/>
      <c r="F502" s="674"/>
      <c r="G502" s="674"/>
      <c r="H502" s="674"/>
      <c r="I502" s="674"/>
      <c r="J502" s="674"/>
      <c r="K502" s="674"/>
      <c r="L502" s="674"/>
      <c r="M502" s="147"/>
      <c r="N502" s="674"/>
      <c r="O502" s="675"/>
      <c r="P502" s="466"/>
      <c r="Q502" s="466"/>
      <c r="R502" s="466"/>
      <c r="S502" s="466"/>
      <c r="T502" s="466"/>
      <c r="U502" s="466"/>
      <c r="V502" s="466"/>
    </row>
    <row r="503" spans="2:22" ht="12.75">
      <c r="B503" s="673"/>
      <c r="C503" s="147"/>
      <c r="D503" s="674"/>
      <c r="E503" s="674"/>
      <c r="F503" s="674"/>
      <c r="G503" s="674"/>
      <c r="H503" s="674"/>
      <c r="I503" s="674"/>
      <c r="J503" s="674"/>
      <c r="K503" s="674"/>
      <c r="L503" s="674"/>
      <c r="M503" s="147"/>
      <c r="N503" s="674"/>
      <c r="O503" s="675"/>
      <c r="P503" s="466"/>
      <c r="Q503" s="466"/>
      <c r="R503" s="466"/>
      <c r="S503" s="466"/>
      <c r="T503" s="466"/>
      <c r="U503" s="466"/>
      <c r="V503" s="466"/>
    </row>
    <row r="504" spans="2:22" ht="12.75">
      <c r="B504" s="673"/>
      <c r="C504" s="147"/>
      <c r="D504" s="674"/>
      <c r="E504" s="674"/>
      <c r="F504" s="674"/>
      <c r="G504" s="674"/>
      <c r="H504" s="674"/>
      <c r="I504" s="674"/>
      <c r="J504" s="674"/>
      <c r="K504" s="674"/>
      <c r="L504" s="674"/>
      <c r="M504" s="147"/>
      <c r="N504" s="674"/>
      <c r="O504" s="675"/>
      <c r="P504" s="466"/>
      <c r="Q504" s="466"/>
      <c r="R504" s="466"/>
      <c r="S504" s="466"/>
      <c r="T504" s="466"/>
      <c r="U504" s="466"/>
      <c r="V504" s="466"/>
    </row>
    <row r="505" spans="2:22" ht="12.75">
      <c r="B505" s="673"/>
      <c r="C505" s="147"/>
      <c r="D505" s="674"/>
      <c r="E505" s="674"/>
      <c r="F505" s="674"/>
      <c r="G505" s="674"/>
      <c r="H505" s="674"/>
      <c r="I505" s="674"/>
      <c r="J505" s="674"/>
      <c r="K505" s="674"/>
      <c r="L505" s="674"/>
      <c r="M505" s="147"/>
      <c r="N505" s="674"/>
      <c r="O505" s="675"/>
      <c r="P505" s="466"/>
      <c r="Q505" s="466"/>
      <c r="R505" s="466"/>
      <c r="S505" s="466"/>
      <c r="T505" s="466"/>
      <c r="U505" s="466"/>
      <c r="V505" s="466"/>
    </row>
    <row r="506" spans="2:22" ht="12.75">
      <c r="B506" s="673"/>
      <c r="C506" s="147"/>
      <c r="D506" s="674"/>
      <c r="E506" s="674"/>
      <c r="F506" s="674"/>
      <c r="G506" s="674"/>
      <c r="H506" s="674"/>
      <c r="I506" s="674"/>
      <c r="J506" s="674"/>
      <c r="K506" s="674"/>
      <c r="L506" s="674"/>
      <c r="M506" s="147"/>
      <c r="N506" s="674"/>
      <c r="O506" s="675"/>
      <c r="P506" s="466"/>
      <c r="Q506" s="466"/>
      <c r="R506" s="466"/>
      <c r="S506" s="466"/>
      <c r="T506" s="466"/>
      <c r="U506" s="466"/>
      <c r="V506" s="466"/>
    </row>
    <row r="507" spans="2:22" ht="12.75">
      <c r="B507" s="673"/>
      <c r="C507" s="147"/>
      <c r="D507" s="674"/>
      <c r="E507" s="674"/>
      <c r="F507" s="674"/>
      <c r="G507" s="674"/>
      <c r="H507" s="674"/>
      <c r="I507" s="674"/>
      <c r="J507" s="674"/>
      <c r="K507" s="674"/>
      <c r="L507" s="674"/>
      <c r="M507" s="147"/>
      <c r="N507" s="674"/>
      <c r="O507" s="675"/>
      <c r="P507" s="466"/>
      <c r="Q507" s="466"/>
      <c r="R507" s="466"/>
      <c r="S507" s="466"/>
      <c r="T507" s="466"/>
      <c r="U507" s="466"/>
      <c r="V507" s="466"/>
    </row>
    <row r="508" spans="2:22" ht="12.75">
      <c r="B508" s="673"/>
      <c r="C508" s="147"/>
      <c r="D508" s="674"/>
      <c r="E508" s="674"/>
      <c r="F508" s="674"/>
      <c r="G508" s="674"/>
      <c r="H508" s="674"/>
      <c r="I508" s="674"/>
      <c r="J508" s="674"/>
      <c r="K508" s="674"/>
      <c r="L508" s="674"/>
      <c r="M508" s="147"/>
      <c r="N508" s="674"/>
      <c r="O508" s="675"/>
      <c r="P508" s="466"/>
      <c r="Q508" s="466"/>
      <c r="R508" s="466"/>
      <c r="S508" s="466"/>
      <c r="T508" s="466"/>
      <c r="U508" s="466"/>
      <c r="V508" s="466"/>
    </row>
    <row r="509" spans="2:22" ht="12.75">
      <c r="B509" s="673"/>
      <c r="C509" s="147"/>
      <c r="D509" s="674"/>
      <c r="E509" s="674"/>
      <c r="F509" s="674"/>
      <c r="G509" s="674"/>
      <c r="H509" s="674"/>
      <c r="I509" s="674"/>
      <c r="J509" s="674"/>
      <c r="K509" s="674"/>
      <c r="L509" s="674"/>
      <c r="M509" s="147"/>
      <c r="N509" s="674"/>
      <c r="O509" s="675"/>
      <c r="P509" s="466"/>
      <c r="Q509" s="466"/>
      <c r="R509" s="466"/>
      <c r="S509" s="466"/>
      <c r="T509" s="466"/>
      <c r="U509" s="466"/>
      <c r="V509" s="466"/>
    </row>
    <row r="510" spans="2:22" ht="12.75">
      <c r="B510" s="673"/>
      <c r="C510" s="147"/>
      <c r="D510" s="674"/>
      <c r="E510" s="674"/>
      <c r="F510" s="674"/>
      <c r="G510" s="674"/>
      <c r="H510" s="674"/>
      <c r="I510" s="674"/>
      <c r="J510" s="674"/>
      <c r="K510" s="674"/>
      <c r="L510" s="674"/>
      <c r="M510" s="147"/>
      <c r="N510" s="674"/>
      <c r="O510" s="675"/>
      <c r="P510" s="466"/>
      <c r="Q510" s="466"/>
      <c r="R510" s="466"/>
      <c r="S510" s="466"/>
      <c r="T510" s="466"/>
      <c r="U510" s="466"/>
      <c r="V510" s="466"/>
    </row>
    <row r="511" spans="2:22" ht="12.75">
      <c r="B511" s="673"/>
      <c r="C511" s="147"/>
      <c r="D511" s="674"/>
      <c r="E511" s="674"/>
      <c r="F511" s="674"/>
      <c r="G511" s="674"/>
      <c r="H511" s="674"/>
      <c r="I511" s="674"/>
      <c r="J511" s="674"/>
      <c r="K511" s="674"/>
      <c r="L511" s="674"/>
      <c r="M511" s="147"/>
      <c r="N511" s="674"/>
      <c r="O511" s="675"/>
      <c r="P511" s="466"/>
      <c r="Q511" s="466"/>
      <c r="R511" s="466"/>
      <c r="S511" s="466"/>
      <c r="T511" s="466"/>
      <c r="U511" s="466"/>
      <c r="V511" s="466"/>
    </row>
    <row r="512" spans="2:22" ht="12.75">
      <c r="B512" s="673"/>
      <c r="C512" s="147"/>
      <c r="D512" s="674"/>
      <c r="E512" s="674"/>
      <c r="F512" s="674"/>
      <c r="G512" s="674"/>
      <c r="H512" s="674"/>
      <c r="I512" s="674"/>
      <c r="J512" s="674"/>
      <c r="K512" s="674"/>
      <c r="L512" s="674"/>
      <c r="M512" s="147"/>
      <c r="N512" s="674"/>
      <c r="O512" s="675"/>
      <c r="P512" s="466"/>
      <c r="Q512" s="466"/>
      <c r="R512" s="466"/>
      <c r="S512" s="466"/>
      <c r="T512" s="466"/>
      <c r="U512" s="466"/>
      <c r="V512" s="466"/>
    </row>
    <row r="513" spans="2:22" ht="12.75">
      <c r="B513" s="673"/>
      <c r="C513" s="147"/>
      <c r="D513" s="674"/>
      <c r="E513" s="674"/>
      <c r="F513" s="674"/>
      <c r="G513" s="674"/>
      <c r="H513" s="674"/>
      <c r="I513" s="674"/>
      <c r="J513" s="674"/>
      <c r="K513" s="674"/>
      <c r="L513" s="674"/>
      <c r="M513" s="147"/>
      <c r="N513" s="674"/>
      <c r="O513" s="675"/>
      <c r="P513" s="466"/>
      <c r="Q513" s="466"/>
      <c r="R513" s="466"/>
      <c r="S513" s="466"/>
      <c r="T513" s="466"/>
      <c r="U513" s="466"/>
      <c r="V513" s="466"/>
    </row>
    <row r="514" spans="2:22" ht="12.75">
      <c r="B514" s="673"/>
      <c r="C514" s="147"/>
      <c r="D514" s="674"/>
      <c r="E514" s="674"/>
      <c r="F514" s="674"/>
      <c r="G514" s="674"/>
      <c r="H514" s="674"/>
      <c r="I514" s="674"/>
      <c r="J514" s="674"/>
      <c r="K514" s="674"/>
      <c r="L514" s="674"/>
      <c r="M514" s="147"/>
      <c r="N514" s="674"/>
      <c r="O514" s="675"/>
      <c r="P514" s="466"/>
      <c r="Q514" s="466"/>
      <c r="R514" s="466"/>
      <c r="S514" s="466"/>
      <c r="T514" s="466"/>
      <c r="U514" s="466"/>
      <c r="V514" s="466"/>
    </row>
    <row r="515" spans="2:22" ht="12.75">
      <c r="B515" s="673"/>
      <c r="C515" s="147"/>
      <c r="D515" s="674"/>
      <c r="E515" s="674"/>
      <c r="F515" s="674"/>
      <c r="G515" s="674"/>
      <c r="H515" s="674"/>
      <c r="I515" s="674"/>
      <c r="J515" s="674"/>
      <c r="K515" s="674"/>
      <c r="L515" s="674"/>
      <c r="M515" s="147"/>
      <c r="N515" s="674"/>
      <c r="O515" s="675"/>
      <c r="P515" s="466"/>
      <c r="Q515" s="466"/>
      <c r="R515" s="466"/>
      <c r="S515" s="466"/>
      <c r="T515" s="466"/>
      <c r="U515" s="466"/>
      <c r="V515" s="466"/>
    </row>
    <row r="516" spans="2:22" ht="12.75">
      <c r="B516" s="673"/>
      <c r="C516" s="147"/>
      <c r="D516" s="674"/>
      <c r="E516" s="674"/>
      <c r="F516" s="674"/>
      <c r="G516" s="674"/>
      <c r="H516" s="674"/>
      <c r="I516" s="674"/>
      <c r="J516" s="674"/>
      <c r="K516" s="674"/>
      <c r="L516" s="674"/>
      <c r="M516" s="147"/>
      <c r="N516" s="674"/>
      <c r="O516" s="675"/>
      <c r="P516" s="466"/>
      <c r="Q516" s="466"/>
      <c r="R516" s="466"/>
      <c r="S516" s="466"/>
      <c r="T516" s="466"/>
      <c r="U516" s="466"/>
      <c r="V516" s="466"/>
    </row>
    <row r="517" spans="2:22" ht="12.75">
      <c r="B517" s="673"/>
      <c r="C517" s="147"/>
      <c r="D517" s="674"/>
      <c r="E517" s="674"/>
      <c r="F517" s="674"/>
      <c r="G517" s="674"/>
      <c r="H517" s="674"/>
      <c r="I517" s="674"/>
      <c r="J517" s="674"/>
      <c r="K517" s="674"/>
      <c r="L517" s="674"/>
      <c r="M517" s="147"/>
      <c r="N517" s="674"/>
      <c r="O517" s="675"/>
      <c r="P517" s="466"/>
      <c r="Q517" s="466"/>
      <c r="R517" s="466"/>
      <c r="S517" s="466"/>
      <c r="T517" s="466"/>
      <c r="U517" s="466"/>
      <c r="V517" s="466"/>
    </row>
    <row r="518" spans="2:22" ht="12.75">
      <c r="B518" s="673"/>
      <c r="C518" s="147"/>
      <c r="D518" s="674"/>
      <c r="E518" s="674"/>
      <c r="F518" s="674"/>
      <c r="G518" s="674"/>
      <c r="H518" s="674"/>
      <c r="I518" s="674"/>
      <c r="J518" s="674"/>
      <c r="K518" s="674"/>
      <c r="L518" s="674"/>
      <c r="M518" s="147"/>
      <c r="N518" s="674"/>
      <c r="O518" s="675"/>
      <c r="P518" s="466"/>
      <c r="Q518" s="466"/>
      <c r="R518" s="466"/>
      <c r="S518" s="466"/>
      <c r="T518" s="466"/>
      <c r="U518" s="466"/>
      <c r="V518" s="466"/>
    </row>
    <row r="519" spans="2:22" ht="12.75">
      <c r="B519" s="673"/>
      <c r="C519" s="147"/>
      <c r="D519" s="674"/>
      <c r="E519" s="674"/>
      <c r="F519" s="674"/>
      <c r="G519" s="674"/>
      <c r="H519" s="674"/>
      <c r="I519" s="674"/>
      <c r="J519" s="674"/>
      <c r="K519" s="674"/>
      <c r="L519" s="674"/>
      <c r="M519" s="147"/>
      <c r="N519" s="674"/>
      <c r="O519" s="675"/>
      <c r="P519" s="466"/>
      <c r="Q519" s="466"/>
      <c r="R519" s="466"/>
      <c r="S519" s="466"/>
      <c r="T519" s="466"/>
      <c r="U519" s="466"/>
      <c r="V519" s="466"/>
    </row>
    <row r="520" spans="2:22" ht="12.75">
      <c r="B520" s="673"/>
      <c r="C520" s="147"/>
      <c r="D520" s="674"/>
      <c r="E520" s="674"/>
      <c r="F520" s="674"/>
      <c r="G520" s="674"/>
      <c r="H520" s="674"/>
      <c r="I520" s="674"/>
      <c r="J520" s="674"/>
      <c r="K520" s="674"/>
      <c r="L520" s="674"/>
      <c r="M520" s="147"/>
      <c r="N520" s="674"/>
      <c r="O520" s="675"/>
      <c r="P520" s="466"/>
      <c r="Q520" s="466"/>
      <c r="R520" s="466"/>
      <c r="S520" s="466"/>
      <c r="T520" s="466"/>
      <c r="U520" s="466"/>
      <c r="V520" s="466"/>
    </row>
    <row r="521" spans="2:22" ht="12.75">
      <c r="B521" s="673"/>
      <c r="C521" s="147"/>
      <c r="D521" s="674"/>
      <c r="E521" s="674"/>
      <c r="F521" s="674"/>
      <c r="G521" s="674"/>
      <c r="H521" s="674"/>
      <c r="I521" s="674"/>
      <c r="J521" s="674"/>
      <c r="K521" s="674"/>
      <c r="L521" s="674"/>
      <c r="M521" s="147"/>
      <c r="N521" s="674"/>
      <c r="O521" s="675"/>
      <c r="P521" s="466"/>
      <c r="Q521" s="466"/>
      <c r="R521" s="466"/>
      <c r="S521" s="466"/>
      <c r="T521" s="466"/>
      <c r="U521" s="466"/>
      <c r="V521" s="466"/>
    </row>
    <row r="522" spans="2:22" ht="12.75">
      <c r="B522" s="673"/>
      <c r="C522" s="147"/>
      <c r="D522" s="674"/>
      <c r="E522" s="674"/>
      <c r="F522" s="674"/>
      <c r="G522" s="674"/>
      <c r="H522" s="674"/>
      <c r="I522" s="674"/>
      <c r="J522" s="674"/>
      <c r="K522" s="674"/>
      <c r="L522" s="674"/>
      <c r="M522" s="147"/>
      <c r="N522" s="674"/>
      <c r="O522" s="675"/>
      <c r="P522" s="466"/>
      <c r="Q522" s="466"/>
      <c r="R522" s="466"/>
      <c r="S522" s="466"/>
      <c r="T522" s="466"/>
      <c r="U522" s="466"/>
      <c r="V522" s="466"/>
    </row>
    <row r="523" spans="2:22" ht="12.75">
      <c r="B523" s="673"/>
      <c r="C523" s="147"/>
      <c r="D523" s="674"/>
      <c r="E523" s="674"/>
      <c r="F523" s="674"/>
      <c r="G523" s="674"/>
      <c r="H523" s="674"/>
      <c r="I523" s="674"/>
      <c r="J523" s="674"/>
      <c r="K523" s="674"/>
      <c r="L523" s="674"/>
      <c r="M523" s="147"/>
      <c r="N523" s="674"/>
      <c r="O523" s="675"/>
      <c r="P523" s="466"/>
      <c r="Q523" s="466"/>
      <c r="R523" s="466"/>
      <c r="S523" s="466"/>
      <c r="T523" s="466"/>
      <c r="U523" s="466"/>
      <c r="V523" s="466"/>
    </row>
    <row r="524" spans="2:22" ht="12.75">
      <c r="B524" s="673"/>
      <c r="C524" s="147"/>
      <c r="D524" s="674"/>
      <c r="E524" s="674"/>
      <c r="F524" s="674"/>
      <c r="G524" s="674"/>
      <c r="H524" s="674"/>
      <c r="I524" s="674"/>
      <c r="J524" s="674"/>
      <c r="K524" s="674"/>
      <c r="L524" s="674"/>
      <c r="M524" s="147"/>
      <c r="N524" s="674"/>
      <c r="O524" s="675"/>
      <c r="P524" s="466"/>
      <c r="Q524" s="466"/>
      <c r="R524" s="466"/>
      <c r="S524" s="466"/>
      <c r="T524" s="466"/>
      <c r="U524" s="466"/>
      <c r="V524" s="466"/>
    </row>
    <row r="525" spans="2:22" ht="12.75">
      <c r="B525" s="673"/>
      <c r="C525" s="147"/>
      <c r="D525" s="674"/>
      <c r="E525" s="674"/>
      <c r="F525" s="674"/>
      <c r="G525" s="674"/>
      <c r="H525" s="674"/>
      <c r="I525" s="674"/>
      <c r="J525" s="674"/>
      <c r="K525" s="674"/>
      <c r="L525" s="674"/>
      <c r="M525" s="147"/>
      <c r="N525" s="674"/>
      <c r="O525" s="675"/>
      <c r="P525" s="466"/>
      <c r="Q525" s="466"/>
      <c r="R525" s="466"/>
      <c r="S525" s="466"/>
      <c r="T525" s="466"/>
      <c r="U525" s="466"/>
      <c r="V525" s="466"/>
    </row>
    <row r="526" spans="2:22" ht="12.75">
      <c r="B526" s="673"/>
      <c r="C526" s="147"/>
      <c r="D526" s="674"/>
      <c r="E526" s="674"/>
      <c r="F526" s="674"/>
      <c r="G526" s="674"/>
      <c r="H526" s="674"/>
      <c r="I526" s="674"/>
      <c r="J526" s="674"/>
      <c r="K526" s="674"/>
      <c r="L526" s="674"/>
      <c r="M526" s="147"/>
      <c r="N526" s="674"/>
      <c r="O526" s="675"/>
      <c r="P526" s="466"/>
      <c r="Q526" s="466"/>
      <c r="R526" s="466"/>
      <c r="S526" s="466"/>
      <c r="T526" s="466"/>
      <c r="U526" s="466"/>
      <c r="V526" s="466"/>
    </row>
    <row r="527" spans="2:22" ht="12.75">
      <c r="B527" s="673"/>
      <c r="C527" s="147"/>
      <c r="D527" s="674"/>
      <c r="E527" s="674"/>
      <c r="F527" s="674"/>
      <c r="G527" s="674"/>
      <c r="H527" s="674"/>
      <c r="I527" s="674"/>
      <c r="J527" s="674"/>
      <c r="K527" s="674"/>
      <c r="L527" s="674"/>
      <c r="M527" s="147"/>
      <c r="N527" s="674"/>
      <c r="O527" s="675"/>
      <c r="P527" s="466"/>
      <c r="Q527" s="466"/>
      <c r="R527" s="466"/>
      <c r="S527" s="466"/>
      <c r="T527" s="466"/>
      <c r="U527" s="466"/>
      <c r="V527" s="466"/>
    </row>
    <row r="528" spans="2:22" ht="12.75">
      <c r="B528" s="673"/>
      <c r="C528" s="147"/>
      <c r="D528" s="674"/>
      <c r="E528" s="674"/>
      <c r="F528" s="674"/>
      <c r="G528" s="674"/>
      <c r="H528" s="674"/>
      <c r="I528" s="674"/>
      <c r="J528" s="674"/>
      <c r="K528" s="674"/>
      <c r="L528" s="674"/>
      <c r="M528" s="147"/>
      <c r="N528" s="674"/>
      <c r="O528" s="675"/>
      <c r="P528" s="466"/>
      <c r="Q528" s="466"/>
      <c r="R528" s="466"/>
      <c r="S528" s="466"/>
      <c r="T528" s="466"/>
      <c r="U528" s="466"/>
      <c r="V528" s="466"/>
    </row>
    <row r="529" spans="2:22" ht="12.75">
      <c r="B529" s="673"/>
      <c r="C529" s="147"/>
      <c r="D529" s="674"/>
      <c r="E529" s="674"/>
      <c r="F529" s="674"/>
      <c r="G529" s="674"/>
      <c r="H529" s="674"/>
      <c r="I529" s="674"/>
      <c r="J529" s="674"/>
      <c r="K529" s="674"/>
      <c r="L529" s="674"/>
      <c r="M529" s="147"/>
      <c r="N529" s="674"/>
      <c r="O529" s="675"/>
      <c r="P529" s="466"/>
      <c r="Q529" s="466"/>
      <c r="R529" s="466"/>
      <c r="S529" s="466"/>
      <c r="T529" s="466"/>
      <c r="U529" s="466"/>
      <c r="V529" s="466"/>
    </row>
    <row r="530" spans="2:22" ht="12.75">
      <c r="B530" s="673"/>
      <c r="C530" s="147"/>
      <c r="D530" s="674"/>
      <c r="E530" s="674"/>
      <c r="F530" s="674"/>
      <c r="G530" s="674"/>
      <c r="H530" s="674"/>
      <c r="I530" s="674"/>
      <c r="J530" s="674"/>
      <c r="K530" s="674"/>
      <c r="L530" s="674"/>
      <c r="M530" s="147"/>
      <c r="N530" s="674"/>
      <c r="O530" s="675"/>
      <c r="P530" s="466"/>
      <c r="Q530" s="466"/>
      <c r="R530" s="466"/>
      <c r="S530" s="466"/>
      <c r="T530" s="466"/>
      <c r="U530" s="466"/>
      <c r="V530" s="466"/>
    </row>
    <row r="531" spans="2:22" ht="12.75">
      <c r="B531" s="673"/>
      <c r="C531" s="147"/>
      <c r="D531" s="674"/>
      <c r="E531" s="674"/>
      <c r="F531" s="674"/>
      <c r="G531" s="674"/>
      <c r="H531" s="674"/>
      <c r="I531" s="674"/>
      <c r="J531" s="674"/>
      <c r="K531" s="674"/>
      <c r="L531" s="674"/>
      <c r="M531" s="147"/>
      <c r="N531" s="674"/>
      <c r="O531" s="675"/>
      <c r="P531" s="466"/>
      <c r="Q531" s="466"/>
      <c r="R531" s="466"/>
      <c r="S531" s="466"/>
      <c r="T531" s="466"/>
      <c r="U531" s="466"/>
      <c r="V531" s="466"/>
    </row>
    <row r="532" spans="2:22" ht="12.75">
      <c r="B532" s="673"/>
      <c r="C532" s="147"/>
      <c r="D532" s="674"/>
      <c r="E532" s="674"/>
      <c r="F532" s="674"/>
      <c r="G532" s="674"/>
      <c r="H532" s="674"/>
      <c r="I532" s="674"/>
      <c r="J532" s="674"/>
      <c r="K532" s="674"/>
      <c r="L532" s="674"/>
      <c r="M532" s="147"/>
      <c r="N532" s="674"/>
      <c r="O532" s="675"/>
      <c r="P532" s="466"/>
      <c r="Q532" s="466"/>
      <c r="R532" s="466"/>
      <c r="S532" s="466"/>
      <c r="T532" s="466"/>
      <c r="U532" s="466"/>
      <c r="V532" s="466"/>
    </row>
    <row r="533" spans="2:22" ht="12.75">
      <c r="B533" s="673"/>
      <c r="C533" s="147"/>
      <c r="D533" s="674"/>
      <c r="E533" s="674"/>
      <c r="F533" s="674"/>
      <c r="G533" s="674"/>
      <c r="H533" s="674"/>
      <c r="I533" s="674"/>
      <c r="J533" s="674"/>
      <c r="K533" s="674"/>
      <c r="L533" s="674"/>
      <c r="M533" s="147"/>
      <c r="N533" s="674"/>
      <c r="O533" s="675"/>
      <c r="P533" s="466"/>
      <c r="Q533" s="466"/>
      <c r="R533" s="466"/>
      <c r="S533" s="466"/>
      <c r="T533" s="466"/>
      <c r="U533" s="466"/>
      <c r="V533" s="466"/>
    </row>
    <row r="534" spans="2:22" ht="12.75">
      <c r="B534" s="673"/>
      <c r="C534" s="147"/>
      <c r="D534" s="674"/>
      <c r="E534" s="674"/>
      <c r="F534" s="674"/>
      <c r="G534" s="674"/>
      <c r="H534" s="674"/>
      <c r="I534" s="674"/>
      <c r="J534" s="674"/>
      <c r="K534" s="674"/>
      <c r="L534" s="674"/>
      <c r="M534" s="147"/>
      <c r="N534" s="674"/>
      <c r="O534" s="675"/>
      <c r="P534" s="466"/>
      <c r="Q534" s="466"/>
      <c r="R534" s="466"/>
      <c r="S534" s="466"/>
      <c r="T534" s="466"/>
      <c r="U534" s="466"/>
      <c r="V534" s="466"/>
    </row>
    <row r="535" spans="2:22" ht="12.75">
      <c r="B535" s="673"/>
      <c r="C535" s="147"/>
      <c r="D535" s="674"/>
      <c r="E535" s="674"/>
      <c r="F535" s="674"/>
      <c r="G535" s="674"/>
      <c r="H535" s="674"/>
      <c r="I535" s="674"/>
      <c r="J535" s="674"/>
      <c r="K535" s="674"/>
      <c r="L535" s="674"/>
      <c r="M535" s="147"/>
      <c r="N535" s="674"/>
      <c r="O535" s="675"/>
      <c r="P535" s="466"/>
      <c r="Q535" s="466"/>
      <c r="R535" s="466"/>
      <c r="S535" s="466"/>
      <c r="T535" s="466"/>
      <c r="U535" s="466"/>
      <c r="V535" s="466"/>
    </row>
    <row r="536" spans="2:22" ht="12.75">
      <c r="B536" s="673"/>
      <c r="C536" s="147"/>
      <c r="D536" s="674"/>
      <c r="E536" s="674"/>
      <c r="F536" s="674"/>
      <c r="G536" s="674"/>
      <c r="H536" s="674"/>
      <c r="I536" s="674"/>
      <c r="J536" s="674"/>
      <c r="K536" s="674"/>
      <c r="L536" s="674"/>
      <c r="M536" s="147"/>
      <c r="N536" s="674"/>
      <c r="O536" s="675"/>
      <c r="P536" s="466"/>
      <c r="Q536" s="466"/>
      <c r="R536" s="466"/>
      <c r="S536" s="466"/>
      <c r="T536" s="466"/>
      <c r="U536" s="466"/>
      <c r="V536" s="466"/>
    </row>
    <row r="537" spans="2:22" ht="12.75">
      <c r="B537" s="673"/>
      <c r="C537" s="147"/>
      <c r="D537" s="674"/>
      <c r="E537" s="674"/>
      <c r="F537" s="674"/>
      <c r="G537" s="674"/>
      <c r="H537" s="674"/>
      <c r="I537" s="674"/>
      <c r="J537" s="674"/>
      <c r="K537" s="674"/>
      <c r="L537" s="674"/>
      <c r="M537" s="147"/>
      <c r="N537" s="674"/>
      <c r="O537" s="675"/>
      <c r="P537" s="466"/>
      <c r="Q537" s="466"/>
      <c r="R537" s="466"/>
      <c r="S537" s="466"/>
      <c r="T537" s="466"/>
      <c r="U537" s="466"/>
      <c r="V537" s="466"/>
    </row>
    <row r="538" spans="2:22" ht="12.75">
      <c r="B538" s="673"/>
      <c r="C538" s="147"/>
      <c r="D538" s="674"/>
      <c r="E538" s="674"/>
      <c r="F538" s="674"/>
      <c r="G538" s="674"/>
      <c r="H538" s="674"/>
      <c r="I538" s="674"/>
      <c r="J538" s="674"/>
      <c r="K538" s="674"/>
      <c r="L538" s="674"/>
      <c r="M538" s="147"/>
      <c r="N538" s="674"/>
      <c r="O538" s="675"/>
      <c r="P538" s="466"/>
      <c r="Q538" s="466"/>
      <c r="R538" s="466"/>
      <c r="S538" s="466"/>
      <c r="T538" s="466"/>
      <c r="U538" s="466"/>
      <c r="V538" s="466"/>
    </row>
    <row r="539" spans="2:22" ht="12.75">
      <c r="B539" s="673"/>
      <c r="C539" s="147"/>
      <c r="D539" s="674"/>
      <c r="E539" s="674"/>
      <c r="F539" s="674"/>
      <c r="G539" s="674"/>
      <c r="H539" s="674"/>
      <c r="I539" s="674"/>
      <c r="J539" s="674"/>
      <c r="K539" s="674"/>
      <c r="L539" s="674"/>
      <c r="M539" s="147"/>
      <c r="N539" s="674"/>
      <c r="O539" s="675"/>
      <c r="P539" s="466"/>
      <c r="Q539" s="466"/>
      <c r="R539" s="466"/>
      <c r="S539" s="466"/>
      <c r="T539" s="466"/>
      <c r="U539" s="466"/>
      <c r="V539" s="466"/>
    </row>
    <row r="540" spans="2:22" ht="12.75">
      <c r="B540" s="673"/>
      <c r="C540" s="147"/>
      <c r="D540" s="674"/>
      <c r="E540" s="674"/>
      <c r="F540" s="674"/>
      <c r="G540" s="674"/>
      <c r="H540" s="674"/>
      <c r="I540" s="674"/>
      <c r="J540" s="674"/>
      <c r="K540" s="674"/>
      <c r="L540" s="674"/>
      <c r="M540" s="147"/>
      <c r="N540" s="674"/>
      <c r="O540" s="675"/>
      <c r="P540" s="466"/>
      <c r="Q540" s="466"/>
      <c r="R540" s="466"/>
      <c r="S540" s="466"/>
      <c r="T540" s="466"/>
      <c r="U540" s="466"/>
      <c r="V540" s="466"/>
    </row>
    <row r="541" spans="2:22" ht="12.75">
      <c r="B541" s="673"/>
      <c r="C541" s="147"/>
      <c r="D541" s="674"/>
      <c r="E541" s="674"/>
      <c r="F541" s="674"/>
      <c r="G541" s="674"/>
      <c r="H541" s="674"/>
      <c r="I541" s="674"/>
      <c r="J541" s="674"/>
      <c r="K541" s="674"/>
      <c r="L541" s="674"/>
      <c r="M541" s="147"/>
      <c r="N541" s="674"/>
      <c r="O541" s="675"/>
      <c r="P541" s="466"/>
      <c r="Q541" s="466"/>
      <c r="R541" s="466"/>
      <c r="S541" s="466"/>
      <c r="T541" s="466"/>
      <c r="U541" s="466"/>
      <c r="V541" s="466"/>
    </row>
    <row r="542" spans="2:22" ht="12.75">
      <c r="B542" s="673"/>
      <c r="C542" s="147"/>
      <c r="D542" s="674"/>
      <c r="E542" s="674"/>
      <c r="F542" s="674"/>
      <c r="G542" s="674"/>
      <c r="H542" s="674"/>
      <c r="I542" s="674"/>
      <c r="J542" s="674"/>
      <c r="K542" s="674"/>
      <c r="L542" s="674"/>
      <c r="M542" s="147"/>
      <c r="N542" s="674"/>
      <c r="O542" s="675"/>
      <c r="P542" s="466"/>
      <c r="Q542" s="466"/>
      <c r="R542" s="466"/>
      <c r="S542" s="466"/>
      <c r="T542" s="466"/>
      <c r="U542" s="466"/>
      <c r="V542" s="466"/>
    </row>
    <row r="543" spans="2:22" ht="12.75">
      <c r="B543" s="673"/>
      <c r="C543" s="147"/>
      <c r="D543" s="674"/>
      <c r="E543" s="674"/>
      <c r="F543" s="674"/>
      <c r="G543" s="674"/>
      <c r="H543" s="674"/>
      <c r="I543" s="674"/>
      <c r="J543" s="674"/>
      <c r="K543" s="674"/>
      <c r="L543" s="674"/>
      <c r="M543" s="147"/>
      <c r="N543" s="674"/>
      <c r="O543" s="675"/>
      <c r="P543" s="466"/>
      <c r="Q543" s="466"/>
      <c r="R543" s="466"/>
      <c r="S543" s="466"/>
      <c r="T543" s="466"/>
      <c r="U543" s="466"/>
      <c r="V543" s="466"/>
    </row>
    <row r="544" spans="2:22" ht="12.75">
      <c r="B544" s="673"/>
      <c r="C544" s="147"/>
      <c r="D544" s="674"/>
      <c r="E544" s="674"/>
      <c r="F544" s="674"/>
      <c r="G544" s="674"/>
      <c r="H544" s="674"/>
      <c r="I544" s="674"/>
      <c r="J544" s="674"/>
      <c r="K544" s="674"/>
      <c r="L544" s="674"/>
      <c r="M544" s="147"/>
      <c r="N544" s="674"/>
      <c r="O544" s="675"/>
      <c r="P544" s="466"/>
      <c r="Q544" s="466"/>
      <c r="R544" s="466"/>
      <c r="S544" s="466"/>
      <c r="T544" s="466"/>
      <c r="U544" s="466"/>
      <c r="V544" s="466"/>
    </row>
    <row r="545" spans="2:26" ht="12.75">
      <c r="B545" s="673"/>
      <c r="C545" s="147"/>
      <c r="D545" s="674"/>
      <c r="E545" s="674"/>
      <c r="F545" s="674"/>
      <c r="G545" s="674"/>
      <c r="H545" s="674"/>
      <c r="I545" s="674"/>
      <c r="J545" s="674"/>
      <c r="K545" s="674"/>
      <c r="L545" s="674"/>
      <c r="M545" s="676"/>
      <c r="N545" s="674"/>
      <c r="O545" s="675"/>
      <c r="P545" s="466"/>
      <c r="Q545" s="466"/>
      <c r="R545" s="466"/>
      <c r="S545" s="466"/>
      <c r="T545" s="466"/>
      <c r="U545" s="466"/>
      <c r="V545" s="466"/>
    </row>
    <row r="546" spans="2:26" ht="12.75">
      <c r="B546" s="673"/>
      <c r="C546" s="147"/>
      <c r="D546" s="674"/>
      <c r="E546" s="674"/>
      <c r="F546" s="674"/>
      <c r="G546" s="674"/>
      <c r="H546" s="674"/>
      <c r="I546" s="674"/>
      <c r="J546" s="674"/>
      <c r="K546" s="674"/>
      <c r="L546" s="674"/>
      <c r="M546" s="676"/>
      <c r="N546" s="674"/>
      <c r="O546" s="675"/>
      <c r="P546" s="466"/>
      <c r="Q546" s="466"/>
      <c r="R546" s="466"/>
      <c r="S546" s="466"/>
      <c r="T546" s="466"/>
      <c r="U546" s="466"/>
      <c r="V546" s="466"/>
    </row>
    <row r="547" spans="2:26" ht="12.75">
      <c r="B547" s="673"/>
      <c r="C547" s="147"/>
      <c r="D547" s="674"/>
      <c r="E547" s="674"/>
      <c r="F547" s="674"/>
      <c r="G547" s="674"/>
      <c r="H547" s="674"/>
      <c r="I547" s="674"/>
      <c r="J547" s="674"/>
      <c r="K547" s="674"/>
      <c r="L547" s="674"/>
      <c r="M547" s="676"/>
      <c r="N547" s="674"/>
      <c r="O547" s="675"/>
      <c r="P547" s="466"/>
      <c r="Q547" s="466"/>
      <c r="R547" s="466"/>
      <c r="S547" s="466"/>
      <c r="T547" s="466"/>
      <c r="U547" s="466"/>
      <c r="V547" s="466"/>
    </row>
    <row r="548" spans="2:26" ht="12.75">
      <c r="B548" s="673"/>
      <c r="C548" s="147"/>
      <c r="D548" s="674"/>
      <c r="E548" s="674"/>
      <c r="F548" s="674"/>
      <c r="G548" s="674"/>
      <c r="H548" s="674"/>
      <c r="I548" s="674"/>
      <c r="J548" s="674"/>
      <c r="K548" s="674"/>
      <c r="L548" s="674"/>
      <c r="M548" s="676"/>
      <c r="N548" s="674"/>
      <c r="O548" s="675"/>
      <c r="P548" s="466"/>
      <c r="Q548" s="466"/>
      <c r="R548" s="466"/>
      <c r="S548" s="466"/>
      <c r="T548" s="466"/>
      <c r="U548" s="466"/>
      <c r="V548" s="466"/>
    </row>
    <row r="549" spans="2:26" ht="12.75">
      <c r="B549" s="673"/>
      <c r="C549" s="147"/>
      <c r="D549" s="674"/>
      <c r="E549" s="674"/>
      <c r="F549" s="674"/>
      <c r="G549" s="674"/>
      <c r="H549" s="674"/>
      <c r="I549" s="674"/>
      <c r="J549" s="674"/>
      <c r="K549" s="674"/>
      <c r="L549" s="674"/>
      <c r="M549" s="676"/>
      <c r="N549" s="674"/>
      <c r="O549" s="675"/>
      <c r="P549" s="466"/>
      <c r="Q549" s="466"/>
      <c r="R549" s="466"/>
      <c r="S549" s="466"/>
      <c r="T549" s="466"/>
      <c r="U549" s="466"/>
      <c r="V549" s="466"/>
    </row>
    <row r="550" spans="2:26" ht="12.75">
      <c r="B550" s="673"/>
      <c r="C550" s="147"/>
      <c r="D550" s="674"/>
      <c r="E550" s="674"/>
      <c r="F550" s="674"/>
      <c r="G550" s="674"/>
      <c r="H550" s="674"/>
      <c r="I550" s="674"/>
      <c r="J550" s="674"/>
      <c r="K550" s="674"/>
      <c r="L550" s="674"/>
      <c r="M550" s="676"/>
      <c r="N550" s="674"/>
      <c r="O550" s="675"/>
      <c r="P550" s="466"/>
      <c r="Q550" s="466"/>
      <c r="R550" s="466"/>
      <c r="S550" s="466"/>
      <c r="T550" s="466"/>
      <c r="U550" s="466"/>
      <c r="V550" s="466"/>
    </row>
    <row r="551" spans="2:26" ht="12.75">
      <c r="B551" s="673"/>
      <c r="C551" s="147"/>
      <c r="D551" s="674"/>
      <c r="E551" s="674"/>
      <c r="F551" s="674"/>
      <c r="G551" s="674"/>
      <c r="H551" s="674"/>
      <c r="I551" s="674"/>
      <c r="J551" s="674"/>
      <c r="K551" s="674"/>
      <c r="L551" s="674"/>
      <c r="M551" s="674"/>
      <c r="N551" s="674"/>
      <c r="O551" s="675"/>
      <c r="P551" s="466"/>
      <c r="Q551" s="466"/>
      <c r="R551" s="466"/>
      <c r="S551" s="466"/>
      <c r="T551" s="466"/>
      <c r="U551" s="466"/>
      <c r="V551" s="466"/>
      <c r="W551" s="466"/>
      <c r="X551" s="466"/>
      <c r="Y551" s="466"/>
      <c r="Z551" s="466"/>
    </row>
    <row r="552" spans="2:26" ht="12.75">
      <c r="B552" s="673"/>
      <c r="C552" s="147"/>
      <c r="D552" s="674"/>
      <c r="E552" s="674"/>
      <c r="F552" s="674"/>
      <c r="G552" s="674"/>
      <c r="H552" s="674"/>
      <c r="I552" s="674"/>
      <c r="J552" s="674"/>
      <c r="K552" s="674"/>
      <c r="L552" s="674"/>
      <c r="M552" s="676"/>
      <c r="N552" s="674"/>
      <c r="O552" s="675"/>
      <c r="P552" s="466"/>
      <c r="Q552" s="466"/>
      <c r="R552" s="466"/>
      <c r="S552" s="466"/>
      <c r="T552" s="466"/>
      <c r="U552" s="466"/>
      <c r="V552" s="466"/>
    </row>
    <row r="553" spans="2:26" ht="12.75">
      <c r="B553" s="673"/>
      <c r="C553" s="147"/>
      <c r="D553" s="674"/>
      <c r="E553" s="674"/>
      <c r="F553" s="674"/>
      <c r="G553" s="674"/>
      <c r="H553" s="674"/>
      <c r="I553" s="674"/>
      <c r="J553" s="674"/>
      <c r="K553" s="674"/>
      <c r="L553" s="674"/>
      <c r="M553" s="676"/>
      <c r="N553" s="674"/>
      <c r="O553" s="675"/>
      <c r="P553" s="466"/>
      <c r="Q553" s="466"/>
      <c r="R553" s="466"/>
      <c r="S553" s="466"/>
      <c r="T553" s="466"/>
      <c r="U553" s="466"/>
      <c r="V553" s="466"/>
    </row>
    <row r="554" spans="2:26" ht="12.75">
      <c r="B554" s="673"/>
      <c r="C554" s="147"/>
      <c r="D554" s="674"/>
      <c r="E554" s="674"/>
      <c r="F554" s="674"/>
      <c r="G554" s="674"/>
      <c r="H554" s="674"/>
      <c r="I554" s="674"/>
      <c r="J554" s="674"/>
      <c r="K554" s="674"/>
      <c r="L554" s="674"/>
      <c r="M554" s="676"/>
      <c r="N554" s="674"/>
      <c r="O554" s="675"/>
      <c r="P554" s="466"/>
      <c r="Q554" s="466"/>
      <c r="R554" s="466"/>
      <c r="S554" s="466"/>
      <c r="T554" s="466"/>
      <c r="U554" s="466"/>
      <c r="V554" s="466"/>
    </row>
    <row r="555" spans="2:26" ht="12.75">
      <c r="B555" s="673"/>
      <c r="C555" s="147"/>
      <c r="D555" s="674"/>
      <c r="E555" s="674"/>
      <c r="F555" s="674"/>
      <c r="G555" s="674"/>
      <c r="H555" s="674"/>
      <c r="I555" s="674"/>
      <c r="J555" s="674"/>
      <c r="K555" s="674"/>
      <c r="L555" s="674"/>
      <c r="M555" s="676"/>
      <c r="N555" s="674"/>
      <c r="O555" s="675"/>
      <c r="P555" s="466"/>
      <c r="Q555" s="466"/>
      <c r="R555" s="466"/>
      <c r="S555" s="466"/>
      <c r="T555" s="466"/>
      <c r="U555" s="466"/>
      <c r="V555" s="466"/>
    </row>
    <row r="556" spans="2:26" ht="12.75">
      <c r="B556" s="673"/>
      <c r="C556" s="147"/>
      <c r="D556" s="674"/>
      <c r="E556" s="674"/>
      <c r="F556" s="674"/>
      <c r="G556" s="674"/>
      <c r="H556" s="674"/>
      <c r="I556" s="674"/>
      <c r="J556" s="674"/>
      <c r="K556" s="674"/>
      <c r="L556" s="674"/>
      <c r="M556" s="676"/>
      <c r="N556" s="674"/>
      <c r="O556" s="675"/>
      <c r="P556" s="466"/>
      <c r="Q556" s="466"/>
      <c r="R556" s="466"/>
      <c r="S556" s="466"/>
      <c r="T556" s="466"/>
      <c r="U556" s="466"/>
      <c r="V556" s="466"/>
    </row>
    <row r="557" spans="2:26" ht="12.75">
      <c r="B557" s="673"/>
      <c r="C557" s="147"/>
      <c r="D557" s="674"/>
      <c r="E557" s="674"/>
      <c r="F557" s="674"/>
      <c r="G557" s="674"/>
      <c r="H557" s="674"/>
      <c r="I557" s="674"/>
      <c r="J557" s="674"/>
      <c r="K557" s="674"/>
      <c r="L557" s="674"/>
      <c r="M557" s="676"/>
      <c r="N557" s="674"/>
      <c r="O557" s="675"/>
      <c r="P557" s="466"/>
      <c r="Q557" s="466"/>
      <c r="R557" s="466"/>
      <c r="S557" s="466"/>
      <c r="T557" s="466"/>
      <c r="U557" s="466"/>
      <c r="V557" s="466"/>
    </row>
    <row r="558" spans="2:26" ht="12.75">
      <c r="B558" s="673"/>
      <c r="C558" s="147"/>
      <c r="D558" s="674"/>
      <c r="E558" s="674"/>
      <c r="F558" s="674"/>
      <c r="G558" s="674"/>
      <c r="H558" s="674"/>
      <c r="I558" s="674"/>
      <c r="J558" s="674"/>
      <c r="K558" s="674"/>
      <c r="L558" s="674"/>
      <c r="M558" s="676"/>
      <c r="N558" s="674"/>
      <c r="O558" s="675"/>
      <c r="P558" s="466"/>
      <c r="Q558" s="466"/>
      <c r="R558" s="466"/>
      <c r="S558" s="466"/>
      <c r="T558" s="466"/>
      <c r="U558" s="466"/>
      <c r="V558" s="466"/>
    </row>
    <row r="559" spans="2:26" ht="12.75">
      <c r="B559" s="673"/>
      <c r="C559" s="147"/>
      <c r="D559" s="674"/>
      <c r="E559" s="674"/>
      <c r="F559" s="674"/>
      <c r="G559" s="674"/>
      <c r="H559" s="674"/>
      <c r="I559" s="674"/>
      <c r="J559" s="674"/>
      <c r="K559" s="674"/>
      <c r="L559" s="674"/>
      <c r="M559" s="676"/>
      <c r="N559" s="674"/>
      <c r="O559" s="675"/>
      <c r="P559" s="466"/>
      <c r="Q559" s="466"/>
      <c r="R559" s="466"/>
      <c r="S559" s="466"/>
      <c r="T559" s="466"/>
      <c r="U559" s="466"/>
      <c r="V559" s="466"/>
    </row>
    <row r="560" spans="2:26" ht="12.75">
      <c r="B560" s="673"/>
      <c r="C560" s="147"/>
      <c r="D560" s="674"/>
      <c r="E560" s="674"/>
      <c r="F560" s="674"/>
      <c r="G560" s="674"/>
      <c r="H560" s="674"/>
      <c r="I560" s="674"/>
      <c r="J560" s="674"/>
      <c r="K560" s="674"/>
      <c r="L560" s="674"/>
      <c r="M560" s="676"/>
      <c r="N560" s="674"/>
      <c r="O560" s="675"/>
      <c r="P560" s="466"/>
      <c r="Q560" s="466"/>
      <c r="R560" s="466"/>
      <c r="S560" s="466"/>
      <c r="T560" s="466"/>
      <c r="U560" s="466"/>
      <c r="V560" s="466"/>
    </row>
    <row r="561" spans="2:22" ht="12.75">
      <c r="B561" s="673"/>
      <c r="C561" s="147"/>
      <c r="D561" s="674"/>
      <c r="E561" s="674"/>
      <c r="F561" s="674"/>
      <c r="G561" s="674"/>
      <c r="H561" s="674"/>
      <c r="I561" s="674"/>
      <c r="J561" s="674"/>
      <c r="K561" s="674"/>
      <c r="L561" s="674"/>
      <c r="M561" s="676"/>
      <c r="N561" s="674"/>
      <c r="O561" s="675"/>
      <c r="P561" s="466"/>
      <c r="Q561" s="466"/>
      <c r="R561" s="466"/>
      <c r="S561" s="466"/>
      <c r="T561" s="466"/>
      <c r="U561" s="466"/>
      <c r="V561" s="466"/>
    </row>
    <row r="562" spans="2:22" ht="12.75">
      <c r="B562" s="673"/>
      <c r="C562" s="147"/>
      <c r="D562" s="674"/>
      <c r="E562" s="674"/>
      <c r="F562" s="674"/>
      <c r="G562" s="674"/>
      <c r="H562" s="674"/>
      <c r="I562" s="674"/>
      <c r="J562" s="674"/>
      <c r="K562" s="674"/>
      <c r="L562" s="674"/>
      <c r="M562" s="676"/>
      <c r="N562" s="674"/>
      <c r="O562" s="675"/>
      <c r="P562" s="466"/>
      <c r="Q562" s="466"/>
      <c r="R562" s="466"/>
      <c r="S562" s="466"/>
      <c r="T562" s="466"/>
      <c r="U562" s="466"/>
      <c r="V562" s="466"/>
    </row>
    <row r="563" spans="2:22" ht="12.75">
      <c r="B563" s="673"/>
      <c r="C563" s="147"/>
      <c r="D563" s="674"/>
      <c r="E563" s="674"/>
      <c r="F563" s="674"/>
      <c r="G563" s="674"/>
      <c r="H563" s="674"/>
      <c r="I563" s="674"/>
      <c r="J563" s="674"/>
      <c r="K563" s="674"/>
      <c r="L563" s="674"/>
      <c r="M563" s="676"/>
      <c r="N563" s="674"/>
      <c r="O563" s="675"/>
      <c r="P563" s="466"/>
      <c r="Q563" s="466"/>
      <c r="R563" s="466"/>
      <c r="S563" s="466"/>
      <c r="T563" s="466"/>
      <c r="U563" s="466"/>
      <c r="V563" s="466"/>
    </row>
    <row r="564" spans="2:22" ht="12.75">
      <c r="B564" s="673"/>
      <c r="C564" s="147"/>
      <c r="D564" s="674"/>
      <c r="E564" s="674"/>
      <c r="F564" s="674"/>
      <c r="G564" s="674"/>
      <c r="H564" s="674"/>
      <c r="I564" s="674"/>
      <c r="J564" s="674"/>
      <c r="K564" s="674"/>
      <c r="L564" s="674"/>
      <c r="M564" s="676"/>
      <c r="N564" s="674"/>
      <c r="O564" s="675"/>
      <c r="P564" s="466"/>
      <c r="Q564" s="466"/>
      <c r="R564" s="466"/>
      <c r="S564" s="466"/>
      <c r="T564" s="466"/>
      <c r="U564" s="466"/>
      <c r="V564" s="466"/>
    </row>
    <row r="565" spans="2:22" ht="12.75">
      <c r="B565" s="673"/>
      <c r="C565" s="147"/>
      <c r="D565" s="674"/>
      <c r="E565" s="674"/>
      <c r="F565" s="674"/>
      <c r="G565" s="674"/>
      <c r="H565" s="674"/>
      <c r="I565" s="674"/>
      <c r="J565" s="674"/>
      <c r="K565" s="674"/>
      <c r="L565" s="674"/>
      <c r="M565" s="676"/>
      <c r="N565" s="674"/>
      <c r="O565" s="675"/>
      <c r="P565" s="466"/>
      <c r="Q565" s="466"/>
      <c r="R565" s="466"/>
      <c r="S565" s="466"/>
      <c r="T565" s="466"/>
      <c r="U565" s="466"/>
      <c r="V565" s="466"/>
    </row>
    <row r="566" spans="2:22" ht="12.75">
      <c r="B566" s="673"/>
      <c r="C566" s="147"/>
      <c r="D566" s="674"/>
      <c r="E566" s="674"/>
      <c r="F566" s="674"/>
      <c r="G566" s="674"/>
      <c r="H566" s="674"/>
      <c r="I566" s="674"/>
      <c r="J566" s="674"/>
      <c r="K566" s="674"/>
      <c r="L566" s="674"/>
      <c r="M566" s="676"/>
      <c r="N566" s="674"/>
      <c r="O566" s="675"/>
      <c r="P566" s="466"/>
      <c r="Q566" s="466"/>
      <c r="R566" s="466"/>
      <c r="S566" s="466"/>
      <c r="T566" s="466"/>
      <c r="U566" s="466"/>
      <c r="V566" s="466"/>
    </row>
    <row r="567" spans="2:22" ht="12.75">
      <c r="B567" s="673"/>
      <c r="C567" s="147"/>
      <c r="D567" s="674"/>
      <c r="E567" s="674"/>
      <c r="F567" s="674"/>
      <c r="G567" s="674"/>
      <c r="H567" s="674"/>
      <c r="I567" s="674"/>
      <c r="J567" s="674"/>
      <c r="K567" s="674"/>
      <c r="L567" s="674"/>
      <c r="M567" s="676"/>
      <c r="N567" s="674"/>
      <c r="O567" s="675"/>
      <c r="P567" s="466"/>
      <c r="Q567" s="466"/>
      <c r="R567" s="466"/>
      <c r="S567" s="466"/>
      <c r="T567" s="466"/>
      <c r="U567" s="466"/>
      <c r="V567" s="466"/>
    </row>
    <row r="568" spans="2:22" ht="12.75">
      <c r="B568" s="673"/>
      <c r="C568" s="147"/>
      <c r="D568" s="674"/>
      <c r="E568" s="674"/>
      <c r="F568" s="674"/>
      <c r="G568" s="674"/>
      <c r="H568" s="674"/>
      <c r="I568" s="674"/>
      <c r="J568" s="674"/>
      <c r="K568" s="674"/>
      <c r="L568" s="674"/>
      <c r="M568" s="676"/>
      <c r="N568" s="674"/>
      <c r="O568" s="675"/>
      <c r="P568" s="466"/>
      <c r="Q568" s="466"/>
      <c r="R568" s="466"/>
      <c r="S568" s="466"/>
      <c r="T568" s="466"/>
      <c r="U568" s="466"/>
      <c r="V568" s="466"/>
    </row>
    <row r="569" spans="2:22" ht="12.75">
      <c r="B569" s="673"/>
      <c r="C569" s="147"/>
      <c r="D569" s="674"/>
      <c r="E569" s="674"/>
      <c r="F569" s="674"/>
      <c r="G569" s="674"/>
      <c r="H569" s="674"/>
      <c r="I569" s="674"/>
      <c r="J569" s="674"/>
      <c r="K569" s="674"/>
      <c r="L569" s="674"/>
      <c r="M569" s="676"/>
      <c r="N569" s="674"/>
      <c r="O569" s="675"/>
      <c r="P569" s="466"/>
      <c r="Q569" s="466"/>
      <c r="R569" s="466"/>
      <c r="S569" s="466"/>
      <c r="T569" s="466"/>
      <c r="U569" s="466"/>
      <c r="V569" s="466"/>
    </row>
    <row r="570" spans="2:22" ht="12.75">
      <c r="B570" s="673"/>
      <c r="C570" s="147"/>
      <c r="D570" s="674"/>
      <c r="E570" s="674"/>
      <c r="F570" s="674"/>
      <c r="G570" s="674"/>
      <c r="H570" s="674"/>
      <c r="I570" s="674"/>
      <c r="J570" s="674"/>
      <c r="K570" s="674"/>
      <c r="L570" s="674"/>
      <c r="M570" s="676"/>
      <c r="N570" s="674"/>
      <c r="O570" s="675"/>
      <c r="P570" s="466"/>
      <c r="Q570" s="466"/>
      <c r="R570" s="466"/>
      <c r="S570" s="466"/>
      <c r="T570" s="466"/>
      <c r="U570" s="466"/>
      <c r="V570" s="466"/>
    </row>
    <row r="571" spans="2:22" ht="12.75">
      <c r="B571" s="673"/>
      <c r="C571" s="147"/>
      <c r="D571" s="674"/>
      <c r="E571" s="674"/>
      <c r="F571" s="674"/>
      <c r="G571" s="674"/>
      <c r="H571" s="674"/>
      <c r="I571" s="674"/>
      <c r="J571" s="674"/>
      <c r="K571" s="674"/>
      <c r="L571" s="674"/>
      <c r="M571" s="676"/>
      <c r="N571" s="674"/>
      <c r="O571" s="675"/>
      <c r="P571" s="466"/>
      <c r="Q571" s="466"/>
      <c r="R571" s="466"/>
      <c r="S571" s="466"/>
      <c r="T571" s="466"/>
      <c r="U571" s="466"/>
      <c r="V571" s="466"/>
    </row>
    <row r="572" spans="2:22" ht="12.75">
      <c r="B572" s="673"/>
      <c r="C572" s="147"/>
      <c r="D572" s="674"/>
      <c r="E572" s="674"/>
      <c r="F572" s="674"/>
      <c r="G572" s="674"/>
      <c r="H572" s="674"/>
      <c r="I572" s="674"/>
      <c r="J572" s="674"/>
      <c r="K572" s="674"/>
      <c r="L572" s="674"/>
      <c r="M572" s="676"/>
      <c r="N572" s="674"/>
      <c r="O572" s="675"/>
      <c r="P572" s="466"/>
      <c r="Q572" s="466"/>
      <c r="R572" s="466"/>
      <c r="S572" s="466"/>
      <c r="T572" s="466"/>
      <c r="U572" s="466"/>
      <c r="V572" s="466"/>
    </row>
    <row r="573" spans="2:22" ht="12.75">
      <c r="B573" s="673"/>
      <c r="C573" s="147"/>
      <c r="D573" s="674"/>
      <c r="E573" s="674"/>
      <c r="F573" s="674"/>
      <c r="G573" s="674"/>
      <c r="H573" s="674"/>
      <c r="I573" s="674"/>
      <c r="J573" s="674"/>
      <c r="K573" s="674"/>
      <c r="L573" s="674"/>
      <c r="M573" s="676"/>
      <c r="N573" s="674"/>
      <c r="O573" s="675"/>
      <c r="P573" s="466"/>
      <c r="Q573" s="466"/>
      <c r="R573" s="466"/>
      <c r="S573" s="466"/>
      <c r="T573" s="466"/>
      <c r="U573" s="466"/>
      <c r="V573" s="466"/>
    </row>
    <row r="574" spans="2:22" ht="12.75">
      <c r="B574" s="673"/>
      <c r="C574" s="147"/>
      <c r="D574" s="674"/>
      <c r="E574" s="674"/>
      <c r="F574" s="674"/>
      <c r="G574" s="674"/>
      <c r="H574" s="674"/>
      <c r="I574" s="674"/>
      <c r="J574" s="674"/>
      <c r="K574" s="674"/>
      <c r="L574" s="674"/>
      <c r="M574" s="676"/>
      <c r="N574" s="674"/>
      <c r="O574" s="675"/>
      <c r="P574" s="466"/>
      <c r="Q574" s="466"/>
      <c r="R574" s="466"/>
      <c r="S574" s="466"/>
      <c r="T574" s="466"/>
      <c r="U574" s="466"/>
      <c r="V574" s="466"/>
    </row>
    <row r="575" spans="2:22" ht="12.75">
      <c r="B575" s="673"/>
      <c r="C575" s="147"/>
      <c r="D575" s="674"/>
      <c r="E575" s="674"/>
      <c r="F575" s="674"/>
      <c r="G575" s="674"/>
      <c r="H575" s="674"/>
      <c r="I575" s="674"/>
      <c r="J575" s="674"/>
      <c r="K575" s="674"/>
      <c r="L575" s="674"/>
      <c r="M575" s="676"/>
      <c r="N575" s="674"/>
      <c r="O575" s="675"/>
      <c r="P575" s="466"/>
      <c r="Q575" s="466"/>
      <c r="R575" s="466"/>
      <c r="S575" s="466"/>
      <c r="T575" s="466"/>
      <c r="U575" s="466"/>
      <c r="V575" s="466"/>
    </row>
    <row r="576" spans="2:22" ht="12.75">
      <c r="B576" s="673"/>
      <c r="C576" s="147"/>
      <c r="D576" s="674"/>
      <c r="E576" s="674"/>
      <c r="F576" s="674"/>
      <c r="G576" s="674"/>
      <c r="H576" s="674"/>
      <c r="I576" s="674"/>
      <c r="J576" s="674"/>
      <c r="K576" s="674"/>
      <c r="L576" s="674"/>
      <c r="M576" s="676"/>
      <c r="N576" s="674"/>
      <c r="O576" s="675"/>
      <c r="P576" s="466"/>
      <c r="Q576" s="466"/>
      <c r="R576" s="466"/>
      <c r="S576" s="466"/>
      <c r="T576" s="466"/>
      <c r="U576" s="466"/>
      <c r="V576" s="466"/>
    </row>
    <row r="577" spans="2:22" ht="12.75">
      <c r="B577" s="673"/>
      <c r="C577" s="147"/>
      <c r="D577" s="674"/>
      <c r="E577" s="674"/>
      <c r="F577" s="674"/>
      <c r="G577" s="674"/>
      <c r="H577" s="674"/>
      <c r="I577" s="674"/>
      <c r="J577" s="674"/>
      <c r="K577" s="674"/>
      <c r="L577" s="674"/>
      <c r="M577" s="676"/>
      <c r="N577" s="674"/>
      <c r="O577" s="675"/>
      <c r="P577" s="466"/>
      <c r="Q577" s="466"/>
      <c r="R577" s="466"/>
      <c r="S577" s="466"/>
      <c r="T577" s="466"/>
      <c r="U577" s="466"/>
      <c r="V577" s="466"/>
    </row>
    <row r="578" spans="2:22" ht="12.75">
      <c r="B578" s="673"/>
      <c r="C578" s="147"/>
      <c r="D578" s="674"/>
      <c r="E578" s="674"/>
      <c r="F578" s="674"/>
      <c r="G578" s="674"/>
      <c r="H578" s="674"/>
      <c r="I578" s="674"/>
      <c r="J578" s="674"/>
      <c r="K578" s="674"/>
      <c r="L578" s="674"/>
      <c r="M578" s="676"/>
      <c r="N578" s="674"/>
      <c r="O578" s="675"/>
      <c r="P578" s="466"/>
      <c r="Q578" s="466"/>
      <c r="R578" s="466"/>
      <c r="S578" s="466"/>
      <c r="T578" s="466"/>
      <c r="U578" s="466"/>
      <c r="V578" s="466"/>
    </row>
    <row r="579" spans="2:22" ht="12.75">
      <c r="B579" s="673"/>
      <c r="C579" s="147"/>
      <c r="D579" s="674"/>
      <c r="E579" s="674"/>
      <c r="F579" s="674"/>
      <c r="G579" s="674"/>
      <c r="H579" s="674"/>
      <c r="I579" s="674"/>
      <c r="J579" s="674"/>
      <c r="K579" s="674"/>
      <c r="L579" s="674"/>
      <c r="M579" s="676"/>
      <c r="N579" s="674"/>
      <c r="O579" s="675"/>
      <c r="P579" s="466"/>
      <c r="Q579" s="466"/>
      <c r="R579" s="466"/>
      <c r="S579" s="466"/>
      <c r="T579" s="466"/>
      <c r="U579" s="466"/>
      <c r="V579" s="466"/>
    </row>
    <row r="580" spans="2:22" ht="12.75">
      <c r="B580" s="673"/>
      <c r="C580" s="147"/>
      <c r="D580" s="674"/>
      <c r="E580" s="674"/>
      <c r="F580" s="674"/>
      <c r="G580" s="674"/>
      <c r="H580" s="674"/>
      <c r="I580" s="674"/>
      <c r="J580" s="674"/>
      <c r="K580" s="674"/>
      <c r="L580" s="674"/>
      <c r="M580" s="676"/>
      <c r="N580" s="674"/>
      <c r="O580" s="675"/>
      <c r="P580" s="466"/>
      <c r="Q580" s="466"/>
      <c r="R580" s="466"/>
      <c r="S580" s="466"/>
      <c r="T580" s="466"/>
      <c r="U580" s="466"/>
      <c r="V580" s="466"/>
    </row>
    <row r="581" spans="2:22" ht="12.75">
      <c r="B581" s="673"/>
      <c r="C581" s="147"/>
      <c r="D581" s="674"/>
      <c r="E581" s="674"/>
      <c r="F581" s="674"/>
      <c r="G581" s="674"/>
      <c r="H581" s="674"/>
      <c r="I581" s="674"/>
      <c r="J581" s="674"/>
      <c r="K581" s="674"/>
      <c r="L581" s="674"/>
      <c r="M581" s="676"/>
      <c r="N581" s="674"/>
      <c r="O581" s="675"/>
      <c r="P581" s="466"/>
      <c r="Q581" s="466"/>
      <c r="R581" s="466"/>
      <c r="S581" s="466"/>
      <c r="T581" s="466"/>
      <c r="U581" s="466"/>
      <c r="V581" s="466"/>
    </row>
    <row r="582" spans="2:22" ht="12.75">
      <c r="B582" s="673"/>
      <c r="C582" s="147"/>
      <c r="D582" s="674"/>
      <c r="E582" s="674"/>
      <c r="F582" s="674"/>
      <c r="G582" s="674"/>
      <c r="H582" s="674"/>
      <c r="I582" s="674"/>
      <c r="J582" s="674"/>
      <c r="K582" s="674"/>
      <c r="L582" s="674"/>
      <c r="M582" s="676"/>
      <c r="N582" s="674"/>
      <c r="O582" s="675"/>
      <c r="P582" s="466"/>
      <c r="Q582" s="466"/>
      <c r="R582" s="466"/>
      <c r="S582" s="466"/>
      <c r="T582" s="466"/>
      <c r="U582" s="466"/>
      <c r="V582" s="466"/>
    </row>
    <row r="583" spans="2:22" ht="12.75">
      <c r="B583" s="673"/>
      <c r="C583" s="147"/>
      <c r="D583" s="674"/>
      <c r="E583" s="674"/>
      <c r="F583" s="674"/>
      <c r="G583" s="674"/>
      <c r="H583" s="674"/>
      <c r="I583" s="674"/>
      <c r="J583" s="674"/>
      <c r="K583" s="674"/>
      <c r="L583" s="674"/>
      <c r="M583" s="676"/>
      <c r="N583" s="674"/>
      <c r="O583" s="675"/>
      <c r="P583" s="466"/>
      <c r="Q583" s="466"/>
      <c r="R583" s="466"/>
      <c r="S583" s="466"/>
      <c r="T583" s="466"/>
      <c r="U583" s="466"/>
      <c r="V583" s="466"/>
    </row>
    <row r="584" spans="2:22" ht="12.75">
      <c r="B584" s="673"/>
      <c r="C584" s="147"/>
      <c r="D584" s="674"/>
      <c r="E584" s="674"/>
      <c r="F584" s="674"/>
      <c r="G584" s="674"/>
      <c r="H584" s="674"/>
      <c r="I584" s="674"/>
      <c r="J584" s="674"/>
      <c r="K584" s="674"/>
      <c r="L584" s="674"/>
      <c r="M584" s="676"/>
      <c r="N584" s="674"/>
      <c r="O584" s="675"/>
      <c r="P584" s="466"/>
      <c r="Q584" s="466"/>
      <c r="R584" s="466"/>
      <c r="S584" s="466"/>
      <c r="T584" s="466"/>
      <c r="U584" s="466"/>
      <c r="V584" s="466"/>
    </row>
    <row r="585" spans="2:22" ht="12.75">
      <c r="B585" s="673"/>
      <c r="C585" s="147"/>
      <c r="D585" s="674"/>
      <c r="E585" s="674"/>
      <c r="F585" s="674"/>
      <c r="G585" s="674"/>
      <c r="H585" s="674"/>
      <c r="I585" s="674"/>
      <c r="J585" s="674"/>
      <c r="K585" s="674"/>
      <c r="L585" s="674"/>
      <c r="M585" s="676"/>
      <c r="N585" s="674"/>
      <c r="O585" s="675"/>
      <c r="P585" s="466"/>
      <c r="Q585" s="466"/>
      <c r="R585" s="466"/>
      <c r="S585" s="466"/>
      <c r="T585" s="466"/>
      <c r="U585" s="466"/>
      <c r="V585" s="466"/>
    </row>
    <row r="586" spans="2:22" ht="12.75">
      <c r="B586" s="673"/>
      <c r="C586" s="147"/>
      <c r="D586" s="674"/>
      <c r="E586" s="674"/>
      <c r="F586" s="674"/>
      <c r="G586" s="674"/>
      <c r="H586" s="674"/>
      <c r="I586" s="674"/>
      <c r="J586" s="674"/>
      <c r="K586" s="674"/>
      <c r="L586" s="674"/>
      <c r="M586" s="676"/>
      <c r="N586" s="674"/>
      <c r="O586" s="675"/>
      <c r="P586" s="466"/>
      <c r="Q586" s="466"/>
      <c r="R586" s="466"/>
      <c r="S586" s="466"/>
      <c r="T586" s="466"/>
      <c r="U586" s="466"/>
      <c r="V586" s="466"/>
    </row>
    <row r="587" spans="2:22" ht="12.75">
      <c r="B587" s="673"/>
      <c r="C587" s="147"/>
      <c r="D587" s="674"/>
      <c r="E587" s="674"/>
      <c r="F587" s="674"/>
      <c r="G587" s="674"/>
      <c r="H587" s="674"/>
      <c r="I587" s="674"/>
      <c r="J587" s="674"/>
      <c r="K587" s="674"/>
      <c r="L587" s="674"/>
      <c r="M587" s="676"/>
      <c r="N587" s="674"/>
      <c r="O587" s="675"/>
      <c r="P587" s="466"/>
      <c r="Q587" s="466"/>
      <c r="R587" s="466"/>
      <c r="S587" s="466"/>
      <c r="T587" s="466"/>
      <c r="U587" s="466"/>
      <c r="V587" s="466"/>
    </row>
    <row r="588" spans="2:22" ht="12.75">
      <c r="B588" s="673"/>
      <c r="C588" s="147"/>
      <c r="D588" s="674"/>
      <c r="E588" s="674"/>
      <c r="F588" s="674"/>
      <c r="G588" s="674"/>
      <c r="H588" s="674"/>
      <c r="I588" s="674"/>
      <c r="J588" s="674"/>
      <c r="K588" s="674"/>
      <c r="L588" s="674"/>
      <c r="M588" s="676"/>
      <c r="N588" s="674"/>
      <c r="O588" s="675"/>
      <c r="P588" s="466"/>
      <c r="Q588" s="466"/>
      <c r="R588" s="466"/>
      <c r="S588" s="466"/>
      <c r="T588" s="466"/>
      <c r="U588" s="466"/>
      <c r="V588" s="466"/>
    </row>
    <row r="589" spans="2:22" ht="12.75">
      <c r="B589" s="673"/>
      <c r="C589" s="147"/>
      <c r="D589" s="674"/>
      <c r="E589" s="674"/>
      <c r="F589" s="674"/>
      <c r="G589" s="674"/>
      <c r="H589" s="674"/>
      <c r="I589" s="674"/>
      <c r="J589" s="674"/>
      <c r="K589" s="674"/>
      <c r="L589" s="674"/>
      <c r="M589" s="676"/>
      <c r="N589" s="674"/>
      <c r="O589" s="675"/>
      <c r="P589" s="466"/>
      <c r="Q589" s="466"/>
      <c r="R589" s="466"/>
      <c r="S589" s="466"/>
      <c r="T589" s="466"/>
      <c r="U589" s="466"/>
      <c r="V589" s="466"/>
    </row>
    <row r="590" spans="2:22" ht="12.75">
      <c r="B590" s="673"/>
      <c r="C590" s="147"/>
      <c r="D590" s="674"/>
      <c r="E590" s="674"/>
      <c r="F590" s="674"/>
      <c r="G590" s="674"/>
      <c r="H590" s="674"/>
      <c r="I590" s="674"/>
      <c r="J590" s="674"/>
      <c r="K590" s="674"/>
      <c r="L590" s="674"/>
      <c r="M590" s="676"/>
      <c r="N590" s="674"/>
      <c r="O590" s="675"/>
      <c r="P590" s="466"/>
      <c r="Q590" s="466"/>
      <c r="R590" s="466"/>
      <c r="S590" s="466"/>
      <c r="T590" s="466"/>
      <c r="U590" s="466"/>
      <c r="V590" s="466"/>
    </row>
    <row r="591" spans="2:22" ht="12.75">
      <c r="B591" s="673"/>
      <c r="C591" s="147"/>
      <c r="D591" s="674"/>
      <c r="E591" s="674"/>
      <c r="F591" s="674"/>
      <c r="G591" s="674"/>
      <c r="H591" s="674"/>
      <c r="I591" s="674"/>
      <c r="J591" s="674"/>
      <c r="K591" s="674"/>
      <c r="L591" s="674"/>
      <c r="M591" s="676"/>
      <c r="N591" s="674"/>
      <c r="O591" s="675"/>
      <c r="P591" s="466"/>
      <c r="Q591" s="466"/>
      <c r="R591" s="466"/>
      <c r="S591" s="466"/>
      <c r="T591" s="466"/>
      <c r="U591" s="466"/>
      <c r="V591" s="466"/>
    </row>
    <row r="592" spans="2:22" ht="12.75">
      <c r="B592" s="673"/>
      <c r="C592" s="147"/>
      <c r="D592" s="674"/>
      <c r="E592" s="674"/>
      <c r="F592" s="674"/>
      <c r="G592" s="674"/>
      <c r="H592" s="674"/>
      <c r="I592" s="674"/>
      <c r="J592" s="674"/>
      <c r="K592" s="674"/>
      <c r="L592" s="674"/>
      <c r="M592" s="676"/>
      <c r="N592" s="674"/>
      <c r="O592" s="675"/>
      <c r="P592" s="466"/>
      <c r="Q592" s="466"/>
      <c r="R592" s="466"/>
      <c r="S592" s="466"/>
      <c r="T592" s="466"/>
      <c r="U592" s="466"/>
      <c r="V592" s="466"/>
    </row>
    <row r="593" spans="2:22" ht="12.75">
      <c r="B593" s="673"/>
      <c r="C593" s="147"/>
      <c r="D593" s="674"/>
      <c r="E593" s="674"/>
      <c r="F593" s="674"/>
      <c r="G593" s="674"/>
      <c r="H593" s="674"/>
      <c r="I593" s="674"/>
      <c r="J593" s="674"/>
      <c r="K593" s="674"/>
      <c r="L593" s="674"/>
      <c r="M593" s="676"/>
      <c r="N593" s="674"/>
      <c r="O593" s="675"/>
      <c r="P593" s="466"/>
      <c r="Q593" s="466"/>
      <c r="R593" s="466"/>
      <c r="S593" s="466"/>
      <c r="T593" s="466"/>
      <c r="U593" s="466"/>
      <c r="V593" s="466"/>
    </row>
    <row r="594" spans="2:22" ht="12.75">
      <c r="B594" s="673"/>
      <c r="C594" s="147"/>
      <c r="D594" s="674"/>
      <c r="E594" s="674"/>
      <c r="F594" s="674"/>
      <c r="G594" s="674"/>
      <c r="H594" s="674"/>
      <c r="I594" s="674"/>
      <c r="J594" s="674"/>
      <c r="K594" s="674"/>
      <c r="L594" s="674"/>
      <c r="M594" s="676"/>
      <c r="N594" s="674"/>
      <c r="O594" s="675"/>
      <c r="P594" s="466"/>
      <c r="Q594" s="466"/>
      <c r="R594" s="466"/>
      <c r="S594" s="466"/>
      <c r="T594" s="466"/>
      <c r="U594" s="466"/>
      <c r="V594" s="466"/>
    </row>
    <row r="595" spans="2:22" ht="12.75">
      <c r="B595" s="673"/>
      <c r="C595" s="147"/>
      <c r="D595" s="674"/>
      <c r="E595" s="674"/>
      <c r="F595" s="674"/>
      <c r="G595" s="674"/>
      <c r="H595" s="674"/>
      <c r="I595" s="674"/>
      <c r="J595" s="674"/>
      <c r="K595" s="674"/>
      <c r="L595" s="674"/>
      <c r="M595" s="676"/>
      <c r="N595" s="674"/>
      <c r="O595" s="675"/>
      <c r="P595" s="466"/>
      <c r="Q595" s="466"/>
      <c r="R595" s="466"/>
      <c r="S595" s="466"/>
      <c r="T595" s="466"/>
      <c r="U595" s="466"/>
      <c r="V595" s="466"/>
    </row>
    <row r="596" spans="2:22" ht="12.75">
      <c r="B596" s="673"/>
      <c r="C596" s="147"/>
      <c r="D596" s="674"/>
      <c r="E596" s="674"/>
      <c r="F596" s="674"/>
      <c r="G596" s="674"/>
      <c r="H596" s="674"/>
      <c r="I596" s="674"/>
      <c r="J596" s="674"/>
      <c r="K596" s="674"/>
      <c r="L596" s="674"/>
      <c r="M596" s="676"/>
      <c r="N596" s="674"/>
      <c r="O596" s="675"/>
      <c r="P596" s="466"/>
      <c r="Q596" s="466"/>
      <c r="R596" s="466"/>
      <c r="S596" s="466"/>
      <c r="T596" s="466"/>
      <c r="U596" s="466"/>
      <c r="V596" s="466"/>
    </row>
    <row r="597" spans="2:22" ht="12.75">
      <c r="B597" s="673"/>
      <c r="C597" s="147"/>
      <c r="D597" s="674"/>
      <c r="E597" s="674"/>
      <c r="F597" s="674"/>
      <c r="G597" s="674"/>
      <c r="H597" s="674"/>
      <c r="I597" s="674"/>
      <c r="J597" s="674"/>
      <c r="K597" s="674"/>
      <c r="L597" s="674"/>
      <c r="M597" s="676"/>
      <c r="N597" s="674"/>
      <c r="O597" s="675"/>
      <c r="P597" s="466"/>
      <c r="Q597" s="466"/>
      <c r="R597" s="466"/>
      <c r="S597" s="466"/>
      <c r="T597" s="466"/>
      <c r="U597" s="466"/>
      <c r="V597" s="466"/>
    </row>
    <row r="598" spans="2:22" ht="12.75">
      <c r="B598" s="673"/>
      <c r="C598" s="147"/>
      <c r="D598" s="674"/>
      <c r="E598" s="674"/>
      <c r="F598" s="674"/>
      <c r="G598" s="674"/>
      <c r="H598" s="674"/>
      <c r="I598" s="674"/>
      <c r="J598" s="674"/>
      <c r="K598" s="674"/>
      <c r="L598" s="674"/>
      <c r="M598" s="676"/>
      <c r="N598" s="674"/>
      <c r="O598" s="675"/>
      <c r="P598" s="466"/>
      <c r="Q598" s="466"/>
      <c r="R598" s="466"/>
      <c r="S598" s="466"/>
      <c r="T598" s="466"/>
      <c r="U598" s="466"/>
      <c r="V598" s="466"/>
    </row>
    <row r="599" spans="2:22" ht="12.75">
      <c r="B599" s="673"/>
      <c r="C599" s="147"/>
      <c r="D599" s="674"/>
      <c r="E599" s="674"/>
      <c r="F599" s="674"/>
      <c r="G599" s="674"/>
      <c r="H599" s="674"/>
      <c r="I599" s="674"/>
      <c r="J599" s="674"/>
      <c r="K599" s="674"/>
      <c r="L599" s="674"/>
      <c r="M599" s="676"/>
      <c r="N599" s="674"/>
      <c r="O599" s="675"/>
      <c r="P599" s="466"/>
      <c r="Q599" s="466"/>
      <c r="R599" s="466"/>
      <c r="S599" s="466"/>
      <c r="T599" s="466"/>
      <c r="U599" s="466"/>
      <c r="V599" s="466"/>
    </row>
    <row r="600" spans="2:22" ht="12.75">
      <c r="B600" s="673"/>
      <c r="C600" s="147"/>
      <c r="D600" s="674"/>
      <c r="E600" s="674"/>
      <c r="F600" s="674"/>
      <c r="G600" s="674"/>
      <c r="H600" s="674"/>
      <c r="I600" s="674"/>
      <c r="J600" s="674"/>
      <c r="K600" s="674"/>
      <c r="L600" s="674"/>
      <c r="M600" s="676"/>
      <c r="N600" s="674"/>
      <c r="O600" s="675"/>
      <c r="P600" s="466"/>
      <c r="Q600" s="466"/>
      <c r="R600" s="466"/>
      <c r="S600" s="466"/>
      <c r="T600" s="466"/>
      <c r="U600" s="466"/>
      <c r="V600" s="466"/>
    </row>
    <row r="601" spans="2:22" ht="12.75">
      <c r="B601" s="673"/>
      <c r="C601" s="147"/>
      <c r="D601" s="674"/>
      <c r="E601" s="674"/>
      <c r="F601" s="674"/>
      <c r="G601" s="674"/>
      <c r="H601" s="674"/>
      <c r="I601" s="674"/>
      <c r="J601" s="674"/>
      <c r="K601" s="674"/>
      <c r="L601" s="674"/>
      <c r="M601" s="676"/>
      <c r="N601" s="674"/>
      <c r="O601" s="675"/>
      <c r="P601" s="466"/>
      <c r="Q601" s="466"/>
      <c r="R601" s="466"/>
      <c r="S601" s="466"/>
      <c r="T601" s="466"/>
      <c r="U601" s="466"/>
      <c r="V601" s="466"/>
    </row>
    <row r="602" spans="2:22" ht="12.75">
      <c r="B602" s="673"/>
      <c r="C602" s="147"/>
      <c r="D602" s="674"/>
      <c r="E602" s="674"/>
      <c r="F602" s="674"/>
      <c r="G602" s="674"/>
      <c r="H602" s="674"/>
      <c r="I602" s="674"/>
      <c r="J602" s="674"/>
      <c r="K602" s="674"/>
      <c r="L602" s="674"/>
      <c r="M602" s="676"/>
      <c r="N602" s="674"/>
      <c r="O602" s="675"/>
      <c r="P602" s="466"/>
      <c r="Q602" s="466"/>
      <c r="R602" s="466"/>
      <c r="S602" s="466"/>
      <c r="T602" s="466"/>
      <c r="U602" s="466"/>
      <c r="V602" s="466"/>
    </row>
    <row r="603" spans="2:22" ht="12.75">
      <c r="B603" s="673"/>
      <c r="C603" s="147"/>
      <c r="D603" s="674"/>
      <c r="E603" s="674"/>
      <c r="F603" s="674"/>
      <c r="G603" s="674"/>
      <c r="H603" s="674"/>
      <c r="I603" s="674"/>
      <c r="J603" s="674"/>
      <c r="K603" s="674"/>
      <c r="L603" s="674"/>
      <c r="M603" s="676"/>
      <c r="N603" s="674"/>
      <c r="O603" s="675"/>
      <c r="P603" s="466"/>
      <c r="Q603" s="466"/>
      <c r="R603" s="466"/>
      <c r="S603" s="466"/>
      <c r="T603" s="466"/>
      <c r="U603" s="466"/>
      <c r="V603" s="466"/>
    </row>
    <row r="604" spans="2:22" ht="12.75">
      <c r="B604" s="673"/>
      <c r="C604" s="147"/>
      <c r="D604" s="674"/>
      <c r="E604" s="674"/>
      <c r="F604" s="674"/>
      <c r="G604" s="674"/>
      <c r="H604" s="674"/>
      <c r="I604" s="674"/>
      <c r="J604" s="674"/>
      <c r="K604" s="674"/>
      <c r="L604" s="674"/>
      <c r="M604" s="676"/>
      <c r="N604" s="674"/>
      <c r="O604" s="675"/>
      <c r="P604" s="466"/>
      <c r="Q604" s="466"/>
      <c r="R604" s="466"/>
      <c r="S604" s="466"/>
      <c r="T604" s="466"/>
      <c r="U604" s="466"/>
      <c r="V604" s="466"/>
    </row>
    <row r="605" spans="2:22" ht="12.75">
      <c r="B605" s="673"/>
      <c r="C605" s="147"/>
      <c r="D605" s="674"/>
      <c r="E605" s="674"/>
      <c r="F605" s="674"/>
      <c r="G605" s="674"/>
      <c r="H605" s="674"/>
      <c r="I605" s="674"/>
      <c r="J605" s="674"/>
      <c r="K605" s="674"/>
      <c r="L605" s="674"/>
      <c r="M605" s="676"/>
      <c r="N605" s="674"/>
      <c r="O605" s="675"/>
      <c r="P605" s="466"/>
      <c r="Q605" s="466"/>
      <c r="R605" s="466"/>
      <c r="S605" s="466"/>
      <c r="T605" s="466"/>
      <c r="U605" s="466"/>
      <c r="V605" s="466"/>
    </row>
    <row r="606" spans="2:22" ht="12.75">
      <c r="B606" s="673"/>
      <c r="C606" s="147"/>
      <c r="D606" s="674"/>
      <c r="E606" s="674"/>
      <c r="F606" s="674"/>
      <c r="G606" s="674"/>
      <c r="H606" s="674"/>
      <c r="I606" s="674"/>
      <c r="J606" s="674"/>
      <c r="K606" s="674"/>
      <c r="L606" s="674"/>
      <c r="M606" s="676"/>
      <c r="N606" s="674"/>
      <c r="O606" s="675"/>
      <c r="P606" s="466"/>
      <c r="Q606" s="466"/>
      <c r="R606" s="466"/>
      <c r="S606" s="466"/>
      <c r="T606" s="466"/>
      <c r="U606" s="466"/>
      <c r="V606" s="466"/>
    </row>
    <row r="607" spans="2:22" ht="12.75">
      <c r="B607" s="673"/>
      <c r="C607" s="147"/>
      <c r="D607" s="674"/>
      <c r="E607" s="674"/>
      <c r="F607" s="674"/>
      <c r="G607" s="674"/>
      <c r="H607" s="674"/>
      <c r="I607" s="674"/>
      <c r="J607" s="674"/>
      <c r="K607" s="674"/>
      <c r="L607" s="674"/>
      <c r="M607" s="676"/>
      <c r="N607" s="674"/>
      <c r="O607" s="675"/>
      <c r="P607" s="466"/>
      <c r="Q607" s="466"/>
      <c r="R607" s="466"/>
      <c r="S607" s="466"/>
      <c r="T607" s="466"/>
      <c r="U607" s="466"/>
      <c r="V607" s="466"/>
    </row>
    <row r="608" spans="2:22" ht="12.75">
      <c r="B608" s="673"/>
      <c r="C608" s="147"/>
      <c r="D608" s="674"/>
      <c r="E608" s="674"/>
      <c r="F608" s="674"/>
      <c r="G608" s="674"/>
      <c r="H608" s="674"/>
      <c r="I608" s="674"/>
      <c r="J608" s="674"/>
      <c r="K608" s="674"/>
      <c r="L608" s="674"/>
      <c r="M608" s="676"/>
      <c r="N608" s="674"/>
      <c r="O608" s="675"/>
      <c r="P608" s="466"/>
      <c r="Q608" s="466"/>
      <c r="R608" s="466"/>
      <c r="S608" s="466"/>
      <c r="T608" s="466"/>
      <c r="U608" s="466"/>
      <c r="V608" s="466"/>
    </row>
    <row r="609" spans="2:22" ht="12.75">
      <c r="B609" s="673"/>
      <c r="C609" s="147"/>
      <c r="D609" s="674"/>
      <c r="E609" s="674"/>
      <c r="F609" s="674"/>
      <c r="G609" s="674"/>
      <c r="H609" s="674"/>
      <c r="I609" s="674"/>
      <c r="J609" s="674"/>
      <c r="K609" s="674"/>
      <c r="L609" s="674"/>
      <c r="M609" s="676"/>
      <c r="N609" s="674"/>
      <c r="O609" s="675"/>
      <c r="P609" s="466"/>
      <c r="Q609" s="466"/>
      <c r="R609" s="466"/>
      <c r="S609" s="466"/>
      <c r="T609" s="466"/>
      <c r="U609" s="466"/>
      <c r="V609" s="466"/>
    </row>
    <row r="610" spans="2:22" ht="12.75">
      <c r="B610" s="673"/>
      <c r="C610" s="147"/>
      <c r="D610" s="674"/>
      <c r="E610" s="674"/>
      <c r="F610" s="674"/>
      <c r="G610" s="674"/>
      <c r="H610" s="674"/>
      <c r="I610" s="674"/>
      <c r="J610" s="674"/>
      <c r="K610" s="674"/>
      <c r="L610" s="674"/>
      <c r="M610" s="676"/>
      <c r="N610" s="674"/>
      <c r="O610" s="675"/>
      <c r="P610" s="466"/>
      <c r="Q610" s="466"/>
      <c r="R610" s="466"/>
      <c r="S610" s="466"/>
      <c r="T610" s="466"/>
      <c r="U610" s="466"/>
      <c r="V610" s="466"/>
    </row>
    <row r="611" spans="2:22" ht="12.75">
      <c r="B611" s="673"/>
      <c r="C611" s="147"/>
      <c r="D611" s="674"/>
      <c r="E611" s="674"/>
      <c r="F611" s="674"/>
      <c r="G611" s="674"/>
      <c r="H611" s="674"/>
      <c r="I611" s="674"/>
      <c r="J611" s="674"/>
      <c r="K611" s="674"/>
      <c r="L611" s="674"/>
      <c r="M611" s="676"/>
      <c r="N611" s="674"/>
      <c r="O611" s="675"/>
      <c r="P611" s="466"/>
      <c r="Q611" s="466"/>
      <c r="R611" s="466"/>
      <c r="S611" s="466"/>
      <c r="T611" s="466"/>
      <c r="U611" s="466"/>
      <c r="V611" s="466"/>
    </row>
    <row r="612" spans="2:22" ht="12.75">
      <c r="B612" s="673"/>
      <c r="C612" s="147"/>
      <c r="D612" s="674"/>
      <c r="E612" s="674"/>
      <c r="F612" s="674"/>
      <c r="G612" s="674"/>
      <c r="H612" s="674"/>
      <c r="I612" s="674"/>
      <c r="J612" s="674"/>
      <c r="K612" s="674"/>
      <c r="L612" s="674"/>
      <c r="M612" s="676"/>
      <c r="N612" s="674"/>
      <c r="O612" s="675"/>
      <c r="P612" s="466"/>
      <c r="Q612" s="466"/>
      <c r="R612" s="466"/>
      <c r="S612" s="466"/>
      <c r="T612" s="466"/>
      <c r="U612" s="466"/>
      <c r="V612" s="466"/>
    </row>
    <row r="613" spans="2:22" ht="12.75">
      <c r="B613" s="673"/>
      <c r="C613" s="147"/>
      <c r="D613" s="674"/>
      <c r="E613" s="674"/>
      <c r="F613" s="674"/>
      <c r="G613" s="674"/>
      <c r="H613" s="674"/>
      <c r="I613" s="674"/>
      <c r="J613" s="674"/>
      <c r="K613" s="674"/>
      <c r="L613" s="674"/>
      <c r="M613" s="676"/>
      <c r="N613" s="674"/>
      <c r="O613" s="675"/>
      <c r="P613" s="466"/>
      <c r="Q613" s="466"/>
      <c r="R613" s="466"/>
      <c r="S613" s="466"/>
      <c r="T613" s="466"/>
      <c r="U613" s="466"/>
      <c r="V613" s="466"/>
    </row>
    <row r="614" spans="2:22" ht="12.75">
      <c r="B614" s="673"/>
      <c r="C614" s="147"/>
      <c r="D614" s="674"/>
      <c r="E614" s="674"/>
      <c r="F614" s="674"/>
      <c r="G614" s="674"/>
      <c r="H614" s="674"/>
      <c r="I614" s="674"/>
      <c r="J614" s="674"/>
      <c r="K614" s="674"/>
      <c r="L614" s="674"/>
      <c r="M614" s="676"/>
      <c r="N614" s="674"/>
      <c r="O614" s="675"/>
      <c r="P614" s="466"/>
      <c r="Q614" s="466"/>
      <c r="R614" s="466"/>
      <c r="S614" s="466"/>
      <c r="T614" s="466"/>
      <c r="U614" s="466"/>
      <c r="V614" s="466"/>
    </row>
    <row r="615" spans="2:22" ht="12.75">
      <c r="B615" s="673"/>
      <c r="C615" s="147"/>
      <c r="D615" s="674"/>
      <c r="E615" s="674"/>
      <c r="F615" s="674"/>
      <c r="G615" s="674"/>
      <c r="H615" s="674"/>
      <c r="I615" s="674"/>
      <c r="J615" s="674"/>
      <c r="K615" s="674"/>
      <c r="L615" s="674"/>
      <c r="M615" s="676"/>
      <c r="N615" s="674"/>
      <c r="O615" s="675"/>
      <c r="P615" s="466"/>
      <c r="Q615" s="466"/>
      <c r="R615" s="466"/>
      <c r="S615" s="466"/>
      <c r="T615" s="466"/>
      <c r="U615" s="466"/>
      <c r="V615" s="466"/>
    </row>
    <row r="616" spans="2:22" ht="12.75">
      <c r="B616" s="673"/>
      <c r="C616" s="147"/>
      <c r="D616" s="674"/>
      <c r="E616" s="674"/>
      <c r="F616" s="674"/>
      <c r="G616" s="674"/>
      <c r="H616" s="674"/>
      <c r="I616" s="674"/>
      <c r="J616" s="674"/>
      <c r="K616" s="674"/>
      <c r="L616" s="674"/>
      <c r="M616" s="676"/>
      <c r="N616" s="674"/>
      <c r="O616" s="675"/>
      <c r="P616" s="466"/>
      <c r="Q616" s="466"/>
      <c r="R616" s="466"/>
      <c r="S616" s="466"/>
      <c r="T616" s="466"/>
      <c r="U616" s="466"/>
      <c r="V616" s="466"/>
    </row>
    <row r="617" spans="2:22" ht="12.75">
      <c r="B617" s="673"/>
      <c r="C617" s="147"/>
      <c r="D617" s="674"/>
      <c r="E617" s="674"/>
      <c r="F617" s="674"/>
      <c r="G617" s="674"/>
      <c r="H617" s="674"/>
      <c r="I617" s="674"/>
      <c r="J617" s="674"/>
      <c r="K617" s="674"/>
      <c r="L617" s="674"/>
      <c r="M617" s="676"/>
      <c r="N617" s="674"/>
      <c r="O617" s="675"/>
      <c r="P617" s="466"/>
      <c r="Q617" s="466"/>
      <c r="R617" s="466"/>
      <c r="S617" s="466"/>
      <c r="T617" s="466"/>
      <c r="U617" s="466"/>
      <c r="V617" s="466"/>
    </row>
    <row r="618" spans="2:22" ht="12.75">
      <c r="B618" s="673"/>
      <c r="C618" s="147"/>
      <c r="D618" s="674"/>
      <c r="E618" s="674"/>
      <c r="F618" s="674"/>
      <c r="G618" s="674"/>
      <c r="H618" s="674"/>
      <c r="I618" s="674"/>
      <c r="J618" s="674"/>
      <c r="K618" s="674"/>
      <c r="L618" s="674"/>
      <c r="M618" s="676"/>
      <c r="N618" s="674"/>
      <c r="O618" s="675"/>
      <c r="P618" s="466"/>
      <c r="Q618" s="466"/>
      <c r="R618" s="466"/>
      <c r="S618" s="466"/>
      <c r="T618" s="466"/>
      <c r="U618" s="466"/>
      <c r="V618" s="466"/>
    </row>
    <row r="619" spans="2:22" ht="12.75">
      <c r="B619" s="673"/>
      <c r="C619" s="147"/>
      <c r="D619" s="674"/>
      <c r="E619" s="674"/>
      <c r="F619" s="674"/>
      <c r="G619" s="674"/>
      <c r="H619" s="674"/>
      <c r="I619" s="674"/>
      <c r="J619" s="674"/>
      <c r="K619" s="674"/>
      <c r="L619" s="674"/>
      <c r="M619" s="676"/>
      <c r="N619" s="674"/>
      <c r="O619" s="675"/>
      <c r="P619" s="466"/>
      <c r="Q619" s="466"/>
      <c r="R619" s="466"/>
      <c r="S619" s="466"/>
      <c r="T619" s="466"/>
      <c r="U619" s="466"/>
      <c r="V619" s="466"/>
    </row>
    <row r="620" spans="2:22" ht="12.75">
      <c r="B620" s="673"/>
      <c r="C620" s="147"/>
      <c r="D620" s="674"/>
      <c r="E620" s="674"/>
      <c r="F620" s="674"/>
      <c r="G620" s="674"/>
      <c r="H620" s="674"/>
      <c r="I620" s="674"/>
      <c r="J620" s="674"/>
      <c r="K620" s="674"/>
      <c r="L620" s="674"/>
      <c r="M620" s="676"/>
      <c r="N620" s="674"/>
      <c r="O620" s="675"/>
      <c r="P620" s="466"/>
      <c r="Q620" s="466"/>
      <c r="R620" s="466"/>
      <c r="S620" s="466"/>
      <c r="T620" s="466"/>
      <c r="U620" s="466"/>
      <c r="V620" s="466"/>
    </row>
    <row r="621" spans="2:22" ht="12.75">
      <c r="B621" s="673"/>
      <c r="C621" s="147"/>
      <c r="D621" s="674"/>
      <c r="E621" s="674"/>
      <c r="F621" s="674"/>
      <c r="G621" s="674"/>
      <c r="H621" s="674"/>
      <c r="I621" s="674"/>
      <c r="J621" s="674"/>
      <c r="K621" s="674"/>
      <c r="L621" s="674"/>
      <c r="M621" s="676"/>
      <c r="N621" s="674"/>
      <c r="O621" s="675"/>
      <c r="P621" s="466"/>
      <c r="Q621" s="466"/>
      <c r="R621" s="466"/>
      <c r="S621" s="466"/>
      <c r="T621" s="466"/>
      <c r="U621" s="466"/>
      <c r="V621" s="466"/>
    </row>
    <row r="622" spans="2:22" ht="12.75">
      <c r="B622" s="673"/>
      <c r="C622" s="147"/>
      <c r="D622" s="674"/>
      <c r="E622" s="674"/>
      <c r="F622" s="674"/>
      <c r="G622" s="674"/>
      <c r="H622" s="674"/>
      <c r="I622" s="674"/>
      <c r="J622" s="674"/>
      <c r="K622" s="674"/>
      <c r="L622" s="674"/>
      <c r="M622" s="676"/>
      <c r="N622" s="674"/>
      <c r="O622" s="675"/>
      <c r="P622" s="466"/>
      <c r="Q622" s="466"/>
      <c r="R622" s="466"/>
      <c r="S622" s="466"/>
      <c r="T622" s="466"/>
      <c r="U622" s="466"/>
      <c r="V622" s="466"/>
    </row>
    <row r="623" spans="2:22" ht="12.75">
      <c r="B623" s="673"/>
      <c r="C623" s="147"/>
      <c r="D623" s="674"/>
      <c r="E623" s="674"/>
      <c r="F623" s="674"/>
      <c r="G623" s="674"/>
      <c r="H623" s="674"/>
      <c r="I623" s="674"/>
      <c r="J623" s="674"/>
      <c r="K623" s="674"/>
      <c r="L623" s="674"/>
      <c r="M623" s="676"/>
      <c r="N623" s="674"/>
      <c r="O623" s="675"/>
      <c r="P623" s="466"/>
      <c r="Q623" s="466"/>
      <c r="R623" s="466"/>
      <c r="S623" s="466"/>
      <c r="T623" s="466"/>
      <c r="U623" s="466"/>
      <c r="V623" s="466"/>
    </row>
    <row r="624" spans="2:22" ht="12.75">
      <c r="B624" s="673"/>
      <c r="C624" s="147"/>
      <c r="D624" s="674"/>
      <c r="E624" s="674"/>
      <c r="F624" s="674"/>
      <c r="G624" s="674"/>
      <c r="H624" s="674"/>
      <c r="I624" s="674"/>
      <c r="J624" s="674"/>
      <c r="K624" s="674"/>
      <c r="L624" s="674"/>
      <c r="M624" s="676"/>
      <c r="N624" s="674"/>
      <c r="O624" s="675"/>
      <c r="P624" s="466"/>
      <c r="Q624" s="466"/>
      <c r="R624" s="466"/>
      <c r="S624" s="466"/>
      <c r="T624" s="466"/>
      <c r="U624" s="466"/>
      <c r="V624" s="466"/>
    </row>
    <row r="625" spans="2:22" ht="12.75">
      <c r="B625" s="673"/>
      <c r="C625" s="147"/>
      <c r="D625" s="674"/>
      <c r="E625" s="674"/>
      <c r="F625" s="674"/>
      <c r="G625" s="674"/>
      <c r="H625" s="674"/>
      <c r="I625" s="674"/>
      <c r="J625" s="674"/>
      <c r="K625" s="674"/>
      <c r="L625" s="674"/>
      <c r="M625" s="676"/>
      <c r="N625" s="674"/>
      <c r="O625" s="675"/>
      <c r="P625" s="466"/>
      <c r="Q625" s="466"/>
      <c r="R625" s="466"/>
      <c r="S625" s="466"/>
      <c r="T625" s="466"/>
      <c r="U625" s="466"/>
      <c r="V625" s="466"/>
    </row>
    <row r="626" spans="2:22" ht="12.75">
      <c r="B626" s="673"/>
      <c r="C626" s="147"/>
      <c r="D626" s="674"/>
      <c r="E626" s="674"/>
      <c r="F626" s="674"/>
      <c r="G626" s="674"/>
      <c r="H626" s="674"/>
      <c r="I626" s="674"/>
      <c r="J626" s="674"/>
      <c r="K626" s="674"/>
      <c r="L626" s="674"/>
      <c r="M626" s="676"/>
      <c r="N626" s="674"/>
      <c r="O626" s="675"/>
      <c r="P626" s="466"/>
      <c r="Q626" s="466"/>
      <c r="R626" s="466"/>
      <c r="S626" s="466"/>
      <c r="T626" s="466"/>
      <c r="U626" s="466"/>
      <c r="V626" s="466"/>
    </row>
    <row r="627" spans="2:22" ht="12.75">
      <c r="B627" s="673"/>
      <c r="C627" s="147"/>
      <c r="D627" s="674"/>
      <c r="E627" s="674"/>
      <c r="F627" s="674"/>
      <c r="G627" s="674"/>
      <c r="H627" s="674"/>
      <c r="I627" s="674"/>
      <c r="J627" s="674"/>
      <c r="K627" s="674"/>
      <c r="L627" s="674"/>
      <c r="M627" s="676"/>
      <c r="N627" s="674"/>
      <c r="O627" s="675"/>
      <c r="P627" s="466"/>
      <c r="Q627" s="466"/>
      <c r="R627" s="466"/>
      <c r="S627" s="466"/>
      <c r="T627" s="466"/>
      <c r="U627" s="466"/>
      <c r="V627" s="466"/>
    </row>
    <row r="628" spans="2:22" ht="12.75">
      <c r="B628" s="673"/>
      <c r="C628" s="147"/>
      <c r="D628" s="674"/>
      <c r="E628" s="674"/>
      <c r="F628" s="674"/>
      <c r="G628" s="674"/>
      <c r="H628" s="674"/>
      <c r="I628" s="674"/>
      <c r="J628" s="674"/>
      <c r="K628" s="674"/>
      <c r="L628" s="674"/>
      <c r="M628" s="676"/>
      <c r="N628" s="674"/>
      <c r="O628" s="675"/>
      <c r="P628" s="466"/>
      <c r="Q628" s="466"/>
      <c r="R628" s="466"/>
      <c r="S628" s="466"/>
      <c r="T628" s="466"/>
      <c r="U628" s="466"/>
      <c r="V628" s="466"/>
    </row>
    <row r="629" spans="2:22" ht="12.75">
      <c r="B629" s="673"/>
      <c r="C629" s="147"/>
      <c r="D629" s="674"/>
      <c r="E629" s="674"/>
      <c r="F629" s="674"/>
      <c r="G629" s="674"/>
      <c r="H629" s="674"/>
      <c r="I629" s="674"/>
      <c r="J629" s="674"/>
      <c r="K629" s="674"/>
      <c r="L629" s="674"/>
      <c r="M629" s="676"/>
      <c r="N629" s="674"/>
      <c r="O629" s="675"/>
      <c r="P629" s="466"/>
      <c r="Q629" s="466"/>
      <c r="R629" s="466"/>
      <c r="S629" s="466"/>
      <c r="T629" s="466"/>
      <c r="U629" s="466"/>
      <c r="V629" s="466"/>
    </row>
    <row r="630" spans="2:22" ht="12.75">
      <c r="B630" s="673"/>
      <c r="C630" s="147"/>
      <c r="D630" s="674"/>
      <c r="E630" s="674"/>
      <c r="F630" s="674"/>
      <c r="G630" s="674"/>
      <c r="H630" s="674"/>
      <c r="I630" s="674"/>
      <c r="J630" s="674"/>
      <c r="K630" s="674"/>
      <c r="L630" s="674"/>
      <c r="M630" s="676"/>
      <c r="N630" s="674"/>
      <c r="O630" s="675"/>
      <c r="P630" s="466"/>
      <c r="Q630" s="466"/>
      <c r="R630" s="466"/>
      <c r="S630" s="466"/>
      <c r="T630" s="466"/>
      <c r="U630" s="466"/>
      <c r="V630" s="466"/>
    </row>
    <row r="631" spans="2:22" ht="12.75">
      <c r="B631" s="673"/>
      <c r="C631" s="147"/>
      <c r="D631" s="674"/>
      <c r="E631" s="674"/>
      <c r="F631" s="674"/>
      <c r="G631" s="674"/>
      <c r="H631" s="674"/>
      <c r="I631" s="674"/>
      <c r="J631" s="674"/>
      <c r="K631" s="674"/>
      <c r="L631" s="674"/>
      <c r="M631" s="676"/>
      <c r="N631" s="674"/>
      <c r="O631" s="675"/>
      <c r="P631" s="466"/>
      <c r="Q631" s="466"/>
      <c r="R631" s="466"/>
      <c r="S631" s="466"/>
      <c r="T631" s="466"/>
      <c r="U631" s="466"/>
      <c r="V631" s="466"/>
    </row>
    <row r="632" spans="2:22" ht="12.75">
      <c r="B632" s="673"/>
      <c r="C632" s="147"/>
      <c r="D632" s="674"/>
      <c r="E632" s="674"/>
      <c r="F632" s="674"/>
      <c r="G632" s="674"/>
      <c r="H632" s="674"/>
      <c r="I632" s="674"/>
      <c r="J632" s="674"/>
      <c r="K632" s="674"/>
      <c r="L632" s="674"/>
      <c r="M632" s="676"/>
      <c r="N632" s="674"/>
      <c r="O632" s="675"/>
      <c r="P632" s="466"/>
      <c r="Q632" s="466"/>
      <c r="R632" s="466"/>
      <c r="S632" s="466"/>
      <c r="T632" s="466"/>
      <c r="U632" s="466"/>
      <c r="V632" s="466"/>
    </row>
    <row r="633" spans="2:22" ht="12.75">
      <c r="B633" s="673"/>
      <c r="C633" s="147"/>
      <c r="D633" s="674"/>
      <c r="E633" s="674"/>
      <c r="F633" s="674"/>
      <c r="G633" s="674"/>
      <c r="H633" s="674"/>
      <c r="I633" s="674"/>
      <c r="J633" s="674"/>
      <c r="K633" s="674"/>
      <c r="L633" s="674"/>
      <c r="M633" s="676"/>
      <c r="N633" s="674"/>
      <c r="O633" s="675"/>
      <c r="P633" s="466"/>
      <c r="Q633" s="466"/>
      <c r="R633" s="466"/>
      <c r="S633" s="466"/>
      <c r="T633" s="466"/>
      <c r="U633" s="466"/>
      <c r="V633" s="466"/>
    </row>
    <row r="634" spans="2:22" ht="12.75">
      <c r="B634" s="673"/>
      <c r="C634" s="147"/>
      <c r="D634" s="674"/>
      <c r="E634" s="674"/>
      <c r="F634" s="674"/>
      <c r="G634" s="674"/>
      <c r="H634" s="674"/>
      <c r="I634" s="674"/>
      <c r="J634" s="674"/>
      <c r="K634" s="674"/>
      <c r="L634" s="674"/>
      <c r="M634" s="676"/>
      <c r="N634" s="674"/>
      <c r="O634" s="675"/>
      <c r="P634" s="466"/>
      <c r="Q634" s="466"/>
      <c r="R634" s="466"/>
      <c r="S634" s="466"/>
      <c r="T634" s="466"/>
      <c r="U634" s="466"/>
      <c r="V634" s="466"/>
    </row>
    <row r="635" spans="2:22" ht="12.75">
      <c r="B635" s="673"/>
      <c r="C635" s="147"/>
      <c r="D635" s="674"/>
      <c r="E635" s="674"/>
      <c r="F635" s="674"/>
      <c r="G635" s="674"/>
      <c r="H635" s="674"/>
      <c r="I635" s="674"/>
      <c r="J635" s="674"/>
      <c r="K635" s="674"/>
      <c r="L635" s="674"/>
      <c r="M635" s="676"/>
      <c r="N635" s="674"/>
      <c r="O635" s="675"/>
      <c r="P635" s="466"/>
      <c r="Q635" s="466"/>
      <c r="R635" s="466"/>
      <c r="S635" s="466"/>
      <c r="T635" s="466"/>
      <c r="U635" s="466"/>
      <c r="V635" s="466"/>
    </row>
    <row r="636" spans="2:22" ht="12.75">
      <c r="B636" s="673"/>
      <c r="C636" s="147"/>
      <c r="D636" s="674"/>
      <c r="E636" s="674"/>
      <c r="F636" s="674"/>
      <c r="G636" s="674"/>
      <c r="H636" s="674"/>
      <c r="I636" s="674"/>
      <c r="J636" s="674"/>
      <c r="K636" s="674"/>
      <c r="L636" s="674"/>
      <c r="M636" s="676"/>
      <c r="N636" s="674"/>
      <c r="O636" s="675"/>
      <c r="P636" s="466"/>
      <c r="Q636" s="466"/>
      <c r="R636" s="466"/>
      <c r="S636" s="466"/>
      <c r="T636" s="466"/>
      <c r="U636" s="466"/>
      <c r="V636" s="466"/>
    </row>
    <row r="637" spans="2:22" ht="12.75">
      <c r="B637" s="673"/>
      <c r="C637" s="147"/>
      <c r="D637" s="674"/>
      <c r="E637" s="674"/>
      <c r="F637" s="674"/>
      <c r="G637" s="674"/>
      <c r="H637" s="674"/>
      <c r="I637" s="674"/>
      <c r="J637" s="674"/>
      <c r="K637" s="674"/>
      <c r="L637" s="674"/>
      <c r="M637" s="676"/>
      <c r="N637" s="674"/>
      <c r="O637" s="675"/>
      <c r="P637" s="466"/>
      <c r="Q637" s="466"/>
      <c r="R637" s="466"/>
      <c r="S637" s="466"/>
      <c r="T637" s="466"/>
      <c r="U637" s="466"/>
      <c r="V637" s="466"/>
    </row>
    <row r="638" spans="2:22" ht="12.75">
      <c r="B638" s="673"/>
      <c r="C638" s="147"/>
      <c r="D638" s="674"/>
      <c r="E638" s="674"/>
      <c r="F638" s="674"/>
      <c r="G638" s="674"/>
      <c r="H638" s="674"/>
      <c r="I638" s="674"/>
      <c r="J638" s="674"/>
      <c r="K638" s="674"/>
      <c r="L638" s="674"/>
      <c r="M638" s="676"/>
      <c r="N638" s="674"/>
      <c r="O638" s="675"/>
      <c r="P638" s="466"/>
      <c r="Q638" s="466"/>
      <c r="R638" s="466"/>
      <c r="S638" s="466"/>
      <c r="T638" s="466"/>
      <c r="U638" s="466"/>
      <c r="V638" s="466"/>
    </row>
    <row r="639" spans="2:22" ht="12.75">
      <c r="B639" s="673"/>
      <c r="C639" s="147"/>
      <c r="D639" s="674"/>
      <c r="E639" s="674"/>
      <c r="F639" s="674"/>
      <c r="G639" s="674"/>
      <c r="H639" s="674"/>
      <c r="I639" s="674"/>
      <c r="J639" s="674"/>
      <c r="K639" s="674"/>
      <c r="L639" s="674"/>
      <c r="M639" s="676"/>
      <c r="N639" s="674"/>
      <c r="O639" s="675"/>
      <c r="P639" s="466"/>
      <c r="Q639" s="466"/>
      <c r="R639" s="466"/>
      <c r="S639" s="466"/>
      <c r="T639" s="466"/>
      <c r="U639" s="466"/>
      <c r="V639" s="466"/>
    </row>
    <row r="640" spans="2:22" ht="12.75">
      <c r="B640" s="673"/>
      <c r="C640" s="147"/>
      <c r="D640" s="674"/>
      <c r="E640" s="674"/>
      <c r="F640" s="674"/>
      <c r="G640" s="674"/>
      <c r="H640" s="674"/>
      <c r="I640" s="674"/>
      <c r="J640" s="674"/>
      <c r="K640" s="674"/>
      <c r="L640" s="674"/>
      <c r="M640" s="676"/>
      <c r="N640" s="674"/>
      <c r="O640" s="675"/>
      <c r="P640" s="466"/>
      <c r="Q640" s="466"/>
      <c r="R640" s="466"/>
      <c r="S640" s="466"/>
      <c r="T640" s="466"/>
      <c r="U640" s="466"/>
      <c r="V640" s="466"/>
    </row>
    <row r="641" spans="2:22" ht="12.75">
      <c r="B641" s="673"/>
      <c r="C641" s="147"/>
      <c r="D641" s="674"/>
      <c r="E641" s="674"/>
      <c r="F641" s="674"/>
      <c r="G641" s="674"/>
      <c r="H641" s="674"/>
      <c r="I641" s="674"/>
      <c r="J641" s="674"/>
      <c r="K641" s="674"/>
      <c r="L641" s="674"/>
      <c r="M641" s="676"/>
      <c r="N641" s="674"/>
      <c r="O641" s="675"/>
      <c r="P641" s="466"/>
      <c r="Q641" s="466"/>
      <c r="R641" s="466"/>
      <c r="S641" s="466"/>
      <c r="T641" s="466"/>
      <c r="U641" s="466"/>
      <c r="V641" s="466"/>
    </row>
    <row r="642" spans="2:22" ht="12.75">
      <c r="B642" s="673"/>
      <c r="C642" s="147"/>
      <c r="D642" s="674"/>
      <c r="E642" s="674"/>
      <c r="F642" s="674"/>
      <c r="G642" s="674"/>
      <c r="H642" s="674"/>
      <c r="I642" s="674"/>
      <c r="J642" s="674"/>
      <c r="K642" s="674"/>
      <c r="L642" s="674"/>
      <c r="M642" s="676"/>
      <c r="N642" s="674"/>
      <c r="O642" s="675"/>
      <c r="P642" s="466"/>
      <c r="Q642" s="466"/>
      <c r="R642" s="466"/>
      <c r="S642" s="466"/>
      <c r="T642" s="466"/>
      <c r="U642" s="466"/>
      <c r="V642" s="466"/>
    </row>
    <row r="643" spans="2:22" ht="12.75">
      <c r="B643" s="673"/>
      <c r="C643" s="147"/>
      <c r="D643" s="674"/>
      <c r="E643" s="674"/>
      <c r="F643" s="674"/>
      <c r="G643" s="674"/>
      <c r="H643" s="674"/>
      <c r="I643" s="674"/>
      <c r="J643" s="674"/>
      <c r="K643" s="674"/>
      <c r="L643" s="674"/>
      <c r="M643" s="676"/>
      <c r="N643" s="674"/>
      <c r="O643" s="675"/>
      <c r="P643" s="466"/>
      <c r="Q643" s="466"/>
      <c r="R643" s="466"/>
      <c r="S643" s="466"/>
      <c r="T643" s="466"/>
      <c r="U643" s="466"/>
      <c r="V643" s="466"/>
    </row>
    <row r="644" spans="2:22" ht="12.75">
      <c r="B644" s="673"/>
      <c r="C644" s="147"/>
      <c r="D644" s="674"/>
      <c r="E644" s="674"/>
      <c r="F644" s="674"/>
      <c r="G644" s="674"/>
      <c r="H644" s="674"/>
      <c r="I644" s="674"/>
      <c r="J644" s="674"/>
      <c r="K644" s="674"/>
      <c r="L644" s="674"/>
      <c r="M644" s="676"/>
      <c r="N644" s="674"/>
      <c r="O644" s="675"/>
      <c r="P644" s="466"/>
      <c r="Q644" s="466"/>
      <c r="R644" s="466"/>
      <c r="S644" s="466"/>
      <c r="T644" s="466"/>
      <c r="U644" s="466"/>
      <c r="V644" s="466"/>
    </row>
    <row r="645" spans="2:22" ht="12.75">
      <c r="B645" s="673"/>
      <c r="C645" s="147"/>
      <c r="D645" s="674"/>
      <c r="E645" s="674"/>
      <c r="F645" s="674"/>
      <c r="G645" s="674"/>
      <c r="H645" s="674"/>
      <c r="I645" s="674"/>
      <c r="J645" s="674"/>
      <c r="K645" s="674"/>
      <c r="L645" s="674"/>
      <c r="M645" s="676"/>
      <c r="N645" s="674"/>
      <c r="O645" s="675"/>
      <c r="P645" s="466"/>
      <c r="Q645" s="466"/>
      <c r="R645" s="466"/>
      <c r="S645" s="466"/>
      <c r="T645" s="466"/>
      <c r="U645" s="466"/>
      <c r="V645" s="466"/>
    </row>
    <row r="646" spans="2:22" ht="12.75">
      <c r="B646" s="673"/>
      <c r="C646" s="147"/>
      <c r="D646" s="674"/>
      <c r="E646" s="674"/>
      <c r="F646" s="674"/>
      <c r="G646" s="674"/>
      <c r="H646" s="674"/>
      <c r="I646" s="674"/>
      <c r="J646" s="674"/>
      <c r="K646" s="674"/>
      <c r="L646" s="674"/>
      <c r="M646" s="676"/>
      <c r="N646" s="674"/>
      <c r="O646" s="675"/>
      <c r="P646" s="466"/>
      <c r="Q646" s="466"/>
      <c r="R646" s="466"/>
      <c r="S646" s="466"/>
      <c r="T646" s="466"/>
      <c r="U646" s="466"/>
      <c r="V646" s="466"/>
    </row>
    <row r="647" spans="2:22" ht="12.75">
      <c r="B647" s="673"/>
      <c r="C647" s="147"/>
      <c r="D647" s="674"/>
      <c r="E647" s="674"/>
      <c r="F647" s="674"/>
      <c r="G647" s="674"/>
      <c r="H647" s="674"/>
      <c r="I647" s="674"/>
      <c r="J647" s="674"/>
      <c r="K647" s="674"/>
      <c r="L647" s="674"/>
      <c r="M647" s="676"/>
      <c r="N647" s="674"/>
      <c r="O647" s="675"/>
      <c r="P647" s="466"/>
      <c r="Q647" s="466"/>
      <c r="R647" s="466"/>
      <c r="S647" s="466"/>
      <c r="T647" s="466"/>
      <c r="U647" s="466"/>
      <c r="V647" s="466"/>
    </row>
    <row r="648" spans="2:22" ht="12.75">
      <c r="B648" s="673"/>
      <c r="C648" s="147"/>
      <c r="D648" s="674"/>
      <c r="E648" s="674"/>
      <c r="F648" s="674"/>
      <c r="G648" s="674"/>
      <c r="H648" s="674"/>
      <c r="I648" s="674"/>
      <c r="J648" s="674"/>
      <c r="K648" s="674"/>
      <c r="L648" s="674"/>
      <c r="M648" s="676"/>
      <c r="N648" s="674"/>
      <c r="O648" s="675"/>
      <c r="P648" s="466"/>
      <c r="Q648" s="466"/>
      <c r="R648" s="466"/>
      <c r="S648" s="466"/>
      <c r="T648" s="466"/>
      <c r="U648" s="466"/>
      <c r="V648" s="466"/>
    </row>
    <row r="649" spans="2:22" ht="12.75">
      <c r="B649" s="673"/>
      <c r="C649" s="147"/>
      <c r="D649" s="674"/>
      <c r="E649" s="674"/>
      <c r="F649" s="674"/>
      <c r="G649" s="674"/>
      <c r="H649" s="674"/>
      <c r="I649" s="674"/>
      <c r="J649" s="674"/>
      <c r="K649" s="674"/>
      <c r="L649" s="674"/>
      <c r="M649" s="676"/>
      <c r="N649" s="674"/>
      <c r="O649" s="675"/>
      <c r="P649" s="466"/>
      <c r="Q649" s="466"/>
      <c r="R649" s="466"/>
      <c r="S649" s="466"/>
      <c r="T649" s="466"/>
      <c r="U649" s="466"/>
      <c r="V649" s="466"/>
    </row>
    <row r="650" spans="2:22" ht="12.75">
      <c r="B650" s="673"/>
      <c r="C650" s="147"/>
      <c r="D650" s="674"/>
      <c r="E650" s="674"/>
      <c r="F650" s="674"/>
      <c r="G650" s="674"/>
      <c r="H650" s="674"/>
      <c r="I650" s="674"/>
      <c r="J650" s="674"/>
      <c r="K650" s="674"/>
      <c r="L650" s="674"/>
      <c r="M650" s="676"/>
      <c r="N650" s="674"/>
      <c r="O650" s="675"/>
      <c r="P650" s="466"/>
      <c r="Q650" s="466"/>
      <c r="R650" s="466"/>
      <c r="S650" s="466"/>
      <c r="T650" s="466"/>
      <c r="U650" s="466"/>
      <c r="V650" s="466"/>
    </row>
    <row r="651" spans="2:22" ht="12.75">
      <c r="B651" s="673"/>
      <c r="C651" s="147"/>
      <c r="D651" s="674"/>
      <c r="E651" s="674"/>
      <c r="F651" s="674"/>
      <c r="G651" s="674"/>
      <c r="H651" s="674"/>
      <c r="I651" s="674"/>
      <c r="J651" s="674"/>
      <c r="K651" s="674"/>
      <c r="L651" s="674"/>
      <c r="M651" s="676"/>
      <c r="N651" s="674"/>
      <c r="O651" s="675"/>
      <c r="P651" s="466"/>
      <c r="Q651" s="466"/>
      <c r="R651" s="466"/>
      <c r="S651" s="466"/>
      <c r="T651" s="466"/>
      <c r="U651" s="466"/>
      <c r="V651" s="466"/>
    </row>
    <row r="652" spans="2:22" ht="12.75">
      <c r="B652" s="673"/>
      <c r="C652" s="147"/>
      <c r="D652" s="674"/>
      <c r="E652" s="674"/>
      <c r="F652" s="674"/>
      <c r="G652" s="674"/>
      <c r="H652" s="674"/>
      <c r="I652" s="674"/>
      <c r="J652" s="674"/>
      <c r="K652" s="674"/>
      <c r="L652" s="674"/>
      <c r="M652" s="676"/>
      <c r="N652" s="674"/>
      <c r="O652" s="675"/>
      <c r="P652" s="466"/>
      <c r="Q652" s="466"/>
      <c r="R652" s="466"/>
      <c r="S652" s="466"/>
      <c r="T652" s="466"/>
      <c r="U652" s="466"/>
      <c r="V652" s="466"/>
    </row>
    <row r="653" spans="2:22" ht="12.75">
      <c r="B653" s="673"/>
      <c r="C653" s="147"/>
      <c r="D653" s="674"/>
      <c r="E653" s="674"/>
      <c r="F653" s="674"/>
      <c r="G653" s="674"/>
      <c r="H653" s="674"/>
      <c r="I653" s="674"/>
      <c r="J653" s="674"/>
      <c r="K653" s="674"/>
      <c r="L653" s="674"/>
      <c r="M653" s="676"/>
      <c r="N653" s="674"/>
      <c r="O653" s="675"/>
      <c r="P653" s="466"/>
      <c r="Q653" s="466"/>
      <c r="R653" s="466"/>
      <c r="S653" s="466"/>
      <c r="T653" s="466"/>
      <c r="U653" s="466"/>
      <c r="V653" s="466"/>
    </row>
    <row r="654" spans="2:22" ht="12.75">
      <c r="B654" s="673"/>
      <c r="C654" s="147"/>
      <c r="D654" s="674"/>
      <c r="E654" s="674"/>
      <c r="F654" s="674"/>
      <c r="G654" s="674"/>
      <c r="H654" s="674"/>
      <c r="I654" s="674"/>
      <c r="J654" s="674"/>
      <c r="K654" s="674"/>
      <c r="L654" s="674"/>
      <c r="M654" s="676"/>
      <c r="N654" s="674"/>
      <c r="O654" s="675"/>
      <c r="P654" s="466"/>
      <c r="Q654" s="466"/>
      <c r="R654" s="466"/>
      <c r="S654" s="466"/>
      <c r="T654" s="466"/>
      <c r="U654" s="466"/>
      <c r="V654" s="466"/>
    </row>
    <row r="655" spans="2:22" ht="12.75">
      <c r="B655" s="673"/>
      <c r="C655" s="147"/>
      <c r="D655" s="674"/>
      <c r="E655" s="674"/>
      <c r="F655" s="674"/>
      <c r="G655" s="674"/>
      <c r="H655" s="674"/>
      <c r="I655" s="674"/>
      <c r="J655" s="674"/>
      <c r="K655" s="674"/>
      <c r="L655" s="674"/>
      <c r="M655" s="676"/>
      <c r="N655" s="674"/>
      <c r="O655" s="675"/>
      <c r="P655" s="466"/>
      <c r="Q655" s="466"/>
      <c r="R655" s="466"/>
      <c r="S655" s="466"/>
      <c r="T655" s="466"/>
      <c r="U655" s="466"/>
      <c r="V655" s="466"/>
    </row>
    <row r="656" spans="2:22" ht="12.75">
      <c r="B656" s="673"/>
      <c r="C656" s="147"/>
      <c r="D656" s="674"/>
      <c r="E656" s="674"/>
      <c r="F656" s="674"/>
      <c r="G656" s="674"/>
      <c r="H656" s="674"/>
      <c r="I656" s="674"/>
      <c r="J656" s="674"/>
      <c r="K656" s="674"/>
      <c r="L656" s="674"/>
      <c r="M656" s="676"/>
      <c r="N656" s="674"/>
      <c r="O656" s="675"/>
      <c r="P656" s="466"/>
      <c r="Q656" s="466"/>
      <c r="R656" s="466"/>
      <c r="S656" s="466"/>
      <c r="T656" s="466"/>
      <c r="U656" s="466"/>
      <c r="V656" s="466"/>
    </row>
    <row r="657" spans="2:22" ht="12.75">
      <c r="B657" s="673"/>
      <c r="C657" s="147"/>
      <c r="D657" s="674"/>
      <c r="E657" s="674"/>
      <c r="F657" s="674"/>
      <c r="G657" s="674"/>
      <c r="H657" s="674"/>
      <c r="I657" s="674"/>
      <c r="J657" s="674"/>
      <c r="K657" s="674"/>
      <c r="L657" s="674"/>
      <c r="M657" s="676"/>
      <c r="N657" s="674"/>
      <c r="O657" s="675"/>
      <c r="P657" s="466"/>
      <c r="Q657" s="466"/>
      <c r="R657" s="466"/>
      <c r="S657" s="466"/>
      <c r="T657" s="466"/>
      <c r="U657" s="466"/>
      <c r="V657" s="466"/>
    </row>
    <row r="658" spans="2:22" ht="12.75">
      <c r="B658" s="673"/>
      <c r="C658" s="147"/>
      <c r="D658" s="674"/>
      <c r="E658" s="674"/>
      <c r="F658" s="674"/>
      <c r="G658" s="674"/>
      <c r="H658" s="674"/>
      <c r="I658" s="674"/>
      <c r="J658" s="674"/>
      <c r="K658" s="674"/>
      <c r="L658" s="674"/>
      <c r="M658" s="676"/>
      <c r="N658" s="674"/>
      <c r="O658" s="675"/>
      <c r="P658" s="466"/>
      <c r="Q658" s="466"/>
      <c r="R658" s="466"/>
      <c r="S658" s="466"/>
      <c r="T658" s="466"/>
      <c r="U658" s="466"/>
      <c r="V658" s="466"/>
    </row>
    <row r="659" spans="2:22" ht="12.75">
      <c r="B659" s="673"/>
      <c r="C659" s="147"/>
      <c r="D659" s="674"/>
      <c r="E659" s="674"/>
      <c r="F659" s="674"/>
      <c r="G659" s="674"/>
      <c r="H659" s="674"/>
      <c r="I659" s="674"/>
      <c r="J659" s="674"/>
      <c r="K659" s="674"/>
      <c r="L659" s="674"/>
      <c r="M659" s="676"/>
      <c r="N659" s="674"/>
      <c r="O659" s="675"/>
      <c r="P659" s="466"/>
      <c r="Q659" s="466"/>
      <c r="R659" s="466"/>
      <c r="S659" s="466"/>
      <c r="T659" s="466"/>
      <c r="U659" s="466"/>
      <c r="V659" s="466"/>
    </row>
    <row r="660" spans="2:22" ht="12.75">
      <c r="B660" s="673"/>
      <c r="C660" s="147"/>
      <c r="D660" s="674"/>
      <c r="E660" s="674"/>
      <c r="F660" s="674"/>
      <c r="G660" s="674"/>
      <c r="H660" s="674"/>
      <c r="I660" s="674"/>
      <c r="J660" s="674"/>
      <c r="K660" s="674"/>
      <c r="L660" s="674"/>
      <c r="M660" s="676"/>
      <c r="N660" s="674"/>
      <c r="O660" s="675"/>
      <c r="P660" s="466"/>
      <c r="Q660" s="466"/>
      <c r="R660" s="466"/>
      <c r="S660" s="466"/>
      <c r="T660" s="466"/>
      <c r="U660" s="466"/>
      <c r="V660" s="466"/>
    </row>
    <row r="661" spans="2:22" ht="12.75">
      <c r="B661" s="673"/>
      <c r="C661" s="147"/>
      <c r="D661" s="674"/>
      <c r="E661" s="674"/>
      <c r="F661" s="674"/>
      <c r="G661" s="674"/>
      <c r="H661" s="674"/>
      <c r="I661" s="674"/>
      <c r="J661" s="674"/>
      <c r="K661" s="674"/>
      <c r="L661" s="674"/>
      <c r="M661" s="676"/>
      <c r="N661" s="674"/>
      <c r="O661" s="675"/>
      <c r="P661" s="466"/>
      <c r="Q661" s="466"/>
      <c r="R661" s="466"/>
      <c r="S661" s="466"/>
      <c r="T661" s="466"/>
      <c r="U661" s="466"/>
      <c r="V661" s="466"/>
    </row>
    <row r="662" spans="2:22" ht="12.75">
      <c r="B662" s="673"/>
      <c r="C662" s="147"/>
      <c r="D662" s="674"/>
      <c r="E662" s="674"/>
      <c r="F662" s="674"/>
      <c r="G662" s="674"/>
      <c r="H662" s="674"/>
      <c r="I662" s="674"/>
      <c r="J662" s="674"/>
      <c r="K662" s="674"/>
      <c r="L662" s="674"/>
      <c r="M662" s="676"/>
      <c r="N662" s="674"/>
      <c r="O662" s="675"/>
      <c r="P662" s="466"/>
      <c r="Q662" s="466"/>
      <c r="R662" s="466"/>
      <c r="S662" s="466"/>
      <c r="T662" s="466"/>
      <c r="U662" s="466"/>
      <c r="V662" s="466"/>
    </row>
    <row r="663" spans="2:22" ht="12.75">
      <c r="B663" s="673"/>
      <c r="C663" s="147"/>
      <c r="D663" s="674"/>
      <c r="E663" s="674"/>
      <c r="F663" s="674"/>
      <c r="G663" s="674"/>
      <c r="H663" s="674"/>
      <c r="I663" s="674"/>
      <c r="J663" s="674"/>
      <c r="K663" s="674"/>
      <c r="L663" s="674"/>
      <c r="M663" s="676"/>
      <c r="N663" s="674"/>
      <c r="O663" s="675"/>
      <c r="P663" s="466"/>
      <c r="Q663" s="466"/>
      <c r="R663" s="466"/>
      <c r="S663" s="466"/>
      <c r="T663" s="466"/>
      <c r="U663" s="466"/>
      <c r="V663" s="466"/>
    </row>
    <row r="664" spans="2:22" ht="12.75">
      <c r="B664" s="673"/>
      <c r="C664" s="147"/>
      <c r="D664" s="674"/>
      <c r="E664" s="674"/>
      <c r="F664" s="674"/>
      <c r="G664" s="674"/>
      <c r="H664" s="674"/>
      <c r="I664" s="674"/>
      <c r="J664" s="674"/>
      <c r="K664" s="674"/>
      <c r="L664" s="674"/>
      <c r="M664" s="676"/>
      <c r="N664" s="674"/>
      <c r="O664" s="675"/>
      <c r="P664" s="466"/>
      <c r="Q664" s="466"/>
      <c r="R664" s="466"/>
      <c r="S664" s="466"/>
      <c r="T664" s="466"/>
      <c r="U664" s="466"/>
      <c r="V664" s="466"/>
    </row>
    <row r="665" spans="2:22" ht="12.75">
      <c r="B665" s="673"/>
      <c r="C665" s="147"/>
      <c r="D665" s="674"/>
      <c r="E665" s="674"/>
      <c r="F665" s="674"/>
      <c r="G665" s="674"/>
      <c r="H665" s="674"/>
      <c r="I665" s="674"/>
      <c r="J665" s="674"/>
      <c r="K665" s="674"/>
      <c r="L665" s="674"/>
      <c r="M665" s="676"/>
      <c r="N665" s="674"/>
      <c r="O665" s="675"/>
      <c r="P665" s="466"/>
      <c r="Q665" s="466"/>
      <c r="R665" s="466"/>
      <c r="S665" s="466"/>
      <c r="T665" s="466"/>
      <c r="U665" s="466"/>
      <c r="V665" s="466"/>
    </row>
    <row r="666" spans="2:22" ht="12.75">
      <c r="B666" s="673"/>
      <c r="C666" s="147"/>
      <c r="D666" s="674"/>
      <c r="E666" s="674"/>
      <c r="F666" s="674"/>
      <c r="G666" s="674"/>
      <c r="H666" s="674"/>
      <c r="I666" s="674"/>
      <c r="J666" s="674"/>
      <c r="K666" s="674"/>
      <c r="L666" s="674"/>
      <c r="M666" s="676"/>
      <c r="N666" s="674"/>
      <c r="O666" s="675"/>
      <c r="P666" s="466"/>
      <c r="Q666" s="466"/>
      <c r="R666" s="466"/>
      <c r="S666" s="466"/>
      <c r="T666" s="466"/>
      <c r="U666" s="466"/>
      <c r="V666" s="466"/>
    </row>
    <row r="667" spans="2:22" ht="12.75">
      <c r="B667" s="673"/>
      <c r="C667" s="147"/>
      <c r="D667" s="674"/>
      <c r="E667" s="674"/>
      <c r="F667" s="674"/>
      <c r="G667" s="674"/>
      <c r="H667" s="674"/>
      <c r="I667" s="674"/>
      <c r="J667" s="674"/>
      <c r="K667" s="674"/>
      <c r="L667" s="674"/>
      <c r="M667" s="676"/>
      <c r="N667" s="674"/>
      <c r="O667" s="675"/>
      <c r="P667" s="466"/>
      <c r="Q667" s="466"/>
      <c r="R667" s="466"/>
      <c r="S667" s="466"/>
      <c r="T667" s="466"/>
      <c r="U667" s="466"/>
      <c r="V667" s="466"/>
    </row>
    <row r="668" spans="2:22" ht="12.75">
      <c r="B668" s="673"/>
      <c r="C668" s="147"/>
      <c r="D668" s="674"/>
      <c r="E668" s="674"/>
      <c r="F668" s="674"/>
      <c r="G668" s="674"/>
      <c r="H668" s="674"/>
      <c r="I668" s="674"/>
      <c r="J668" s="674"/>
      <c r="K668" s="674"/>
      <c r="L668" s="674"/>
      <c r="M668" s="676"/>
      <c r="N668" s="674"/>
      <c r="O668" s="675"/>
      <c r="P668" s="466"/>
      <c r="Q668" s="466"/>
      <c r="R668" s="466"/>
      <c r="S668" s="466"/>
      <c r="T668" s="466"/>
      <c r="U668" s="466"/>
      <c r="V668" s="466"/>
    </row>
    <row r="669" spans="2:22" ht="12.75">
      <c r="B669" s="673"/>
      <c r="C669" s="147"/>
      <c r="D669" s="674"/>
      <c r="E669" s="674"/>
      <c r="F669" s="674"/>
      <c r="G669" s="674"/>
      <c r="H669" s="674"/>
      <c r="I669" s="674"/>
      <c r="J669" s="674"/>
      <c r="K669" s="674"/>
      <c r="L669" s="674"/>
      <c r="M669" s="676"/>
      <c r="N669" s="674"/>
      <c r="O669" s="675"/>
      <c r="P669" s="466"/>
      <c r="Q669" s="466"/>
      <c r="R669" s="466"/>
      <c r="S669" s="466"/>
      <c r="T669" s="466"/>
      <c r="U669" s="466"/>
      <c r="V669" s="466"/>
    </row>
    <row r="670" spans="2:22" ht="12.75">
      <c r="B670" s="673"/>
      <c r="C670" s="147"/>
      <c r="D670" s="674"/>
      <c r="E670" s="674"/>
      <c r="F670" s="674"/>
      <c r="G670" s="674"/>
      <c r="H670" s="674"/>
      <c r="I670" s="674"/>
      <c r="J670" s="674"/>
      <c r="K670" s="674"/>
      <c r="L670" s="674"/>
      <c r="M670" s="676"/>
      <c r="N670" s="674"/>
      <c r="O670" s="675"/>
      <c r="P670" s="466"/>
      <c r="Q670" s="466"/>
      <c r="R670" s="466"/>
      <c r="S670" s="466"/>
      <c r="T670" s="466"/>
      <c r="U670" s="466"/>
      <c r="V670" s="466"/>
    </row>
    <row r="671" spans="2:22" ht="12.75">
      <c r="B671" s="673"/>
      <c r="C671" s="147"/>
      <c r="D671" s="674"/>
      <c r="E671" s="674"/>
      <c r="F671" s="674"/>
      <c r="G671" s="674"/>
      <c r="H671" s="674"/>
      <c r="I671" s="674"/>
      <c r="J671" s="674"/>
      <c r="K671" s="674"/>
      <c r="L671" s="674"/>
      <c r="M671" s="676"/>
      <c r="N671" s="674"/>
      <c r="O671" s="675"/>
      <c r="P671" s="466"/>
      <c r="Q671" s="466"/>
      <c r="R671" s="466"/>
      <c r="S671" s="466"/>
      <c r="T671" s="466"/>
      <c r="U671" s="466"/>
      <c r="V671" s="466"/>
    </row>
    <row r="672" spans="2:22" ht="12.75">
      <c r="B672" s="673"/>
      <c r="C672" s="147"/>
      <c r="D672" s="674"/>
      <c r="E672" s="674"/>
      <c r="F672" s="674"/>
      <c r="G672" s="674"/>
      <c r="H672" s="674"/>
      <c r="I672" s="674"/>
      <c r="J672" s="674"/>
      <c r="K672" s="674"/>
      <c r="L672" s="674"/>
      <c r="M672" s="676"/>
      <c r="N672" s="674"/>
      <c r="O672" s="675"/>
      <c r="P672" s="466"/>
      <c r="Q672" s="466"/>
      <c r="R672" s="466"/>
      <c r="S672" s="466"/>
      <c r="T672" s="466"/>
      <c r="U672" s="466"/>
      <c r="V672" s="466"/>
    </row>
    <row r="673" spans="2:22" ht="12.75">
      <c r="B673" s="673"/>
      <c r="C673" s="147"/>
      <c r="D673" s="674"/>
      <c r="E673" s="674"/>
      <c r="F673" s="674"/>
      <c r="G673" s="674"/>
      <c r="H673" s="674"/>
      <c r="I673" s="674"/>
      <c r="J673" s="674"/>
      <c r="K673" s="674"/>
      <c r="L673" s="674"/>
      <c r="M673" s="676"/>
      <c r="N673" s="674"/>
      <c r="O673" s="675"/>
      <c r="P673" s="466"/>
      <c r="Q673" s="466"/>
      <c r="R673" s="466"/>
      <c r="S673" s="466"/>
      <c r="T673" s="466"/>
      <c r="U673" s="466"/>
      <c r="V673" s="466"/>
    </row>
    <row r="674" spans="2:22" ht="12.75">
      <c r="B674" s="673"/>
      <c r="C674" s="147"/>
      <c r="D674" s="674"/>
      <c r="E674" s="674"/>
      <c r="F674" s="674"/>
      <c r="G674" s="674"/>
      <c r="H674" s="674"/>
      <c r="I674" s="674"/>
      <c r="J674" s="674"/>
      <c r="K674" s="674"/>
      <c r="L674" s="674"/>
      <c r="M674" s="676"/>
      <c r="N674" s="674"/>
      <c r="O674" s="675"/>
      <c r="P674" s="466"/>
      <c r="Q674" s="466"/>
      <c r="R674" s="466"/>
      <c r="S674" s="466"/>
      <c r="T674" s="466"/>
      <c r="U674" s="466"/>
      <c r="V674" s="466"/>
    </row>
    <row r="675" spans="2:22" ht="12.75">
      <c r="B675" s="673"/>
      <c r="C675" s="147"/>
      <c r="D675" s="674"/>
      <c r="E675" s="674"/>
      <c r="F675" s="674"/>
      <c r="G675" s="674"/>
      <c r="H675" s="674"/>
      <c r="I675" s="674"/>
      <c r="J675" s="674"/>
      <c r="K675" s="674"/>
      <c r="L675" s="674"/>
      <c r="M675" s="676"/>
      <c r="N675" s="674"/>
      <c r="O675" s="675"/>
      <c r="P675" s="466"/>
      <c r="Q675" s="466"/>
      <c r="R675" s="466"/>
      <c r="S675" s="466"/>
      <c r="T675" s="466"/>
      <c r="U675" s="466"/>
      <c r="V675" s="466"/>
    </row>
    <row r="676" spans="2:22" ht="12.75">
      <c r="B676" s="673"/>
      <c r="C676" s="147"/>
      <c r="D676" s="674"/>
      <c r="E676" s="674"/>
      <c r="F676" s="674"/>
      <c r="G676" s="674"/>
      <c r="H676" s="674"/>
      <c r="I676" s="674"/>
      <c r="J676" s="674"/>
      <c r="K676" s="674"/>
      <c r="L676" s="674"/>
      <c r="M676" s="676"/>
      <c r="N676" s="674"/>
      <c r="O676" s="675"/>
      <c r="P676" s="466"/>
      <c r="Q676" s="466"/>
      <c r="R676" s="466"/>
      <c r="S676" s="466"/>
      <c r="T676" s="466"/>
      <c r="U676" s="466"/>
      <c r="V676" s="466"/>
    </row>
    <row r="677" spans="2:22" ht="12.75">
      <c r="B677" s="673"/>
      <c r="C677" s="147"/>
      <c r="D677" s="674"/>
      <c r="E677" s="674"/>
      <c r="F677" s="674"/>
      <c r="G677" s="674"/>
      <c r="H677" s="674"/>
      <c r="I677" s="674"/>
      <c r="J677" s="674"/>
      <c r="K677" s="674"/>
      <c r="L677" s="674"/>
      <c r="M677" s="676"/>
      <c r="N677" s="674"/>
      <c r="O677" s="675"/>
      <c r="P677" s="466"/>
      <c r="Q677" s="466"/>
      <c r="R677" s="466"/>
      <c r="S677" s="466"/>
      <c r="T677" s="466"/>
      <c r="U677" s="466"/>
      <c r="V677" s="466"/>
    </row>
    <row r="678" spans="2:22" ht="12.75">
      <c r="B678" s="673"/>
      <c r="C678" s="147"/>
      <c r="D678" s="674"/>
      <c r="E678" s="674"/>
      <c r="F678" s="674"/>
      <c r="G678" s="674"/>
      <c r="H678" s="674"/>
      <c r="I678" s="674"/>
      <c r="J678" s="674"/>
      <c r="K678" s="674"/>
      <c r="L678" s="674"/>
      <c r="M678" s="676"/>
      <c r="N678" s="674"/>
      <c r="O678" s="675"/>
      <c r="P678" s="466"/>
      <c r="Q678" s="466"/>
      <c r="R678" s="466"/>
      <c r="S678" s="466"/>
      <c r="T678" s="466"/>
      <c r="U678" s="466"/>
      <c r="V678" s="466"/>
    </row>
    <row r="679" spans="2:22" ht="12.75">
      <c r="B679" s="673"/>
      <c r="C679" s="147"/>
      <c r="D679" s="674"/>
      <c r="E679" s="674"/>
      <c r="F679" s="674"/>
      <c r="G679" s="674"/>
      <c r="H679" s="674"/>
      <c r="I679" s="674"/>
      <c r="J679" s="674"/>
      <c r="K679" s="674"/>
      <c r="L679" s="674"/>
      <c r="M679" s="676"/>
      <c r="N679" s="674"/>
      <c r="O679" s="675"/>
      <c r="P679" s="466"/>
      <c r="Q679" s="466"/>
      <c r="R679" s="466"/>
      <c r="S679" s="466"/>
      <c r="T679" s="466"/>
      <c r="U679" s="466"/>
      <c r="V679" s="466"/>
    </row>
    <row r="680" spans="2:22" ht="12.75">
      <c r="B680" s="673"/>
      <c r="C680" s="147"/>
      <c r="D680" s="674"/>
      <c r="E680" s="674"/>
      <c r="F680" s="674"/>
      <c r="G680" s="674"/>
      <c r="H680" s="674"/>
      <c r="I680" s="674"/>
      <c r="J680" s="674"/>
      <c r="K680" s="674"/>
      <c r="L680" s="674"/>
      <c r="M680" s="676"/>
      <c r="N680" s="674"/>
      <c r="O680" s="675"/>
      <c r="P680" s="466"/>
      <c r="Q680" s="466"/>
      <c r="R680" s="466"/>
      <c r="S680" s="466"/>
      <c r="T680" s="466"/>
      <c r="U680" s="466"/>
      <c r="V680" s="466"/>
    </row>
    <row r="681" spans="2:22" ht="12.75">
      <c r="B681" s="673"/>
      <c r="C681" s="147"/>
      <c r="D681" s="674"/>
      <c r="E681" s="674"/>
      <c r="F681" s="674"/>
      <c r="G681" s="674"/>
      <c r="H681" s="674"/>
      <c r="I681" s="674"/>
      <c r="J681" s="674"/>
      <c r="K681" s="674"/>
      <c r="L681" s="674"/>
      <c r="M681" s="676"/>
      <c r="N681" s="674"/>
      <c r="O681" s="675"/>
      <c r="P681" s="466"/>
      <c r="Q681" s="466"/>
      <c r="R681" s="466"/>
      <c r="S681" s="466"/>
      <c r="T681" s="466"/>
      <c r="U681" s="466"/>
      <c r="V681" s="466"/>
    </row>
    <row r="682" spans="2:22" ht="12.75">
      <c r="B682" s="673"/>
      <c r="C682" s="147"/>
      <c r="D682" s="674"/>
      <c r="E682" s="674"/>
      <c r="F682" s="674"/>
      <c r="G682" s="674"/>
      <c r="H682" s="674"/>
      <c r="I682" s="674"/>
      <c r="J682" s="674"/>
      <c r="K682" s="674"/>
      <c r="L682" s="674"/>
      <c r="M682" s="676"/>
      <c r="N682" s="674"/>
      <c r="O682" s="675"/>
      <c r="P682" s="466"/>
      <c r="Q682" s="466"/>
      <c r="R682" s="466"/>
      <c r="S682" s="466"/>
      <c r="T682" s="466"/>
      <c r="U682" s="466"/>
      <c r="V682" s="466"/>
    </row>
    <row r="683" spans="2:22" ht="12.75">
      <c r="B683" s="673"/>
      <c r="C683" s="147"/>
      <c r="D683" s="674"/>
      <c r="E683" s="674"/>
      <c r="F683" s="674"/>
      <c r="G683" s="674"/>
      <c r="H683" s="674"/>
      <c r="I683" s="674"/>
      <c r="J683" s="674"/>
      <c r="K683" s="674"/>
      <c r="L683" s="674"/>
      <c r="M683" s="676"/>
      <c r="N683" s="674"/>
      <c r="O683" s="675"/>
      <c r="P683" s="466"/>
      <c r="Q683" s="466"/>
      <c r="R683" s="466"/>
      <c r="S683" s="466"/>
      <c r="T683" s="466"/>
      <c r="U683" s="466"/>
      <c r="V683" s="466"/>
    </row>
    <row r="684" spans="2:22" ht="12.75">
      <c r="B684" s="673"/>
      <c r="C684" s="147"/>
      <c r="D684" s="674"/>
      <c r="E684" s="674"/>
      <c r="F684" s="674"/>
      <c r="G684" s="674"/>
      <c r="H684" s="674"/>
      <c r="I684" s="674"/>
      <c r="J684" s="674"/>
      <c r="K684" s="674"/>
      <c r="L684" s="674"/>
      <c r="M684" s="676"/>
      <c r="N684" s="674"/>
      <c r="O684" s="675"/>
      <c r="P684" s="466"/>
      <c r="Q684" s="466"/>
      <c r="R684" s="466"/>
      <c r="S684" s="466"/>
      <c r="T684" s="466"/>
      <c r="U684" s="466"/>
      <c r="V684" s="466"/>
    </row>
    <row r="685" spans="2:22" ht="12.75">
      <c r="B685" s="673"/>
      <c r="C685" s="147"/>
      <c r="D685" s="674"/>
      <c r="E685" s="674"/>
      <c r="F685" s="674"/>
      <c r="G685" s="674"/>
      <c r="H685" s="674"/>
      <c r="I685" s="674"/>
      <c r="J685" s="674"/>
      <c r="K685" s="674"/>
      <c r="L685" s="674"/>
      <c r="M685" s="676"/>
      <c r="N685" s="674"/>
      <c r="O685" s="675"/>
      <c r="P685" s="466"/>
      <c r="Q685" s="466"/>
      <c r="R685" s="466"/>
      <c r="S685" s="466"/>
      <c r="T685" s="466"/>
      <c r="U685" s="466"/>
      <c r="V685" s="466"/>
    </row>
    <row r="686" spans="2:22" ht="12.75">
      <c r="B686" s="673"/>
      <c r="C686" s="147"/>
      <c r="D686" s="674"/>
      <c r="E686" s="674"/>
      <c r="F686" s="674"/>
      <c r="G686" s="674"/>
      <c r="H686" s="674"/>
      <c r="I686" s="674"/>
      <c r="J686" s="674"/>
      <c r="K686" s="674"/>
      <c r="L686" s="674"/>
      <c r="M686" s="676"/>
      <c r="N686" s="674"/>
      <c r="O686" s="675"/>
      <c r="P686" s="466"/>
      <c r="Q686" s="466"/>
      <c r="R686" s="466"/>
      <c r="S686" s="466"/>
      <c r="T686" s="466"/>
      <c r="U686" s="466"/>
      <c r="V686" s="466"/>
    </row>
    <row r="687" spans="2:22" ht="12.75">
      <c r="B687" s="673"/>
      <c r="C687" s="147"/>
      <c r="D687" s="674"/>
      <c r="E687" s="674"/>
      <c r="F687" s="674"/>
      <c r="G687" s="674"/>
      <c r="H687" s="674"/>
      <c r="I687" s="674"/>
      <c r="J687" s="674"/>
      <c r="K687" s="674"/>
      <c r="L687" s="674"/>
      <c r="M687" s="676"/>
      <c r="N687" s="674"/>
      <c r="O687" s="675"/>
      <c r="P687" s="466"/>
      <c r="Q687" s="466"/>
      <c r="R687" s="466"/>
      <c r="S687" s="466"/>
      <c r="T687" s="466"/>
      <c r="U687" s="466"/>
      <c r="V687" s="466"/>
    </row>
    <row r="688" spans="2:22" ht="12.75">
      <c r="B688" s="673"/>
      <c r="C688" s="147"/>
      <c r="D688" s="674"/>
      <c r="E688" s="674"/>
      <c r="F688" s="674"/>
      <c r="G688" s="674"/>
      <c r="H688" s="674"/>
      <c r="I688" s="674"/>
      <c r="J688" s="674"/>
      <c r="K688" s="674"/>
      <c r="L688" s="674"/>
      <c r="M688" s="676"/>
      <c r="N688" s="674"/>
      <c r="O688" s="675"/>
      <c r="P688" s="466"/>
      <c r="Q688" s="466"/>
      <c r="R688" s="466"/>
      <c r="S688" s="466"/>
      <c r="T688" s="466"/>
      <c r="U688" s="466"/>
      <c r="V688" s="466"/>
    </row>
    <row r="689" spans="2:22" ht="12.75">
      <c r="B689" s="673"/>
      <c r="C689" s="147"/>
      <c r="D689" s="674"/>
      <c r="E689" s="674"/>
      <c r="F689" s="674"/>
      <c r="G689" s="674"/>
      <c r="H689" s="674"/>
      <c r="I689" s="674"/>
      <c r="J689" s="674"/>
      <c r="K689" s="674"/>
      <c r="L689" s="674"/>
      <c r="M689" s="676"/>
      <c r="N689" s="674"/>
      <c r="O689" s="675"/>
      <c r="P689" s="466"/>
      <c r="Q689" s="466"/>
      <c r="R689" s="466"/>
      <c r="S689" s="466"/>
      <c r="T689" s="466"/>
      <c r="U689" s="466"/>
      <c r="V689" s="466"/>
    </row>
    <row r="690" spans="2:22" ht="12.75">
      <c r="B690" s="673"/>
      <c r="C690" s="147"/>
      <c r="D690" s="674"/>
      <c r="E690" s="674"/>
      <c r="F690" s="674"/>
      <c r="G690" s="674"/>
      <c r="H690" s="674"/>
      <c r="I690" s="674"/>
      <c r="J690" s="674"/>
      <c r="K690" s="674"/>
      <c r="L690" s="674"/>
      <c r="M690" s="676"/>
      <c r="N690" s="674"/>
      <c r="O690" s="675"/>
      <c r="P690" s="466"/>
      <c r="Q690" s="466"/>
      <c r="R690" s="466"/>
      <c r="S690" s="466"/>
      <c r="T690" s="466"/>
      <c r="U690" s="466"/>
      <c r="V690" s="466"/>
    </row>
    <row r="691" spans="2:22" ht="12.75">
      <c r="B691" s="673"/>
      <c r="C691" s="147"/>
      <c r="D691" s="674"/>
      <c r="E691" s="674"/>
      <c r="F691" s="674"/>
      <c r="G691" s="674"/>
      <c r="H691" s="674"/>
      <c r="I691" s="674"/>
      <c r="J691" s="674"/>
      <c r="K691" s="674"/>
      <c r="L691" s="674"/>
      <c r="M691" s="676"/>
      <c r="N691" s="674"/>
      <c r="O691" s="675"/>
      <c r="P691" s="466"/>
      <c r="Q691" s="466"/>
      <c r="R691" s="466"/>
      <c r="S691" s="466"/>
      <c r="T691" s="466"/>
      <c r="U691" s="466"/>
      <c r="V691" s="466"/>
    </row>
    <row r="692" spans="2:22" ht="12.75">
      <c r="B692" s="673"/>
      <c r="C692" s="147"/>
      <c r="D692" s="674"/>
      <c r="E692" s="674"/>
      <c r="F692" s="674"/>
      <c r="G692" s="674"/>
      <c r="H692" s="674"/>
      <c r="I692" s="674"/>
      <c r="J692" s="674"/>
      <c r="K692" s="674"/>
      <c r="L692" s="674"/>
      <c r="M692" s="676"/>
      <c r="N692" s="674"/>
      <c r="O692" s="675"/>
      <c r="P692" s="466"/>
      <c r="Q692" s="466"/>
      <c r="R692" s="466"/>
      <c r="S692" s="466"/>
      <c r="T692" s="466"/>
      <c r="U692" s="466"/>
      <c r="V692" s="466"/>
    </row>
    <row r="693" spans="2:22" ht="12.75">
      <c r="B693" s="673"/>
      <c r="C693" s="147"/>
      <c r="D693" s="674"/>
      <c r="E693" s="674"/>
      <c r="F693" s="674"/>
      <c r="G693" s="674"/>
      <c r="H693" s="674"/>
      <c r="I693" s="674"/>
      <c r="J693" s="674"/>
      <c r="K693" s="674"/>
      <c r="L693" s="674"/>
      <c r="M693" s="676"/>
      <c r="N693" s="674"/>
      <c r="O693" s="675"/>
      <c r="P693" s="466"/>
      <c r="Q693" s="466"/>
      <c r="R693" s="466"/>
      <c r="S693" s="466"/>
      <c r="T693" s="466"/>
      <c r="U693" s="466"/>
      <c r="V693" s="466"/>
    </row>
    <row r="694" spans="2:22" ht="12.75">
      <c r="B694" s="673"/>
      <c r="C694" s="147"/>
      <c r="D694" s="674"/>
      <c r="E694" s="674"/>
      <c r="F694" s="674"/>
      <c r="G694" s="674"/>
      <c r="H694" s="674"/>
      <c r="I694" s="674"/>
      <c r="J694" s="674"/>
      <c r="K694" s="674"/>
      <c r="L694" s="674"/>
      <c r="M694" s="676"/>
      <c r="N694" s="674"/>
      <c r="O694" s="675"/>
      <c r="P694" s="466"/>
      <c r="Q694" s="466"/>
      <c r="R694" s="466"/>
      <c r="S694" s="466"/>
      <c r="T694" s="466"/>
      <c r="U694" s="466"/>
      <c r="V694" s="466"/>
    </row>
    <row r="695" spans="2:22" ht="12.75">
      <c r="B695" s="673"/>
      <c r="C695" s="147"/>
      <c r="D695" s="674"/>
      <c r="E695" s="674"/>
      <c r="F695" s="674"/>
      <c r="G695" s="674"/>
      <c r="H695" s="674"/>
      <c r="I695" s="674"/>
      <c r="J695" s="674"/>
      <c r="K695" s="674"/>
      <c r="L695" s="674"/>
      <c r="M695" s="676"/>
      <c r="N695" s="674"/>
      <c r="O695" s="675"/>
      <c r="P695" s="466"/>
      <c r="Q695" s="466"/>
      <c r="R695" s="466"/>
      <c r="S695" s="466"/>
      <c r="T695" s="466"/>
      <c r="U695" s="466"/>
      <c r="V695" s="466"/>
    </row>
    <row r="696" spans="2:22" ht="12.75">
      <c r="B696" s="673"/>
      <c r="C696" s="147"/>
      <c r="D696" s="674"/>
      <c r="E696" s="674"/>
      <c r="F696" s="674"/>
      <c r="G696" s="674"/>
      <c r="H696" s="674"/>
      <c r="I696" s="674"/>
      <c r="J696" s="674"/>
      <c r="K696" s="674"/>
      <c r="L696" s="674"/>
      <c r="M696" s="676"/>
      <c r="N696" s="674"/>
      <c r="O696" s="675"/>
      <c r="P696" s="466"/>
      <c r="Q696" s="466"/>
      <c r="R696" s="466"/>
      <c r="S696" s="466"/>
      <c r="T696" s="466"/>
      <c r="U696" s="466"/>
      <c r="V696" s="466"/>
    </row>
    <row r="697" spans="2:22" ht="12.75">
      <c r="B697" s="673"/>
      <c r="C697" s="147"/>
      <c r="D697" s="674"/>
      <c r="E697" s="674"/>
      <c r="F697" s="674"/>
      <c r="G697" s="674"/>
      <c r="H697" s="674"/>
      <c r="I697" s="674"/>
      <c r="J697" s="674"/>
      <c r="K697" s="674"/>
      <c r="L697" s="674"/>
      <c r="M697" s="676"/>
      <c r="N697" s="674"/>
      <c r="O697" s="675"/>
      <c r="P697" s="466"/>
      <c r="Q697" s="466"/>
      <c r="R697" s="466"/>
      <c r="S697" s="466"/>
      <c r="T697" s="466"/>
      <c r="U697" s="466"/>
      <c r="V697" s="466"/>
    </row>
    <row r="698" spans="2:22" ht="12.75">
      <c r="B698" s="673"/>
      <c r="C698" s="147"/>
      <c r="D698" s="674"/>
      <c r="E698" s="674"/>
      <c r="F698" s="674"/>
      <c r="G698" s="674"/>
      <c r="H698" s="674"/>
      <c r="I698" s="674"/>
      <c r="J698" s="674"/>
      <c r="K698" s="674"/>
      <c r="L698" s="674"/>
      <c r="M698" s="676"/>
      <c r="N698" s="674"/>
      <c r="O698" s="675"/>
      <c r="P698" s="466"/>
      <c r="Q698" s="466"/>
      <c r="R698" s="466"/>
      <c r="S698" s="466"/>
      <c r="T698" s="466"/>
      <c r="U698" s="466"/>
      <c r="V698" s="466"/>
    </row>
    <row r="699" spans="2:22" ht="12.75">
      <c r="B699" s="673"/>
      <c r="C699" s="147"/>
      <c r="D699" s="674"/>
      <c r="E699" s="674"/>
      <c r="F699" s="674"/>
      <c r="G699" s="674"/>
      <c r="H699" s="674"/>
      <c r="I699" s="674"/>
      <c r="J699" s="674"/>
      <c r="K699" s="674"/>
      <c r="L699" s="674"/>
      <c r="M699" s="676"/>
      <c r="N699" s="674"/>
      <c r="O699" s="675"/>
      <c r="P699" s="466"/>
      <c r="Q699" s="466"/>
      <c r="R699" s="466"/>
      <c r="S699" s="466"/>
      <c r="T699" s="466"/>
      <c r="U699" s="466"/>
      <c r="V699" s="466"/>
    </row>
    <row r="700" spans="2:22" ht="12.75">
      <c r="B700" s="673"/>
      <c r="C700" s="147"/>
      <c r="D700" s="674"/>
      <c r="E700" s="674"/>
      <c r="F700" s="674"/>
      <c r="G700" s="674"/>
      <c r="H700" s="674"/>
      <c r="I700" s="674"/>
      <c r="J700" s="674"/>
      <c r="K700" s="674"/>
      <c r="L700" s="674"/>
      <c r="M700" s="676"/>
      <c r="N700" s="674"/>
      <c r="O700" s="675"/>
      <c r="P700" s="466"/>
      <c r="Q700" s="466"/>
      <c r="R700" s="466"/>
      <c r="S700" s="466"/>
      <c r="T700" s="466"/>
      <c r="U700" s="466"/>
      <c r="V700" s="466"/>
    </row>
    <row r="701" spans="2:22" ht="12.75">
      <c r="B701" s="673"/>
      <c r="C701" s="147"/>
      <c r="D701" s="674"/>
      <c r="E701" s="674"/>
      <c r="F701" s="674"/>
      <c r="G701" s="674"/>
      <c r="H701" s="674"/>
      <c r="I701" s="674"/>
      <c r="J701" s="674"/>
      <c r="K701" s="674"/>
      <c r="L701" s="674"/>
      <c r="M701" s="676"/>
      <c r="N701" s="674"/>
      <c r="O701" s="675"/>
      <c r="P701" s="466"/>
      <c r="Q701" s="466"/>
      <c r="R701" s="466"/>
      <c r="S701" s="466"/>
      <c r="T701" s="466"/>
      <c r="U701" s="466"/>
      <c r="V701" s="466"/>
    </row>
    <row r="702" spans="2:22" ht="12.75">
      <c r="B702" s="673"/>
      <c r="C702" s="147"/>
      <c r="D702" s="674"/>
      <c r="E702" s="674"/>
      <c r="F702" s="674"/>
      <c r="G702" s="674"/>
      <c r="H702" s="674"/>
      <c r="I702" s="674"/>
      <c r="J702" s="674"/>
      <c r="K702" s="674"/>
      <c r="L702" s="674"/>
      <c r="M702" s="676"/>
      <c r="N702" s="674"/>
      <c r="O702" s="675"/>
      <c r="P702" s="466"/>
      <c r="Q702" s="466"/>
      <c r="R702" s="466"/>
      <c r="S702" s="466"/>
      <c r="T702" s="466"/>
      <c r="U702" s="466"/>
      <c r="V702" s="466"/>
    </row>
    <row r="703" spans="2:22" ht="12.75">
      <c r="B703" s="673"/>
      <c r="C703" s="147"/>
      <c r="D703" s="674"/>
      <c r="E703" s="674"/>
      <c r="F703" s="674"/>
      <c r="G703" s="674"/>
      <c r="H703" s="674"/>
      <c r="I703" s="674"/>
      <c r="J703" s="674"/>
      <c r="K703" s="674"/>
      <c r="L703" s="674"/>
      <c r="M703" s="676"/>
      <c r="N703" s="674"/>
      <c r="O703" s="675"/>
      <c r="P703" s="466"/>
      <c r="Q703" s="466"/>
      <c r="R703" s="466"/>
      <c r="S703" s="466"/>
      <c r="T703" s="466"/>
      <c r="U703" s="466"/>
      <c r="V703" s="466"/>
    </row>
    <row r="704" spans="2:22" ht="12.75">
      <c r="B704" s="673"/>
      <c r="C704" s="147"/>
      <c r="D704" s="674"/>
      <c r="E704" s="674"/>
      <c r="F704" s="674"/>
      <c r="G704" s="674"/>
      <c r="H704" s="674"/>
      <c r="I704" s="674"/>
      <c r="J704" s="674"/>
      <c r="K704" s="674"/>
      <c r="L704" s="674"/>
      <c r="M704" s="676"/>
      <c r="N704" s="674"/>
      <c r="O704" s="675"/>
      <c r="P704" s="466"/>
      <c r="Q704" s="466"/>
      <c r="R704" s="466"/>
      <c r="S704" s="466"/>
      <c r="T704" s="466"/>
      <c r="U704" s="466"/>
      <c r="V704" s="466"/>
    </row>
    <row r="705" spans="2:22" ht="12.75">
      <c r="B705" s="673"/>
      <c r="C705" s="147"/>
      <c r="D705" s="674"/>
      <c r="E705" s="674"/>
      <c r="F705" s="674"/>
      <c r="G705" s="674"/>
      <c r="H705" s="674"/>
      <c r="I705" s="674"/>
      <c r="J705" s="674"/>
      <c r="K705" s="674"/>
      <c r="L705" s="674"/>
      <c r="M705" s="676"/>
      <c r="N705" s="674"/>
      <c r="O705" s="675"/>
      <c r="P705" s="466"/>
      <c r="Q705" s="466"/>
      <c r="R705" s="466"/>
      <c r="S705" s="466"/>
      <c r="T705" s="466"/>
      <c r="U705" s="466"/>
      <c r="V705" s="466"/>
    </row>
    <row r="706" spans="2:22" ht="12.75">
      <c r="B706" s="673"/>
      <c r="C706" s="147"/>
      <c r="D706" s="674"/>
      <c r="E706" s="674"/>
      <c r="F706" s="674"/>
      <c r="G706" s="674"/>
      <c r="H706" s="674"/>
      <c r="I706" s="674"/>
      <c r="J706" s="674"/>
      <c r="K706" s="674"/>
      <c r="L706" s="674"/>
      <c r="M706" s="676"/>
      <c r="N706" s="674"/>
      <c r="O706" s="675"/>
      <c r="P706" s="466"/>
      <c r="Q706" s="466"/>
      <c r="R706" s="466"/>
      <c r="S706" s="466"/>
      <c r="T706" s="466"/>
      <c r="U706" s="466"/>
      <c r="V706" s="466"/>
    </row>
    <row r="707" spans="2:22" ht="12.75">
      <c r="B707" s="673"/>
      <c r="C707" s="147"/>
      <c r="D707" s="674"/>
      <c r="E707" s="674"/>
      <c r="F707" s="674"/>
      <c r="G707" s="674"/>
      <c r="H707" s="674"/>
      <c r="I707" s="674"/>
      <c r="J707" s="674"/>
      <c r="K707" s="674"/>
      <c r="L707" s="674"/>
      <c r="M707" s="676"/>
      <c r="N707" s="674"/>
      <c r="O707" s="675"/>
      <c r="P707" s="466"/>
      <c r="Q707" s="466"/>
      <c r="R707" s="466"/>
      <c r="S707" s="466"/>
      <c r="T707" s="466"/>
      <c r="U707" s="466"/>
      <c r="V707" s="466"/>
    </row>
    <row r="708" spans="2:22" ht="12.75">
      <c r="B708" s="673"/>
      <c r="C708" s="147"/>
      <c r="D708" s="674"/>
      <c r="E708" s="674"/>
      <c r="F708" s="674"/>
      <c r="G708" s="674"/>
      <c r="H708" s="674"/>
      <c r="I708" s="674"/>
      <c r="J708" s="674"/>
      <c r="K708" s="674"/>
      <c r="L708" s="674"/>
      <c r="M708" s="676"/>
      <c r="N708" s="674"/>
      <c r="O708" s="675"/>
      <c r="P708" s="466"/>
      <c r="Q708" s="466"/>
      <c r="R708" s="466"/>
      <c r="S708" s="466"/>
      <c r="T708" s="466"/>
      <c r="U708" s="466"/>
      <c r="V708" s="466"/>
    </row>
    <row r="709" spans="2:22" ht="12.75">
      <c r="B709" s="673"/>
      <c r="C709" s="147"/>
      <c r="D709" s="674"/>
      <c r="E709" s="674"/>
      <c r="F709" s="674"/>
      <c r="G709" s="674"/>
      <c r="H709" s="674"/>
      <c r="I709" s="674"/>
      <c r="J709" s="674"/>
      <c r="K709" s="674"/>
      <c r="L709" s="674"/>
      <c r="M709" s="676"/>
      <c r="N709" s="674"/>
      <c r="O709" s="675"/>
      <c r="P709" s="466"/>
      <c r="Q709" s="466"/>
      <c r="R709" s="466"/>
      <c r="S709" s="466"/>
      <c r="T709" s="466"/>
      <c r="U709" s="466"/>
      <c r="V709" s="466"/>
    </row>
    <row r="710" spans="2:22" ht="12.75">
      <c r="B710" s="673"/>
      <c r="C710" s="147"/>
      <c r="D710" s="674"/>
      <c r="E710" s="674"/>
      <c r="F710" s="674"/>
      <c r="G710" s="674"/>
      <c r="H710" s="674"/>
      <c r="I710" s="674"/>
      <c r="J710" s="674"/>
      <c r="K710" s="674"/>
      <c r="L710" s="674"/>
      <c r="M710" s="676"/>
      <c r="N710" s="674"/>
      <c r="O710" s="675"/>
      <c r="P710" s="466"/>
      <c r="Q710" s="466"/>
      <c r="R710" s="466"/>
      <c r="S710" s="466"/>
      <c r="T710" s="466"/>
      <c r="U710" s="466"/>
      <c r="V710" s="466"/>
    </row>
    <row r="711" spans="2:22" ht="12.75">
      <c r="B711" s="673"/>
      <c r="C711" s="147"/>
      <c r="D711" s="674"/>
      <c r="E711" s="674"/>
      <c r="F711" s="674"/>
      <c r="G711" s="674"/>
      <c r="H711" s="674"/>
      <c r="I711" s="674"/>
      <c r="J711" s="674"/>
      <c r="K711" s="674"/>
      <c r="L711" s="674"/>
      <c r="M711" s="676"/>
      <c r="N711" s="674"/>
      <c r="O711" s="675"/>
      <c r="P711" s="466"/>
      <c r="Q711" s="466"/>
      <c r="R711" s="466"/>
      <c r="S711" s="466"/>
      <c r="T711" s="466"/>
      <c r="U711" s="466"/>
      <c r="V711" s="466"/>
    </row>
    <row r="712" spans="2:22" ht="12.75">
      <c r="B712" s="673"/>
      <c r="C712" s="147"/>
      <c r="D712" s="674"/>
      <c r="E712" s="674"/>
      <c r="F712" s="674"/>
      <c r="G712" s="674"/>
      <c r="H712" s="674"/>
      <c r="I712" s="674"/>
      <c r="J712" s="674"/>
      <c r="K712" s="674"/>
      <c r="L712" s="674"/>
      <c r="M712" s="676"/>
      <c r="N712" s="674"/>
      <c r="O712" s="675"/>
      <c r="P712" s="466"/>
      <c r="Q712" s="466"/>
      <c r="R712" s="466"/>
      <c r="S712" s="466"/>
      <c r="T712" s="466"/>
      <c r="U712" s="466"/>
      <c r="V712" s="466"/>
    </row>
    <row r="713" spans="2:22" ht="12.75">
      <c r="B713" s="673"/>
      <c r="C713" s="147"/>
      <c r="D713" s="674"/>
      <c r="E713" s="674"/>
      <c r="F713" s="674"/>
      <c r="G713" s="674"/>
      <c r="H713" s="674"/>
      <c r="I713" s="674"/>
      <c r="J713" s="674"/>
      <c r="K713" s="674"/>
      <c r="L713" s="674"/>
      <c r="M713" s="676"/>
      <c r="N713" s="674"/>
      <c r="O713" s="675"/>
      <c r="P713" s="466"/>
      <c r="Q713" s="466"/>
      <c r="R713" s="466"/>
      <c r="S713" s="466"/>
      <c r="T713" s="466"/>
      <c r="U713" s="466"/>
      <c r="V713" s="466"/>
    </row>
    <row r="714" spans="2:22" ht="12.75">
      <c r="B714" s="673"/>
      <c r="C714" s="147"/>
      <c r="D714" s="674"/>
      <c r="E714" s="674"/>
      <c r="F714" s="674"/>
      <c r="G714" s="674"/>
      <c r="H714" s="674"/>
      <c r="I714" s="674"/>
      <c r="J714" s="674"/>
      <c r="K714" s="674"/>
      <c r="L714" s="674"/>
      <c r="M714" s="676"/>
      <c r="N714" s="674"/>
      <c r="O714" s="675"/>
      <c r="P714" s="466"/>
      <c r="Q714" s="466"/>
      <c r="R714" s="466"/>
      <c r="S714" s="466"/>
      <c r="T714" s="466"/>
      <c r="U714" s="466"/>
      <c r="V714" s="466"/>
    </row>
    <row r="715" spans="2:22" ht="12.75">
      <c r="B715" s="673"/>
      <c r="C715" s="147"/>
      <c r="D715" s="674"/>
      <c r="E715" s="674"/>
      <c r="F715" s="674"/>
      <c r="G715" s="674"/>
      <c r="H715" s="674"/>
      <c r="I715" s="674"/>
      <c r="J715" s="674"/>
      <c r="K715" s="674"/>
      <c r="L715" s="674"/>
      <c r="M715" s="676"/>
      <c r="N715" s="674"/>
      <c r="O715" s="675"/>
      <c r="P715" s="466"/>
      <c r="Q715" s="466"/>
      <c r="R715" s="466"/>
      <c r="S715" s="466"/>
      <c r="T715" s="466"/>
      <c r="U715" s="466"/>
      <c r="V715" s="466"/>
    </row>
    <row r="716" spans="2:22" ht="12.75">
      <c r="B716" s="673"/>
      <c r="C716" s="147"/>
      <c r="D716" s="674"/>
      <c r="E716" s="674"/>
      <c r="F716" s="674"/>
      <c r="G716" s="674"/>
      <c r="H716" s="674"/>
      <c r="I716" s="674"/>
      <c r="J716" s="674"/>
      <c r="K716" s="674"/>
      <c r="L716" s="674"/>
      <c r="M716" s="676"/>
      <c r="N716" s="674"/>
      <c r="O716" s="675"/>
      <c r="P716" s="466"/>
      <c r="Q716" s="466"/>
      <c r="R716" s="466"/>
      <c r="S716" s="466"/>
      <c r="T716" s="466"/>
      <c r="U716" s="466"/>
      <c r="V716" s="466"/>
    </row>
    <row r="717" spans="2:22" ht="12.75">
      <c r="B717" s="673"/>
      <c r="C717" s="147"/>
      <c r="D717" s="674"/>
      <c r="E717" s="674"/>
      <c r="F717" s="674"/>
      <c r="G717" s="674"/>
      <c r="H717" s="674"/>
      <c r="I717" s="674"/>
      <c r="J717" s="674"/>
      <c r="K717" s="674"/>
      <c r="L717" s="674"/>
      <c r="M717" s="676"/>
      <c r="N717" s="674"/>
      <c r="O717" s="675"/>
      <c r="P717" s="466"/>
      <c r="Q717" s="466"/>
      <c r="R717" s="466"/>
      <c r="S717" s="466"/>
      <c r="T717" s="466"/>
      <c r="U717" s="466"/>
      <c r="V717" s="466"/>
    </row>
    <row r="718" spans="2:22" ht="12.75">
      <c r="B718" s="673"/>
      <c r="C718" s="147"/>
      <c r="D718" s="674"/>
      <c r="E718" s="674"/>
      <c r="F718" s="674"/>
      <c r="G718" s="674"/>
      <c r="H718" s="674"/>
      <c r="I718" s="674"/>
      <c r="J718" s="674"/>
      <c r="K718" s="674"/>
      <c r="L718" s="674"/>
      <c r="M718" s="676"/>
      <c r="N718" s="674"/>
      <c r="O718" s="675"/>
      <c r="P718" s="466"/>
      <c r="Q718" s="466"/>
      <c r="R718" s="466"/>
      <c r="S718" s="466"/>
      <c r="T718" s="466"/>
      <c r="U718" s="466"/>
      <c r="V718" s="466"/>
    </row>
    <row r="719" spans="2:22" ht="12.75">
      <c r="B719" s="673"/>
      <c r="C719" s="147"/>
      <c r="D719" s="674"/>
      <c r="E719" s="674"/>
      <c r="F719" s="674"/>
      <c r="G719" s="674"/>
      <c r="H719" s="674"/>
      <c r="I719" s="674"/>
      <c r="J719" s="674"/>
      <c r="K719" s="674"/>
      <c r="L719" s="674"/>
      <c r="M719" s="676"/>
      <c r="N719" s="674"/>
      <c r="O719" s="675"/>
      <c r="P719" s="466"/>
      <c r="Q719" s="466"/>
      <c r="R719" s="466"/>
      <c r="S719" s="466"/>
      <c r="T719" s="466"/>
      <c r="U719" s="466"/>
      <c r="V719" s="466"/>
    </row>
    <row r="720" spans="2:22" ht="12.75">
      <c r="B720" s="673"/>
      <c r="C720" s="147"/>
      <c r="D720" s="674"/>
      <c r="E720" s="674"/>
      <c r="F720" s="674"/>
      <c r="G720" s="674"/>
      <c r="H720" s="674"/>
      <c r="I720" s="674"/>
      <c r="J720" s="674"/>
      <c r="K720" s="674"/>
      <c r="L720" s="674"/>
      <c r="M720" s="676"/>
      <c r="N720" s="674"/>
      <c r="O720" s="675"/>
      <c r="P720" s="466"/>
      <c r="Q720" s="466"/>
      <c r="R720" s="466"/>
      <c r="S720" s="466"/>
      <c r="T720" s="466"/>
      <c r="U720" s="466"/>
      <c r="V720" s="466"/>
    </row>
    <row r="721" spans="2:22" ht="12.75">
      <c r="B721" s="673"/>
      <c r="C721" s="147"/>
      <c r="D721" s="674"/>
      <c r="E721" s="674"/>
      <c r="F721" s="674"/>
      <c r="G721" s="674"/>
      <c r="H721" s="674"/>
      <c r="I721" s="674"/>
      <c r="J721" s="674"/>
      <c r="K721" s="674"/>
      <c r="L721" s="674"/>
      <c r="M721" s="676"/>
      <c r="N721" s="674"/>
      <c r="O721" s="675"/>
      <c r="P721" s="466"/>
      <c r="Q721" s="466"/>
      <c r="R721" s="466"/>
      <c r="S721" s="466"/>
      <c r="T721" s="466"/>
      <c r="U721" s="466"/>
      <c r="V721" s="466"/>
    </row>
    <row r="722" spans="2:22" ht="12.75">
      <c r="B722" s="673"/>
      <c r="C722" s="147"/>
      <c r="D722" s="674"/>
      <c r="E722" s="674"/>
      <c r="F722" s="674"/>
      <c r="G722" s="674"/>
      <c r="H722" s="674"/>
      <c r="I722" s="674"/>
      <c r="J722" s="674"/>
      <c r="K722" s="674"/>
      <c r="L722" s="674"/>
      <c r="M722" s="676"/>
      <c r="N722" s="674"/>
      <c r="O722" s="675"/>
      <c r="P722" s="466"/>
      <c r="Q722" s="466"/>
      <c r="R722" s="466"/>
      <c r="S722" s="466"/>
      <c r="T722" s="466"/>
      <c r="U722" s="466"/>
      <c r="V722" s="466"/>
    </row>
    <row r="723" spans="2:22" ht="12.75">
      <c r="B723" s="673"/>
      <c r="C723" s="147"/>
      <c r="D723" s="674"/>
      <c r="E723" s="674"/>
      <c r="F723" s="674"/>
      <c r="G723" s="674"/>
      <c r="H723" s="674"/>
      <c r="I723" s="674"/>
      <c r="J723" s="674"/>
      <c r="K723" s="674"/>
      <c r="L723" s="674"/>
      <c r="M723" s="676"/>
      <c r="N723" s="674"/>
      <c r="O723" s="675"/>
      <c r="P723" s="466"/>
      <c r="Q723" s="466"/>
      <c r="R723" s="466"/>
      <c r="S723" s="466"/>
      <c r="T723" s="466"/>
      <c r="U723" s="466"/>
      <c r="V723" s="466"/>
    </row>
    <row r="724" spans="2:22" ht="12.75">
      <c r="B724" s="673"/>
      <c r="C724" s="147"/>
      <c r="D724" s="674"/>
      <c r="E724" s="674"/>
      <c r="F724" s="674"/>
      <c r="G724" s="674"/>
      <c r="H724" s="674"/>
      <c r="I724" s="674"/>
      <c r="J724" s="674"/>
      <c r="K724" s="674"/>
      <c r="L724" s="674"/>
      <c r="M724" s="676"/>
      <c r="N724" s="674"/>
      <c r="O724" s="675"/>
      <c r="P724" s="466"/>
      <c r="Q724" s="466"/>
      <c r="R724" s="466"/>
      <c r="S724" s="466"/>
      <c r="T724" s="466"/>
      <c r="U724" s="466"/>
      <c r="V724" s="466"/>
    </row>
    <row r="725" spans="2:22" ht="12.75">
      <c r="B725" s="673"/>
      <c r="C725" s="147"/>
      <c r="D725" s="674"/>
      <c r="E725" s="674"/>
      <c r="F725" s="674"/>
      <c r="G725" s="674"/>
      <c r="H725" s="674"/>
      <c r="I725" s="674"/>
      <c r="J725" s="674"/>
      <c r="K725" s="674"/>
      <c r="L725" s="674"/>
      <c r="M725" s="676"/>
      <c r="N725" s="674"/>
      <c r="O725" s="675"/>
      <c r="P725" s="466"/>
      <c r="Q725" s="466"/>
      <c r="R725" s="466"/>
      <c r="S725" s="466"/>
      <c r="T725" s="466"/>
      <c r="U725" s="466"/>
      <c r="V725" s="466"/>
    </row>
    <row r="726" spans="2:22" ht="12.75">
      <c r="B726" s="673"/>
      <c r="C726" s="147"/>
      <c r="D726" s="674"/>
      <c r="E726" s="674"/>
      <c r="F726" s="674"/>
      <c r="G726" s="674"/>
      <c r="H726" s="674"/>
      <c r="I726" s="674"/>
      <c r="J726" s="674"/>
      <c r="K726" s="674"/>
      <c r="L726" s="674"/>
      <c r="M726" s="676"/>
      <c r="N726" s="674"/>
      <c r="O726" s="675"/>
      <c r="P726" s="466"/>
      <c r="Q726" s="466"/>
      <c r="R726" s="466"/>
      <c r="S726" s="466"/>
      <c r="T726" s="466"/>
      <c r="U726" s="466"/>
      <c r="V726" s="466"/>
    </row>
    <row r="727" spans="2:22" ht="12.75">
      <c r="B727" s="673"/>
      <c r="C727" s="147"/>
      <c r="D727" s="674"/>
      <c r="E727" s="674"/>
      <c r="F727" s="674"/>
      <c r="G727" s="674"/>
      <c r="H727" s="674"/>
      <c r="I727" s="674"/>
      <c r="J727" s="674"/>
      <c r="K727" s="674"/>
      <c r="L727" s="674"/>
      <c r="M727" s="676"/>
      <c r="N727" s="674"/>
      <c r="O727" s="675"/>
      <c r="P727" s="466"/>
      <c r="Q727" s="466"/>
      <c r="R727" s="466"/>
      <c r="S727" s="466"/>
      <c r="T727" s="466"/>
      <c r="U727" s="466"/>
      <c r="V727" s="466"/>
    </row>
    <row r="728" spans="2:22" ht="12.75">
      <c r="B728" s="673"/>
      <c r="C728" s="147"/>
      <c r="D728" s="674"/>
      <c r="E728" s="674"/>
      <c r="F728" s="674"/>
      <c r="G728" s="674"/>
      <c r="H728" s="674"/>
      <c r="I728" s="674"/>
      <c r="J728" s="674"/>
      <c r="K728" s="674"/>
      <c r="L728" s="674"/>
      <c r="M728" s="676"/>
      <c r="N728" s="674"/>
      <c r="O728" s="675"/>
      <c r="P728" s="466"/>
      <c r="Q728" s="466"/>
      <c r="R728" s="466"/>
      <c r="S728" s="466"/>
      <c r="T728" s="466"/>
      <c r="U728" s="466"/>
      <c r="V728" s="466"/>
    </row>
    <row r="729" spans="2:22" ht="12.75">
      <c r="B729" s="673"/>
      <c r="C729" s="147"/>
      <c r="D729" s="674"/>
      <c r="E729" s="674"/>
      <c r="F729" s="674"/>
      <c r="G729" s="674"/>
      <c r="H729" s="674"/>
      <c r="I729" s="674"/>
      <c r="J729" s="674"/>
      <c r="K729" s="674"/>
      <c r="L729" s="674"/>
      <c r="M729" s="676"/>
      <c r="N729" s="674"/>
      <c r="O729" s="675"/>
      <c r="P729" s="466"/>
      <c r="Q729" s="466"/>
      <c r="R729" s="466"/>
      <c r="S729" s="466"/>
      <c r="T729" s="466"/>
      <c r="U729" s="466"/>
      <c r="V729" s="466"/>
    </row>
    <row r="730" spans="2:22" ht="12.75">
      <c r="B730" s="673"/>
      <c r="C730" s="147"/>
      <c r="D730" s="674"/>
      <c r="E730" s="674"/>
      <c r="F730" s="674"/>
      <c r="G730" s="674"/>
      <c r="H730" s="674"/>
      <c r="I730" s="674"/>
      <c r="J730" s="674"/>
      <c r="K730" s="674"/>
      <c r="L730" s="674"/>
      <c r="M730" s="676"/>
      <c r="N730" s="674"/>
      <c r="O730" s="675"/>
      <c r="P730" s="466"/>
      <c r="Q730" s="466"/>
      <c r="R730" s="466"/>
      <c r="S730" s="466"/>
      <c r="T730" s="466"/>
      <c r="U730" s="466"/>
      <c r="V730" s="466"/>
    </row>
    <row r="731" spans="2:22" ht="12.75">
      <c r="B731" s="673"/>
      <c r="C731" s="147"/>
      <c r="D731" s="674"/>
      <c r="E731" s="674"/>
      <c r="F731" s="674"/>
      <c r="G731" s="674"/>
      <c r="H731" s="674"/>
      <c r="I731" s="674"/>
      <c r="J731" s="674"/>
      <c r="K731" s="674"/>
      <c r="L731" s="674"/>
      <c r="M731" s="676"/>
      <c r="N731" s="674"/>
      <c r="O731" s="675"/>
      <c r="P731" s="466"/>
      <c r="Q731" s="466"/>
      <c r="R731" s="466"/>
      <c r="S731" s="466"/>
      <c r="T731" s="466"/>
      <c r="U731" s="466"/>
      <c r="V731" s="466"/>
    </row>
    <row r="732" spans="2:22" ht="12.75">
      <c r="B732" s="673"/>
      <c r="C732" s="147"/>
      <c r="D732" s="674"/>
      <c r="E732" s="674"/>
      <c r="F732" s="674"/>
      <c r="G732" s="674"/>
      <c r="H732" s="674"/>
      <c r="I732" s="674"/>
      <c r="J732" s="674"/>
      <c r="K732" s="674"/>
      <c r="L732" s="674"/>
      <c r="M732" s="676"/>
      <c r="N732" s="674"/>
      <c r="O732" s="675"/>
      <c r="P732" s="466"/>
      <c r="Q732" s="466"/>
      <c r="R732" s="466"/>
      <c r="S732" s="466"/>
      <c r="T732" s="466"/>
      <c r="U732" s="466"/>
      <c r="V732" s="466"/>
    </row>
    <row r="733" spans="2:22" ht="12.75">
      <c r="B733" s="673"/>
      <c r="C733" s="147"/>
      <c r="D733" s="674"/>
      <c r="E733" s="674"/>
      <c r="F733" s="674"/>
      <c r="G733" s="674"/>
      <c r="H733" s="674"/>
      <c r="I733" s="674"/>
      <c r="J733" s="674"/>
      <c r="K733" s="674"/>
      <c r="L733" s="674"/>
      <c r="M733" s="676"/>
      <c r="N733" s="674"/>
      <c r="O733" s="675"/>
      <c r="P733" s="466"/>
      <c r="Q733" s="466"/>
      <c r="R733" s="466"/>
      <c r="S733" s="466"/>
      <c r="T733" s="466"/>
      <c r="U733" s="466"/>
      <c r="V733" s="466"/>
    </row>
    <row r="734" spans="2:22" ht="12.75">
      <c r="B734" s="673"/>
      <c r="C734" s="147"/>
      <c r="D734" s="674"/>
      <c r="E734" s="674"/>
      <c r="F734" s="674"/>
      <c r="G734" s="674"/>
      <c r="H734" s="674"/>
      <c r="I734" s="674"/>
      <c r="J734" s="674"/>
      <c r="K734" s="674"/>
      <c r="L734" s="674"/>
      <c r="M734" s="676"/>
      <c r="N734" s="674"/>
      <c r="O734" s="675"/>
      <c r="P734" s="466"/>
      <c r="Q734" s="466"/>
      <c r="R734" s="466"/>
      <c r="S734" s="466"/>
      <c r="T734" s="466"/>
      <c r="U734" s="466"/>
      <c r="V734" s="466"/>
    </row>
    <row r="735" spans="2:22" ht="12.75">
      <c r="B735" s="673"/>
      <c r="C735" s="147"/>
      <c r="D735" s="674"/>
      <c r="E735" s="674"/>
      <c r="F735" s="674"/>
      <c r="G735" s="674"/>
      <c r="H735" s="674"/>
      <c r="I735" s="674"/>
      <c r="J735" s="674"/>
      <c r="K735" s="674"/>
      <c r="L735" s="674"/>
      <c r="M735" s="676"/>
      <c r="N735" s="674"/>
      <c r="O735" s="675"/>
      <c r="P735" s="466"/>
      <c r="Q735" s="466"/>
      <c r="R735" s="466"/>
      <c r="S735" s="466"/>
      <c r="T735" s="466"/>
      <c r="U735" s="466"/>
      <c r="V735" s="466"/>
    </row>
    <row r="736" spans="2:22" ht="12.75">
      <c r="B736" s="673"/>
      <c r="C736" s="147"/>
      <c r="D736" s="674"/>
      <c r="E736" s="674"/>
      <c r="F736" s="674"/>
      <c r="G736" s="674"/>
      <c r="H736" s="674"/>
      <c r="I736" s="674"/>
      <c r="J736" s="674"/>
      <c r="K736" s="674"/>
      <c r="L736" s="674"/>
      <c r="M736" s="676"/>
      <c r="N736" s="674"/>
      <c r="O736" s="675"/>
      <c r="P736" s="466"/>
      <c r="Q736" s="466"/>
      <c r="R736" s="466"/>
      <c r="S736" s="466"/>
      <c r="T736" s="466"/>
      <c r="U736" s="466"/>
      <c r="V736" s="466"/>
    </row>
    <row r="737" spans="2:22" ht="12.75">
      <c r="B737" s="673"/>
      <c r="C737" s="147"/>
      <c r="D737" s="674"/>
      <c r="E737" s="674"/>
      <c r="F737" s="674"/>
      <c r="G737" s="674"/>
      <c r="H737" s="674"/>
      <c r="I737" s="674"/>
      <c r="J737" s="674"/>
      <c r="K737" s="674"/>
      <c r="L737" s="674"/>
      <c r="M737" s="676"/>
      <c r="N737" s="674"/>
      <c r="O737" s="675"/>
      <c r="P737" s="466"/>
      <c r="Q737" s="466"/>
      <c r="R737" s="466"/>
      <c r="S737" s="466"/>
      <c r="T737" s="466"/>
      <c r="U737" s="466"/>
      <c r="V737" s="466"/>
    </row>
    <row r="738" spans="2:22" ht="12.75">
      <c r="B738" s="673"/>
      <c r="C738" s="147"/>
      <c r="D738" s="674"/>
      <c r="E738" s="674"/>
      <c r="F738" s="674"/>
      <c r="G738" s="674"/>
      <c r="H738" s="674"/>
      <c r="I738" s="674"/>
      <c r="J738" s="674"/>
      <c r="K738" s="674"/>
      <c r="L738" s="674"/>
      <c r="M738" s="676"/>
      <c r="N738" s="674"/>
      <c r="O738" s="675"/>
      <c r="P738" s="466"/>
      <c r="Q738" s="466"/>
      <c r="R738" s="466"/>
      <c r="S738" s="466"/>
      <c r="T738" s="466"/>
      <c r="U738" s="466"/>
      <c r="V738" s="466"/>
    </row>
    <row r="739" spans="2:22" ht="12.75">
      <c r="B739" s="673"/>
      <c r="C739" s="147"/>
      <c r="D739" s="674"/>
      <c r="E739" s="674"/>
      <c r="F739" s="674"/>
      <c r="G739" s="674"/>
      <c r="H739" s="674"/>
      <c r="I739" s="674"/>
      <c r="J739" s="674"/>
      <c r="K739" s="674"/>
      <c r="L739" s="674"/>
      <c r="M739" s="676"/>
      <c r="N739" s="674"/>
      <c r="O739" s="675"/>
      <c r="P739" s="466"/>
      <c r="Q739" s="466"/>
      <c r="R739" s="466"/>
      <c r="S739" s="466"/>
      <c r="T739" s="466"/>
      <c r="U739" s="466"/>
      <c r="V739" s="466"/>
    </row>
    <row r="740" spans="2:22" ht="12.75">
      <c r="B740" s="673"/>
      <c r="C740" s="147"/>
      <c r="D740" s="674"/>
      <c r="E740" s="674"/>
      <c r="F740" s="674"/>
      <c r="G740" s="674"/>
      <c r="H740" s="674"/>
      <c r="I740" s="674"/>
      <c r="J740" s="674"/>
      <c r="K740" s="674"/>
      <c r="L740" s="674"/>
      <c r="M740" s="676"/>
      <c r="N740" s="674"/>
      <c r="O740" s="675"/>
      <c r="P740" s="466"/>
      <c r="Q740" s="466"/>
      <c r="R740" s="466"/>
      <c r="S740" s="466"/>
      <c r="T740" s="466"/>
      <c r="U740" s="466"/>
      <c r="V740" s="466"/>
    </row>
    <row r="741" spans="2:22" ht="12.75">
      <c r="B741" s="673"/>
      <c r="C741" s="147"/>
      <c r="D741" s="674"/>
      <c r="E741" s="674"/>
      <c r="F741" s="674"/>
      <c r="G741" s="674"/>
      <c r="H741" s="674"/>
      <c r="I741" s="674"/>
      <c r="J741" s="674"/>
      <c r="K741" s="674"/>
      <c r="L741" s="674"/>
      <c r="M741" s="676"/>
      <c r="N741" s="674"/>
      <c r="O741" s="675"/>
      <c r="P741" s="466"/>
      <c r="Q741" s="466"/>
      <c r="R741" s="466"/>
      <c r="S741" s="466"/>
      <c r="T741" s="466"/>
      <c r="U741" s="466"/>
      <c r="V741" s="466"/>
    </row>
    <row r="742" spans="2:22" ht="12.75">
      <c r="B742" s="673"/>
      <c r="C742" s="147"/>
      <c r="D742" s="674"/>
      <c r="E742" s="674"/>
      <c r="F742" s="674"/>
      <c r="G742" s="674"/>
      <c r="H742" s="674"/>
      <c r="I742" s="674"/>
      <c r="J742" s="674"/>
      <c r="K742" s="674"/>
      <c r="L742" s="674"/>
      <c r="M742" s="676"/>
      <c r="N742" s="674"/>
      <c r="O742" s="675"/>
      <c r="P742" s="466"/>
      <c r="Q742" s="466"/>
      <c r="R742" s="466"/>
      <c r="S742" s="466"/>
      <c r="T742" s="466"/>
      <c r="U742" s="466"/>
      <c r="V742" s="466"/>
    </row>
    <row r="743" spans="2:22" ht="12.75">
      <c r="B743" s="673"/>
      <c r="C743" s="147"/>
      <c r="D743" s="674"/>
      <c r="E743" s="674"/>
      <c r="F743" s="674"/>
      <c r="G743" s="674"/>
      <c r="H743" s="674"/>
      <c r="I743" s="674"/>
      <c r="J743" s="674"/>
      <c r="K743" s="674"/>
      <c r="L743" s="674"/>
      <c r="M743" s="676"/>
      <c r="N743" s="674"/>
      <c r="O743" s="675"/>
      <c r="P743" s="466"/>
      <c r="Q743" s="466"/>
      <c r="R743" s="466"/>
      <c r="S743" s="466"/>
      <c r="T743" s="466"/>
      <c r="U743" s="466"/>
      <c r="V743" s="466"/>
    </row>
    <row r="744" spans="2:22" ht="12.75">
      <c r="B744" s="673"/>
      <c r="C744" s="147"/>
      <c r="D744" s="674"/>
      <c r="E744" s="674"/>
      <c r="F744" s="674"/>
      <c r="G744" s="674"/>
      <c r="H744" s="674"/>
      <c r="I744" s="674"/>
      <c r="J744" s="674"/>
      <c r="K744" s="674"/>
      <c r="L744" s="674"/>
      <c r="M744" s="676"/>
      <c r="N744" s="674"/>
      <c r="O744" s="675"/>
      <c r="P744" s="466"/>
      <c r="Q744" s="466"/>
      <c r="R744" s="466"/>
      <c r="S744" s="466"/>
      <c r="T744" s="466"/>
      <c r="U744" s="466"/>
      <c r="V744" s="466"/>
    </row>
    <row r="745" spans="2:22" ht="12.75">
      <c r="B745" s="673"/>
      <c r="C745" s="147"/>
      <c r="D745" s="674"/>
      <c r="E745" s="674"/>
      <c r="F745" s="674"/>
      <c r="G745" s="674"/>
      <c r="H745" s="674"/>
      <c r="I745" s="674"/>
      <c r="J745" s="674"/>
      <c r="K745" s="674"/>
      <c r="L745" s="674"/>
      <c r="M745" s="676"/>
      <c r="N745" s="674"/>
      <c r="O745" s="675"/>
      <c r="P745" s="466"/>
      <c r="Q745" s="466"/>
      <c r="R745" s="466"/>
      <c r="S745" s="466"/>
      <c r="T745" s="466"/>
      <c r="U745" s="466"/>
      <c r="V745" s="466"/>
    </row>
    <row r="746" spans="2:22" ht="12.75">
      <c r="B746" s="673"/>
      <c r="C746" s="147"/>
      <c r="D746" s="674"/>
      <c r="E746" s="674"/>
      <c r="F746" s="674"/>
      <c r="G746" s="674"/>
      <c r="H746" s="674"/>
      <c r="I746" s="674"/>
      <c r="J746" s="674"/>
      <c r="K746" s="674"/>
      <c r="L746" s="674"/>
      <c r="M746" s="676"/>
      <c r="N746" s="674"/>
      <c r="O746" s="675"/>
      <c r="P746" s="466"/>
      <c r="Q746" s="466"/>
      <c r="R746" s="466"/>
      <c r="S746" s="466"/>
      <c r="T746" s="466"/>
      <c r="U746" s="466"/>
      <c r="V746" s="466"/>
    </row>
    <row r="747" spans="2:22" ht="12.75">
      <c r="B747" s="673"/>
      <c r="C747" s="147"/>
      <c r="D747" s="674"/>
      <c r="E747" s="674"/>
      <c r="F747" s="674"/>
      <c r="G747" s="674"/>
      <c r="H747" s="674"/>
      <c r="I747" s="674"/>
      <c r="J747" s="674"/>
      <c r="K747" s="674"/>
      <c r="L747" s="674"/>
      <c r="M747" s="676"/>
      <c r="N747" s="674"/>
      <c r="O747" s="675"/>
      <c r="P747" s="466"/>
      <c r="Q747" s="466"/>
      <c r="R747" s="466"/>
      <c r="S747" s="466"/>
      <c r="T747" s="466"/>
      <c r="U747" s="466"/>
      <c r="V747" s="466"/>
    </row>
    <row r="748" spans="2:22" ht="12.75">
      <c r="B748" s="673"/>
      <c r="C748" s="147"/>
      <c r="D748" s="674"/>
      <c r="E748" s="674"/>
      <c r="F748" s="674"/>
      <c r="G748" s="674"/>
      <c r="H748" s="674"/>
      <c r="I748" s="674"/>
      <c r="J748" s="674"/>
      <c r="K748" s="674"/>
      <c r="L748" s="674"/>
      <c r="M748" s="676"/>
      <c r="N748" s="674"/>
      <c r="O748" s="675"/>
      <c r="P748" s="466"/>
      <c r="Q748" s="466"/>
      <c r="R748" s="466"/>
      <c r="S748" s="466"/>
      <c r="T748" s="466"/>
      <c r="U748" s="466"/>
      <c r="V748" s="466"/>
    </row>
    <row r="749" spans="2:22" ht="12.75">
      <c r="B749" s="673"/>
      <c r="C749" s="147"/>
      <c r="D749" s="674"/>
      <c r="E749" s="674"/>
      <c r="F749" s="674"/>
      <c r="G749" s="674"/>
      <c r="H749" s="674"/>
      <c r="I749" s="674"/>
      <c r="J749" s="674"/>
      <c r="K749" s="674"/>
      <c r="L749" s="674"/>
      <c r="M749" s="676"/>
      <c r="N749" s="674"/>
      <c r="O749" s="675"/>
      <c r="P749" s="466"/>
      <c r="Q749" s="466"/>
      <c r="R749" s="466"/>
      <c r="S749" s="466"/>
      <c r="T749" s="466"/>
      <c r="U749" s="466"/>
      <c r="V749" s="466"/>
    </row>
    <row r="750" spans="2:22" ht="12.75">
      <c r="B750" s="673"/>
      <c r="C750" s="147"/>
      <c r="D750" s="674"/>
      <c r="E750" s="674"/>
      <c r="F750" s="674"/>
      <c r="G750" s="674"/>
      <c r="H750" s="674"/>
      <c r="I750" s="674"/>
      <c r="J750" s="674"/>
      <c r="K750" s="674"/>
      <c r="L750" s="674"/>
      <c r="M750" s="676"/>
      <c r="N750" s="674"/>
      <c r="O750" s="675"/>
      <c r="P750" s="466"/>
      <c r="Q750" s="466"/>
      <c r="R750" s="466"/>
      <c r="S750" s="466"/>
      <c r="T750" s="466"/>
      <c r="U750" s="466"/>
      <c r="V750" s="466"/>
    </row>
    <row r="751" spans="2:22" ht="12.75">
      <c r="B751" s="673"/>
      <c r="C751" s="147"/>
      <c r="D751" s="674"/>
      <c r="E751" s="674"/>
      <c r="F751" s="674"/>
      <c r="G751" s="674"/>
      <c r="H751" s="674"/>
      <c r="I751" s="674"/>
      <c r="J751" s="674"/>
      <c r="K751" s="674"/>
      <c r="L751" s="674"/>
      <c r="M751" s="676"/>
      <c r="N751" s="674"/>
      <c r="O751" s="675"/>
      <c r="P751" s="466"/>
      <c r="Q751" s="466"/>
      <c r="R751" s="466"/>
      <c r="S751" s="466"/>
      <c r="T751" s="466"/>
      <c r="U751" s="466"/>
      <c r="V751" s="466"/>
    </row>
    <row r="752" spans="2:22" ht="12.75">
      <c r="B752" s="673"/>
      <c r="C752" s="147"/>
      <c r="D752" s="674"/>
      <c r="E752" s="674"/>
      <c r="F752" s="674"/>
      <c r="G752" s="674"/>
      <c r="H752" s="674"/>
      <c r="I752" s="674"/>
      <c r="J752" s="674"/>
      <c r="K752" s="674"/>
      <c r="L752" s="674"/>
      <c r="M752" s="676"/>
      <c r="N752" s="674"/>
      <c r="O752" s="675"/>
      <c r="P752" s="466"/>
      <c r="Q752" s="466"/>
      <c r="R752" s="466"/>
      <c r="S752" s="466"/>
      <c r="T752" s="466"/>
      <c r="U752" s="466"/>
      <c r="V752" s="466"/>
    </row>
    <row r="753" spans="2:22" ht="12.75">
      <c r="B753" s="673"/>
      <c r="C753" s="147"/>
      <c r="D753" s="674"/>
      <c r="E753" s="674"/>
      <c r="F753" s="674"/>
      <c r="G753" s="674"/>
      <c r="H753" s="674"/>
      <c r="I753" s="674"/>
      <c r="J753" s="674"/>
      <c r="K753" s="674"/>
      <c r="L753" s="674"/>
      <c r="M753" s="676"/>
      <c r="N753" s="674"/>
      <c r="O753" s="675"/>
      <c r="P753" s="466"/>
      <c r="Q753" s="466"/>
      <c r="R753" s="466"/>
      <c r="S753" s="466"/>
      <c r="T753" s="466"/>
      <c r="U753" s="466"/>
      <c r="V753" s="466"/>
    </row>
    <row r="754" spans="2:22" ht="12.75">
      <c r="B754" s="673"/>
      <c r="C754" s="147"/>
      <c r="D754" s="674"/>
      <c r="E754" s="674"/>
      <c r="F754" s="674"/>
      <c r="G754" s="674"/>
      <c r="H754" s="674"/>
      <c r="I754" s="674"/>
      <c r="J754" s="674"/>
      <c r="K754" s="674"/>
      <c r="L754" s="674"/>
      <c r="M754" s="676"/>
      <c r="N754" s="674"/>
      <c r="O754" s="675"/>
      <c r="P754" s="466"/>
      <c r="Q754" s="466"/>
      <c r="R754" s="466"/>
      <c r="S754" s="466"/>
      <c r="T754" s="466"/>
      <c r="U754" s="466"/>
      <c r="V754" s="466"/>
    </row>
    <row r="755" spans="2:22" ht="12.75">
      <c r="B755" s="673"/>
      <c r="C755" s="147"/>
      <c r="D755" s="674"/>
      <c r="E755" s="674"/>
      <c r="F755" s="674"/>
      <c r="G755" s="674"/>
      <c r="H755" s="674"/>
      <c r="I755" s="674"/>
      <c r="J755" s="674"/>
      <c r="K755" s="674"/>
      <c r="L755" s="674"/>
      <c r="M755" s="676"/>
      <c r="N755" s="674"/>
      <c r="O755" s="675"/>
      <c r="P755" s="466"/>
      <c r="Q755" s="466"/>
      <c r="R755" s="466"/>
      <c r="S755" s="466"/>
      <c r="T755" s="466"/>
      <c r="U755" s="466"/>
      <c r="V755" s="466"/>
    </row>
    <row r="756" spans="2:22" ht="12.75">
      <c r="B756" s="673"/>
      <c r="C756" s="147"/>
      <c r="D756" s="674"/>
      <c r="E756" s="674"/>
      <c r="F756" s="674"/>
      <c r="G756" s="674"/>
      <c r="H756" s="674"/>
      <c r="I756" s="674"/>
      <c r="J756" s="674"/>
      <c r="K756" s="674"/>
      <c r="L756" s="674"/>
      <c r="M756" s="676"/>
      <c r="N756" s="674"/>
      <c r="O756" s="675"/>
      <c r="P756" s="466"/>
      <c r="Q756" s="466"/>
      <c r="R756" s="466"/>
      <c r="S756" s="466"/>
      <c r="T756" s="466"/>
      <c r="U756" s="466"/>
      <c r="V756" s="466"/>
    </row>
    <row r="757" spans="2:22" ht="12.75">
      <c r="B757" s="673"/>
      <c r="C757" s="147"/>
      <c r="D757" s="674"/>
      <c r="E757" s="674"/>
      <c r="F757" s="674"/>
      <c r="G757" s="674"/>
      <c r="H757" s="674"/>
      <c r="I757" s="674"/>
      <c r="J757" s="674"/>
      <c r="K757" s="674"/>
      <c r="L757" s="674"/>
      <c r="M757" s="676"/>
      <c r="N757" s="674"/>
      <c r="O757" s="675"/>
      <c r="P757" s="466"/>
      <c r="Q757" s="466"/>
      <c r="R757" s="466"/>
      <c r="S757" s="466"/>
      <c r="T757" s="466"/>
      <c r="U757" s="466"/>
      <c r="V757" s="466"/>
    </row>
    <row r="758" spans="2:22" ht="12.75">
      <c r="B758" s="673"/>
      <c r="C758" s="147"/>
      <c r="D758" s="674"/>
      <c r="E758" s="674"/>
      <c r="F758" s="674"/>
      <c r="G758" s="674"/>
      <c r="H758" s="674"/>
      <c r="I758" s="674"/>
      <c r="J758" s="674"/>
      <c r="K758" s="674"/>
      <c r="L758" s="674"/>
      <c r="M758" s="676"/>
      <c r="N758" s="674"/>
      <c r="O758" s="675"/>
      <c r="P758" s="466"/>
      <c r="Q758" s="466"/>
      <c r="R758" s="466"/>
      <c r="S758" s="466"/>
      <c r="T758" s="466"/>
      <c r="U758" s="466"/>
      <c r="V758" s="466"/>
    </row>
    <row r="759" spans="2:22" ht="12.75">
      <c r="B759" s="673"/>
      <c r="C759" s="147"/>
      <c r="D759" s="674"/>
      <c r="E759" s="674"/>
      <c r="F759" s="674"/>
      <c r="G759" s="674"/>
      <c r="H759" s="674"/>
      <c r="I759" s="674"/>
      <c r="J759" s="674"/>
      <c r="K759" s="674"/>
      <c r="L759" s="674"/>
      <c r="M759" s="676"/>
      <c r="N759" s="674"/>
      <c r="O759" s="675"/>
      <c r="P759" s="466"/>
      <c r="Q759" s="466"/>
      <c r="R759" s="466"/>
      <c r="S759" s="466"/>
      <c r="T759" s="466"/>
      <c r="U759" s="466"/>
      <c r="V759" s="466"/>
    </row>
    <row r="760" spans="2:22" ht="12.75">
      <c r="B760" s="673"/>
      <c r="C760" s="147"/>
      <c r="D760" s="674"/>
      <c r="E760" s="674"/>
      <c r="F760" s="674"/>
      <c r="G760" s="674"/>
      <c r="H760" s="674"/>
      <c r="I760" s="674"/>
      <c r="J760" s="674"/>
      <c r="K760" s="674"/>
      <c r="L760" s="674"/>
      <c r="M760" s="676"/>
      <c r="N760" s="674"/>
      <c r="O760" s="675"/>
      <c r="P760" s="466"/>
      <c r="Q760" s="466"/>
      <c r="R760" s="466"/>
      <c r="S760" s="466"/>
      <c r="T760" s="466"/>
      <c r="U760" s="466"/>
      <c r="V760" s="466"/>
    </row>
    <row r="761" spans="2:22" ht="12.75">
      <c r="B761" s="673"/>
      <c r="C761" s="147"/>
      <c r="D761" s="674"/>
      <c r="E761" s="674"/>
      <c r="F761" s="674"/>
      <c r="G761" s="674"/>
      <c r="H761" s="674"/>
      <c r="I761" s="674"/>
      <c r="J761" s="674"/>
      <c r="K761" s="674"/>
      <c r="L761" s="674"/>
      <c r="M761" s="676"/>
      <c r="N761" s="674"/>
      <c r="O761" s="675"/>
      <c r="P761" s="466"/>
      <c r="Q761" s="466"/>
      <c r="R761" s="466"/>
      <c r="S761" s="466"/>
      <c r="T761" s="466"/>
      <c r="U761" s="466"/>
      <c r="V761" s="466"/>
    </row>
    <row r="762" spans="2:22" ht="12.75">
      <c r="B762" s="673"/>
      <c r="C762" s="147"/>
      <c r="D762" s="674"/>
      <c r="E762" s="674"/>
      <c r="F762" s="674"/>
      <c r="G762" s="674"/>
      <c r="H762" s="674"/>
      <c r="I762" s="674"/>
      <c r="J762" s="674"/>
      <c r="K762" s="674"/>
      <c r="L762" s="674"/>
      <c r="M762" s="676"/>
      <c r="N762" s="674"/>
      <c r="O762" s="675"/>
      <c r="P762" s="466"/>
      <c r="Q762" s="466"/>
      <c r="R762" s="466"/>
      <c r="S762" s="466"/>
      <c r="T762" s="466"/>
      <c r="U762" s="466"/>
      <c r="V762" s="466"/>
    </row>
    <row r="763" spans="2:22" ht="12.75">
      <c r="B763" s="673"/>
      <c r="C763" s="147"/>
      <c r="D763" s="674"/>
      <c r="E763" s="674"/>
      <c r="F763" s="674"/>
      <c r="G763" s="674"/>
      <c r="H763" s="674"/>
      <c r="I763" s="674"/>
      <c r="J763" s="674"/>
      <c r="K763" s="674"/>
      <c r="L763" s="674"/>
      <c r="M763" s="676"/>
      <c r="N763" s="674"/>
      <c r="O763" s="675"/>
      <c r="P763" s="466"/>
      <c r="Q763" s="466"/>
      <c r="R763" s="466"/>
      <c r="S763" s="466"/>
      <c r="T763" s="466"/>
      <c r="U763" s="466"/>
      <c r="V763" s="466"/>
    </row>
    <row r="764" spans="2:22" ht="12.75">
      <c r="B764" s="673"/>
      <c r="C764" s="147"/>
      <c r="D764" s="674"/>
      <c r="E764" s="674"/>
      <c r="F764" s="674"/>
      <c r="G764" s="674"/>
      <c r="H764" s="674"/>
      <c r="I764" s="674"/>
      <c r="J764" s="674"/>
      <c r="K764" s="674"/>
      <c r="L764" s="674"/>
      <c r="M764" s="676"/>
      <c r="N764" s="674"/>
      <c r="O764" s="675"/>
      <c r="P764" s="466"/>
      <c r="Q764" s="466"/>
      <c r="R764" s="466"/>
      <c r="S764" s="466"/>
      <c r="T764" s="466"/>
      <c r="U764" s="466"/>
      <c r="V764" s="466"/>
    </row>
    <row r="765" spans="2:22" ht="12.75">
      <c r="B765" s="673"/>
      <c r="C765" s="147"/>
      <c r="D765" s="674"/>
      <c r="E765" s="674"/>
      <c r="F765" s="674"/>
      <c r="G765" s="674"/>
      <c r="H765" s="674"/>
      <c r="I765" s="674"/>
      <c r="J765" s="674"/>
      <c r="K765" s="674"/>
      <c r="L765" s="674"/>
      <c r="M765" s="676"/>
      <c r="N765" s="674"/>
      <c r="O765" s="675"/>
      <c r="P765" s="466"/>
      <c r="Q765" s="466"/>
      <c r="R765" s="466"/>
      <c r="S765" s="466"/>
      <c r="T765" s="466"/>
      <c r="U765" s="466"/>
      <c r="V765" s="466"/>
    </row>
    <row r="766" spans="2:22" ht="12.75">
      <c r="B766" s="673"/>
      <c r="C766" s="147"/>
      <c r="D766" s="674"/>
      <c r="E766" s="674"/>
      <c r="F766" s="674"/>
      <c r="G766" s="674"/>
      <c r="H766" s="674"/>
      <c r="I766" s="674"/>
      <c r="J766" s="674"/>
      <c r="K766" s="674"/>
      <c r="L766" s="674"/>
      <c r="M766" s="676"/>
      <c r="N766" s="674"/>
      <c r="O766" s="675"/>
      <c r="P766" s="466"/>
      <c r="Q766" s="466"/>
      <c r="R766" s="466"/>
      <c r="S766" s="466"/>
      <c r="T766" s="466"/>
      <c r="U766" s="466"/>
      <c r="V766" s="466"/>
    </row>
    <row r="767" spans="2:22" ht="12.75">
      <c r="B767" s="673"/>
      <c r="C767" s="147"/>
      <c r="D767" s="674"/>
      <c r="E767" s="674"/>
      <c r="F767" s="674"/>
      <c r="G767" s="674"/>
      <c r="H767" s="674"/>
      <c r="I767" s="674"/>
      <c r="J767" s="674"/>
      <c r="K767" s="674"/>
      <c r="L767" s="674"/>
      <c r="M767" s="676"/>
      <c r="N767" s="674"/>
      <c r="O767" s="675"/>
      <c r="P767" s="466"/>
      <c r="Q767" s="466"/>
      <c r="R767" s="466"/>
      <c r="S767" s="466"/>
      <c r="T767" s="466"/>
      <c r="U767" s="466"/>
      <c r="V767" s="466"/>
    </row>
    <row r="768" spans="2:22" ht="12.75">
      <c r="B768" s="673"/>
      <c r="C768" s="147"/>
      <c r="D768" s="674"/>
      <c r="E768" s="674"/>
      <c r="F768" s="674"/>
      <c r="G768" s="674"/>
      <c r="H768" s="674"/>
      <c r="I768" s="674"/>
      <c r="J768" s="674"/>
      <c r="K768" s="674"/>
      <c r="L768" s="674"/>
      <c r="M768" s="676"/>
      <c r="N768" s="674"/>
      <c r="O768" s="675"/>
      <c r="P768" s="466"/>
      <c r="Q768" s="466"/>
      <c r="R768" s="466"/>
      <c r="S768" s="466"/>
      <c r="T768" s="466"/>
      <c r="U768" s="466"/>
      <c r="V768" s="466"/>
    </row>
    <row r="769" spans="2:22" ht="12.75">
      <c r="B769" s="673"/>
      <c r="C769" s="147"/>
      <c r="D769" s="674"/>
      <c r="E769" s="674"/>
      <c r="F769" s="674"/>
      <c r="G769" s="674"/>
      <c r="H769" s="674"/>
      <c r="I769" s="674"/>
      <c r="J769" s="674"/>
      <c r="K769" s="674"/>
      <c r="L769" s="674"/>
      <c r="M769" s="676"/>
      <c r="N769" s="674"/>
      <c r="O769" s="675"/>
      <c r="P769" s="466"/>
      <c r="Q769" s="466"/>
      <c r="R769" s="466"/>
      <c r="S769" s="466"/>
      <c r="T769" s="466"/>
      <c r="U769" s="466"/>
      <c r="V769" s="466"/>
    </row>
    <row r="770" spans="2:22" ht="12.75">
      <c r="B770" s="673"/>
      <c r="C770" s="147"/>
      <c r="D770" s="674"/>
      <c r="E770" s="674"/>
      <c r="F770" s="674"/>
      <c r="G770" s="674"/>
      <c r="H770" s="674"/>
      <c r="I770" s="674"/>
      <c r="J770" s="674"/>
      <c r="K770" s="674"/>
      <c r="L770" s="674"/>
      <c r="M770" s="676"/>
      <c r="N770" s="674"/>
      <c r="O770" s="675"/>
      <c r="P770" s="466"/>
      <c r="Q770" s="466"/>
      <c r="R770" s="466"/>
      <c r="S770" s="466"/>
      <c r="T770" s="466"/>
      <c r="U770" s="466"/>
      <c r="V770" s="466"/>
    </row>
    <row r="771" spans="2:22" ht="12.75">
      <c r="B771" s="673"/>
      <c r="C771" s="147"/>
      <c r="D771" s="674"/>
      <c r="E771" s="674"/>
      <c r="F771" s="674"/>
      <c r="G771" s="674"/>
      <c r="H771" s="674"/>
      <c r="I771" s="674"/>
      <c r="J771" s="674"/>
      <c r="K771" s="674"/>
      <c r="L771" s="674"/>
      <c r="M771" s="676"/>
      <c r="N771" s="674"/>
      <c r="O771" s="675"/>
      <c r="P771" s="466"/>
      <c r="Q771" s="466"/>
      <c r="R771" s="466"/>
      <c r="S771" s="466"/>
      <c r="T771" s="466"/>
      <c r="U771" s="466"/>
      <c r="V771" s="466"/>
    </row>
    <row r="772" spans="2:22" ht="12.75">
      <c r="B772" s="673"/>
      <c r="C772" s="147"/>
      <c r="D772" s="674"/>
      <c r="E772" s="674"/>
      <c r="F772" s="674"/>
      <c r="G772" s="674"/>
      <c r="H772" s="674"/>
      <c r="I772" s="674"/>
      <c r="J772" s="674"/>
      <c r="K772" s="674"/>
      <c r="L772" s="674"/>
      <c r="M772" s="676"/>
      <c r="N772" s="674"/>
      <c r="O772" s="675"/>
      <c r="P772" s="466"/>
      <c r="Q772" s="466"/>
      <c r="R772" s="466"/>
      <c r="S772" s="466"/>
      <c r="T772" s="466"/>
      <c r="U772" s="466"/>
      <c r="V772" s="466"/>
    </row>
    <row r="773" spans="2:22" ht="12.75">
      <c r="B773" s="673"/>
      <c r="C773" s="147"/>
      <c r="D773" s="674"/>
      <c r="E773" s="674"/>
      <c r="F773" s="674"/>
      <c r="G773" s="674"/>
      <c r="H773" s="674"/>
      <c r="I773" s="674"/>
      <c r="J773" s="674"/>
      <c r="K773" s="674"/>
      <c r="L773" s="674"/>
      <c r="M773" s="676"/>
      <c r="N773" s="674"/>
      <c r="O773" s="675"/>
      <c r="P773" s="466"/>
      <c r="Q773" s="466"/>
      <c r="R773" s="466"/>
      <c r="S773" s="466"/>
      <c r="T773" s="466"/>
      <c r="U773" s="466"/>
      <c r="V773" s="466"/>
    </row>
    <row r="774" spans="2:22" ht="12.75">
      <c r="B774" s="673"/>
      <c r="C774" s="147"/>
      <c r="D774" s="674"/>
      <c r="E774" s="674"/>
      <c r="F774" s="674"/>
      <c r="G774" s="674"/>
      <c r="H774" s="674"/>
      <c r="I774" s="674"/>
      <c r="J774" s="674"/>
      <c r="K774" s="674"/>
      <c r="L774" s="674"/>
      <c r="M774" s="676"/>
      <c r="N774" s="674"/>
      <c r="O774" s="675"/>
      <c r="P774" s="466"/>
      <c r="Q774" s="466"/>
      <c r="R774" s="466"/>
      <c r="S774" s="466"/>
      <c r="T774" s="466"/>
      <c r="U774" s="466"/>
      <c r="V774" s="466"/>
    </row>
    <row r="775" spans="2:22" ht="12.75">
      <c r="B775" s="673"/>
      <c r="C775" s="147"/>
      <c r="D775" s="674"/>
      <c r="E775" s="674"/>
      <c r="F775" s="674"/>
      <c r="G775" s="674"/>
      <c r="H775" s="674"/>
      <c r="I775" s="674"/>
      <c r="J775" s="674"/>
      <c r="K775" s="674"/>
      <c r="L775" s="674"/>
      <c r="M775" s="676"/>
      <c r="N775" s="674"/>
      <c r="O775" s="675"/>
      <c r="P775" s="466"/>
      <c r="Q775" s="466"/>
      <c r="R775" s="466"/>
      <c r="S775" s="466"/>
      <c r="T775" s="466"/>
      <c r="U775" s="466"/>
      <c r="V775" s="466"/>
    </row>
    <row r="776" spans="2:22" ht="12.75">
      <c r="B776" s="673"/>
      <c r="C776" s="147"/>
      <c r="D776" s="674"/>
      <c r="E776" s="674"/>
      <c r="F776" s="674"/>
      <c r="G776" s="674"/>
      <c r="H776" s="674"/>
      <c r="I776" s="674"/>
      <c r="J776" s="674"/>
      <c r="K776" s="674"/>
      <c r="L776" s="674"/>
      <c r="M776" s="676"/>
      <c r="N776" s="674"/>
      <c r="O776" s="675"/>
      <c r="P776" s="466"/>
      <c r="Q776" s="466"/>
      <c r="R776" s="466"/>
      <c r="S776" s="466"/>
      <c r="T776" s="466"/>
      <c r="U776" s="466"/>
      <c r="V776" s="466"/>
    </row>
    <row r="777" spans="2:22" ht="12.75">
      <c r="B777" s="673"/>
      <c r="C777" s="147"/>
      <c r="D777" s="674"/>
      <c r="E777" s="674"/>
      <c r="F777" s="674"/>
      <c r="G777" s="674"/>
      <c r="H777" s="674"/>
      <c r="I777" s="674"/>
      <c r="J777" s="674"/>
      <c r="K777" s="674"/>
      <c r="L777" s="674"/>
      <c r="M777" s="676"/>
      <c r="N777" s="674"/>
      <c r="O777" s="675"/>
      <c r="P777" s="466"/>
      <c r="Q777" s="466"/>
      <c r="R777" s="466"/>
      <c r="S777" s="466"/>
      <c r="T777" s="466"/>
      <c r="U777" s="466"/>
      <c r="V777" s="466"/>
    </row>
    <row r="778" spans="2:22" ht="12.75">
      <c r="B778" s="673"/>
      <c r="C778" s="147"/>
      <c r="D778" s="674"/>
      <c r="E778" s="674"/>
      <c r="F778" s="674"/>
      <c r="G778" s="674"/>
      <c r="H778" s="674"/>
      <c r="I778" s="674"/>
      <c r="J778" s="674"/>
      <c r="K778" s="674"/>
      <c r="L778" s="674"/>
      <c r="M778" s="676"/>
      <c r="N778" s="674"/>
      <c r="O778" s="675"/>
      <c r="P778" s="466"/>
      <c r="Q778" s="466"/>
      <c r="R778" s="466"/>
      <c r="S778" s="466"/>
      <c r="T778" s="466"/>
      <c r="U778" s="466"/>
      <c r="V778" s="466"/>
    </row>
    <row r="779" spans="2:22" ht="12.75">
      <c r="B779" s="673"/>
      <c r="C779" s="147"/>
      <c r="D779" s="674"/>
      <c r="E779" s="674"/>
      <c r="F779" s="674"/>
      <c r="G779" s="674"/>
      <c r="H779" s="674"/>
      <c r="I779" s="674"/>
      <c r="J779" s="674"/>
      <c r="K779" s="674"/>
      <c r="L779" s="674"/>
      <c r="M779" s="676"/>
      <c r="N779" s="674"/>
      <c r="O779" s="675"/>
      <c r="P779" s="466"/>
      <c r="Q779" s="466"/>
      <c r="R779" s="466"/>
      <c r="S779" s="466"/>
      <c r="T779" s="466"/>
      <c r="U779" s="466"/>
      <c r="V779" s="466"/>
    </row>
    <row r="780" spans="2:22" ht="12.75">
      <c r="B780" s="673"/>
      <c r="C780" s="147"/>
      <c r="D780" s="674"/>
      <c r="E780" s="674"/>
      <c r="F780" s="674"/>
      <c r="G780" s="674"/>
      <c r="H780" s="674"/>
      <c r="I780" s="674"/>
      <c r="J780" s="674"/>
      <c r="K780" s="674"/>
      <c r="L780" s="674"/>
      <c r="M780" s="676"/>
      <c r="N780" s="674"/>
      <c r="O780" s="675"/>
      <c r="P780" s="466"/>
      <c r="Q780" s="466"/>
      <c r="R780" s="466"/>
      <c r="S780" s="466"/>
      <c r="T780" s="466"/>
      <c r="U780" s="466"/>
      <c r="V780" s="466"/>
    </row>
    <row r="781" spans="2:22" ht="12.75">
      <c r="B781" s="673"/>
      <c r="C781" s="147"/>
      <c r="D781" s="674"/>
      <c r="E781" s="674"/>
      <c r="F781" s="674"/>
      <c r="G781" s="674"/>
      <c r="H781" s="674"/>
      <c r="I781" s="674"/>
      <c r="J781" s="674"/>
      <c r="K781" s="674"/>
      <c r="L781" s="674"/>
      <c r="M781" s="676"/>
      <c r="N781" s="674"/>
      <c r="O781" s="675"/>
      <c r="P781" s="466"/>
      <c r="Q781" s="466"/>
      <c r="R781" s="466"/>
      <c r="S781" s="466"/>
      <c r="T781" s="466"/>
      <c r="U781" s="466"/>
      <c r="V781" s="466"/>
    </row>
    <row r="782" spans="2:22" ht="12.75">
      <c r="B782" s="673"/>
      <c r="C782" s="147"/>
      <c r="D782" s="674"/>
      <c r="E782" s="674"/>
      <c r="F782" s="674"/>
      <c r="G782" s="674"/>
      <c r="H782" s="674"/>
      <c r="I782" s="674"/>
      <c r="J782" s="674"/>
      <c r="K782" s="674"/>
      <c r="L782" s="674"/>
      <c r="M782" s="676"/>
      <c r="N782" s="674"/>
      <c r="O782" s="675"/>
      <c r="P782" s="466"/>
      <c r="Q782" s="466"/>
      <c r="R782" s="466"/>
      <c r="S782" s="466"/>
      <c r="T782" s="466"/>
      <c r="U782" s="466"/>
      <c r="V782" s="466"/>
    </row>
    <row r="783" spans="2:22" ht="12.75">
      <c r="B783" s="673"/>
      <c r="C783" s="147"/>
      <c r="D783" s="674"/>
      <c r="E783" s="674"/>
      <c r="F783" s="674"/>
      <c r="G783" s="674"/>
      <c r="H783" s="674"/>
      <c r="I783" s="674"/>
      <c r="J783" s="674"/>
      <c r="K783" s="674"/>
      <c r="L783" s="674"/>
      <c r="M783" s="676"/>
      <c r="N783" s="674"/>
      <c r="O783" s="675"/>
      <c r="P783" s="466"/>
      <c r="Q783" s="466"/>
      <c r="R783" s="466"/>
      <c r="S783" s="466"/>
      <c r="T783" s="466"/>
      <c r="U783" s="466"/>
      <c r="V783" s="466"/>
    </row>
    <row r="784" spans="2:22" ht="12.75">
      <c r="B784" s="673"/>
      <c r="C784" s="147"/>
      <c r="D784" s="674"/>
      <c r="E784" s="674"/>
      <c r="F784" s="674"/>
      <c r="G784" s="674"/>
      <c r="H784" s="674"/>
      <c r="I784" s="674"/>
      <c r="J784" s="674"/>
      <c r="K784" s="674"/>
      <c r="L784" s="674"/>
      <c r="M784" s="676"/>
      <c r="N784" s="674"/>
      <c r="O784" s="675"/>
      <c r="P784" s="466"/>
      <c r="Q784" s="466"/>
      <c r="R784" s="466"/>
      <c r="S784" s="466"/>
      <c r="T784" s="466"/>
      <c r="U784" s="466"/>
      <c r="V784" s="466"/>
    </row>
    <row r="785" spans="2:22" ht="12.75">
      <c r="B785" s="673"/>
      <c r="C785" s="147"/>
      <c r="D785" s="674"/>
      <c r="E785" s="674"/>
      <c r="F785" s="674"/>
      <c r="G785" s="674"/>
      <c r="H785" s="674"/>
      <c r="I785" s="674"/>
      <c r="J785" s="674"/>
      <c r="K785" s="674"/>
      <c r="L785" s="674"/>
      <c r="M785" s="676"/>
      <c r="N785" s="674"/>
      <c r="O785" s="675"/>
      <c r="P785" s="466"/>
      <c r="Q785" s="466"/>
      <c r="R785" s="466"/>
      <c r="S785" s="466"/>
      <c r="T785" s="466"/>
      <c r="U785" s="466"/>
      <c r="V785" s="466"/>
    </row>
    <row r="786" spans="2:22" ht="12.75">
      <c r="B786" s="673"/>
      <c r="C786" s="147"/>
      <c r="D786" s="674"/>
      <c r="E786" s="674"/>
      <c r="F786" s="674"/>
      <c r="G786" s="674"/>
      <c r="H786" s="674"/>
      <c r="I786" s="674"/>
      <c r="J786" s="674"/>
      <c r="K786" s="674"/>
      <c r="L786" s="674"/>
      <c r="M786" s="676"/>
      <c r="N786" s="674"/>
      <c r="O786" s="675"/>
      <c r="P786" s="466"/>
      <c r="Q786" s="466"/>
      <c r="R786" s="466"/>
      <c r="S786" s="466"/>
      <c r="T786" s="466"/>
      <c r="U786" s="466"/>
      <c r="V786" s="466"/>
    </row>
    <row r="787" spans="2:22" ht="12.75">
      <c r="B787" s="673"/>
      <c r="C787" s="147"/>
      <c r="D787" s="674"/>
      <c r="E787" s="674"/>
      <c r="F787" s="674"/>
      <c r="G787" s="674"/>
      <c r="H787" s="674"/>
      <c r="I787" s="674"/>
      <c r="J787" s="674"/>
      <c r="K787" s="674"/>
      <c r="L787" s="674"/>
      <c r="M787" s="676"/>
      <c r="N787" s="674"/>
      <c r="O787" s="675"/>
      <c r="P787" s="466"/>
      <c r="Q787" s="466"/>
      <c r="R787" s="466"/>
      <c r="S787" s="466"/>
      <c r="T787" s="466"/>
      <c r="U787" s="466"/>
      <c r="V787" s="466"/>
    </row>
    <row r="788" spans="2:22" ht="12.75">
      <c r="B788" s="673"/>
      <c r="C788" s="147"/>
      <c r="D788" s="674"/>
      <c r="E788" s="674"/>
      <c r="F788" s="674"/>
      <c r="G788" s="674"/>
      <c r="H788" s="674"/>
      <c r="I788" s="674"/>
      <c r="J788" s="674"/>
      <c r="K788" s="674"/>
      <c r="L788" s="674"/>
      <c r="M788" s="676"/>
      <c r="N788" s="674"/>
      <c r="O788" s="675"/>
      <c r="P788" s="466"/>
      <c r="Q788" s="466"/>
      <c r="R788" s="466"/>
      <c r="S788" s="466"/>
      <c r="T788" s="466"/>
      <c r="U788" s="466"/>
      <c r="V788" s="466"/>
    </row>
    <row r="789" spans="2:22" ht="12.75">
      <c r="B789" s="673"/>
      <c r="C789" s="147"/>
      <c r="D789" s="674"/>
      <c r="E789" s="674"/>
      <c r="F789" s="674"/>
      <c r="G789" s="674"/>
      <c r="H789" s="674"/>
      <c r="I789" s="674"/>
      <c r="J789" s="674"/>
      <c r="K789" s="674"/>
      <c r="L789" s="674"/>
      <c r="M789" s="676"/>
      <c r="N789" s="674"/>
      <c r="O789" s="675"/>
      <c r="P789" s="466"/>
      <c r="Q789" s="466"/>
      <c r="R789" s="466"/>
      <c r="S789" s="466"/>
      <c r="T789" s="466"/>
      <c r="U789" s="466"/>
      <c r="V789" s="466"/>
    </row>
    <row r="790" spans="2:22" ht="12.75">
      <c r="B790" s="673"/>
      <c r="C790" s="147"/>
      <c r="D790" s="674"/>
      <c r="E790" s="674"/>
      <c r="F790" s="674"/>
      <c r="G790" s="674"/>
      <c r="H790" s="674"/>
      <c r="I790" s="674"/>
      <c r="J790" s="674"/>
      <c r="K790" s="674"/>
      <c r="L790" s="674"/>
      <c r="M790" s="676"/>
      <c r="N790" s="674"/>
      <c r="O790" s="675"/>
      <c r="P790" s="466"/>
      <c r="Q790" s="466"/>
      <c r="R790" s="466"/>
      <c r="S790" s="466"/>
      <c r="T790" s="466"/>
      <c r="U790" s="466"/>
      <c r="V790" s="466"/>
    </row>
    <row r="791" spans="2:22" ht="12.75">
      <c r="B791" s="673"/>
      <c r="C791" s="147"/>
      <c r="D791" s="674"/>
      <c r="E791" s="674"/>
      <c r="F791" s="674"/>
      <c r="G791" s="674"/>
      <c r="H791" s="674"/>
      <c r="I791" s="674"/>
      <c r="J791" s="674"/>
      <c r="K791" s="674"/>
      <c r="L791" s="674"/>
      <c r="M791" s="676"/>
      <c r="N791" s="674"/>
      <c r="O791" s="675"/>
      <c r="P791" s="466"/>
      <c r="Q791" s="466"/>
      <c r="R791" s="466"/>
      <c r="S791" s="466"/>
      <c r="T791" s="466"/>
      <c r="U791" s="466"/>
      <c r="V791" s="466"/>
    </row>
    <row r="792" spans="2:22" ht="12.75">
      <c r="B792" s="673"/>
      <c r="C792" s="147"/>
      <c r="D792" s="674"/>
      <c r="E792" s="674"/>
      <c r="F792" s="674"/>
      <c r="G792" s="674"/>
      <c r="H792" s="674"/>
      <c r="I792" s="674"/>
      <c r="J792" s="674"/>
      <c r="K792" s="674"/>
      <c r="L792" s="674"/>
      <c r="M792" s="676"/>
      <c r="N792" s="674"/>
      <c r="O792" s="675"/>
      <c r="P792" s="466"/>
      <c r="Q792" s="466"/>
      <c r="R792" s="466"/>
      <c r="S792" s="466"/>
      <c r="T792" s="466"/>
      <c r="U792" s="466"/>
      <c r="V792" s="466"/>
    </row>
    <row r="793" spans="2:22" ht="12.75">
      <c r="B793" s="673"/>
      <c r="C793" s="147"/>
      <c r="D793" s="674"/>
      <c r="E793" s="674"/>
      <c r="F793" s="674"/>
      <c r="G793" s="674"/>
      <c r="H793" s="674"/>
      <c r="I793" s="674"/>
      <c r="J793" s="674"/>
      <c r="K793" s="674"/>
      <c r="L793" s="674"/>
      <c r="M793" s="676"/>
      <c r="N793" s="674"/>
      <c r="O793" s="675"/>
      <c r="P793" s="466"/>
      <c r="Q793" s="466"/>
      <c r="R793" s="466"/>
      <c r="S793" s="466"/>
      <c r="T793" s="466"/>
      <c r="U793" s="466"/>
      <c r="V793" s="466"/>
    </row>
    <row r="794" spans="2:22" ht="12.75">
      <c r="B794" s="673"/>
      <c r="C794" s="147"/>
      <c r="D794" s="674"/>
      <c r="E794" s="674"/>
      <c r="F794" s="674"/>
      <c r="G794" s="674"/>
      <c r="H794" s="674"/>
      <c r="I794" s="674"/>
      <c r="J794" s="674"/>
      <c r="K794" s="674"/>
      <c r="L794" s="674"/>
      <c r="M794" s="676"/>
      <c r="N794" s="674"/>
      <c r="O794" s="675"/>
      <c r="P794" s="466"/>
      <c r="Q794" s="466"/>
      <c r="R794" s="466"/>
      <c r="S794" s="466"/>
      <c r="T794" s="466"/>
      <c r="U794" s="466"/>
      <c r="V794" s="466"/>
    </row>
    <row r="795" spans="2:22" ht="12.75">
      <c r="B795" s="673"/>
      <c r="C795" s="147"/>
      <c r="D795" s="674"/>
      <c r="E795" s="674"/>
      <c r="F795" s="674"/>
      <c r="G795" s="674"/>
      <c r="H795" s="674"/>
      <c r="I795" s="674"/>
      <c r="J795" s="674"/>
      <c r="K795" s="674"/>
      <c r="L795" s="674"/>
      <c r="M795" s="676"/>
      <c r="N795" s="674"/>
      <c r="O795" s="675"/>
      <c r="P795" s="466"/>
      <c r="Q795" s="466"/>
      <c r="R795" s="466"/>
      <c r="S795" s="466"/>
      <c r="T795" s="466"/>
      <c r="U795" s="466"/>
      <c r="V795" s="466"/>
    </row>
    <row r="796" spans="2:22" ht="12.75">
      <c r="B796" s="673"/>
      <c r="C796" s="147"/>
      <c r="D796" s="674"/>
      <c r="E796" s="674"/>
      <c r="F796" s="674"/>
      <c r="G796" s="674"/>
      <c r="H796" s="674"/>
      <c r="I796" s="674"/>
      <c r="J796" s="674"/>
      <c r="K796" s="674"/>
      <c r="L796" s="674"/>
      <c r="M796" s="676"/>
      <c r="N796" s="674"/>
      <c r="O796" s="675"/>
      <c r="P796" s="466"/>
      <c r="Q796" s="466"/>
      <c r="R796" s="466"/>
      <c r="S796" s="466"/>
      <c r="T796" s="466"/>
      <c r="U796" s="466"/>
      <c r="V796" s="466"/>
    </row>
    <row r="797" spans="2:22" ht="12.75">
      <c r="B797" s="673"/>
      <c r="C797" s="147"/>
      <c r="D797" s="674"/>
      <c r="E797" s="674"/>
      <c r="F797" s="674"/>
      <c r="G797" s="674"/>
      <c r="H797" s="674"/>
      <c r="I797" s="674"/>
      <c r="J797" s="674"/>
      <c r="K797" s="674"/>
      <c r="L797" s="674"/>
      <c r="M797" s="676"/>
      <c r="N797" s="674"/>
      <c r="O797" s="675"/>
      <c r="P797" s="466"/>
      <c r="Q797" s="466"/>
      <c r="R797" s="466"/>
      <c r="S797" s="466"/>
      <c r="T797" s="466"/>
      <c r="U797" s="466"/>
      <c r="V797" s="466"/>
    </row>
    <row r="798" spans="2:22" ht="12.75">
      <c r="B798" s="673"/>
      <c r="C798" s="147"/>
      <c r="D798" s="674"/>
      <c r="E798" s="674"/>
      <c r="F798" s="674"/>
      <c r="G798" s="674"/>
      <c r="H798" s="674"/>
      <c r="I798" s="674"/>
      <c r="J798" s="674"/>
      <c r="K798" s="674"/>
      <c r="L798" s="674"/>
      <c r="M798" s="676"/>
      <c r="N798" s="674"/>
      <c r="O798" s="675"/>
      <c r="P798" s="466"/>
      <c r="Q798" s="466"/>
      <c r="R798" s="466"/>
      <c r="S798" s="466"/>
      <c r="T798" s="466"/>
      <c r="U798" s="466"/>
      <c r="V798" s="466"/>
    </row>
    <row r="799" spans="2:22" ht="12.75">
      <c r="B799" s="673"/>
      <c r="C799" s="147"/>
      <c r="D799" s="674"/>
      <c r="E799" s="674"/>
      <c r="F799" s="674"/>
      <c r="G799" s="674"/>
      <c r="H799" s="674"/>
      <c r="I799" s="674"/>
      <c r="J799" s="674"/>
      <c r="K799" s="674"/>
      <c r="L799" s="674"/>
      <c r="M799" s="676"/>
      <c r="N799" s="674"/>
      <c r="O799" s="675"/>
      <c r="P799" s="466"/>
      <c r="Q799" s="466"/>
      <c r="R799" s="466"/>
      <c r="S799" s="466"/>
      <c r="T799" s="466"/>
      <c r="U799" s="466"/>
      <c r="V799" s="466"/>
    </row>
    <row r="800" spans="2:22" ht="12.75">
      <c r="B800" s="673"/>
      <c r="C800" s="147"/>
      <c r="D800" s="674"/>
      <c r="E800" s="674"/>
      <c r="F800" s="674"/>
      <c r="G800" s="674"/>
      <c r="H800" s="674"/>
      <c r="I800" s="674"/>
      <c r="J800" s="674"/>
      <c r="K800" s="674"/>
      <c r="L800" s="674"/>
      <c r="M800" s="676"/>
      <c r="N800" s="674"/>
      <c r="O800" s="675"/>
      <c r="P800" s="466"/>
      <c r="Q800" s="466"/>
      <c r="R800" s="466"/>
      <c r="S800" s="466"/>
      <c r="T800" s="466"/>
      <c r="U800" s="466"/>
      <c r="V800" s="466"/>
    </row>
    <row r="801" spans="2:22" ht="12.75">
      <c r="B801" s="673"/>
      <c r="C801" s="147"/>
      <c r="D801" s="674"/>
      <c r="E801" s="674"/>
      <c r="F801" s="674"/>
      <c r="G801" s="674"/>
      <c r="H801" s="674"/>
      <c r="I801" s="674"/>
      <c r="J801" s="674"/>
      <c r="K801" s="674"/>
      <c r="L801" s="674"/>
      <c r="M801" s="676"/>
      <c r="N801" s="674"/>
      <c r="O801" s="675"/>
      <c r="P801" s="466"/>
      <c r="Q801" s="466"/>
      <c r="R801" s="466"/>
      <c r="S801" s="466"/>
      <c r="T801" s="466"/>
      <c r="U801" s="466"/>
      <c r="V801" s="466"/>
    </row>
    <row r="802" spans="2:22" ht="12.75">
      <c r="B802" s="673"/>
      <c r="C802" s="147"/>
      <c r="D802" s="674"/>
      <c r="E802" s="674"/>
      <c r="F802" s="674"/>
      <c r="G802" s="674"/>
      <c r="H802" s="674"/>
      <c r="I802" s="674"/>
      <c r="J802" s="674"/>
      <c r="K802" s="674"/>
      <c r="L802" s="674"/>
      <c r="M802" s="676"/>
      <c r="N802" s="674"/>
      <c r="O802" s="675"/>
      <c r="P802" s="466"/>
      <c r="Q802" s="466"/>
      <c r="R802" s="466"/>
      <c r="S802" s="466"/>
      <c r="T802" s="466"/>
      <c r="U802" s="466"/>
      <c r="V802" s="466"/>
    </row>
    <row r="803" spans="2:22" ht="12.75">
      <c r="B803" s="673"/>
      <c r="C803" s="147"/>
      <c r="D803" s="674"/>
      <c r="E803" s="674"/>
      <c r="F803" s="674"/>
      <c r="G803" s="674"/>
      <c r="H803" s="674"/>
      <c r="I803" s="674"/>
      <c r="J803" s="674"/>
      <c r="K803" s="674"/>
      <c r="L803" s="674"/>
      <c r="M803" s="676"/>
      <c r="N803" s="674"/>
      <c r="O803" s="675"/>
      <c r="P803" s="466"/>
      <c r="Q803" s="466"/>
      <c r="R803" s="466"/>
      <c r="S803" s="466"/>
      <c r="T803" s="466"/>
      <c r="U803" s="466"/>
      <c r="V803" s="466"/>
    </row>
    <row r="804" spans="2:22" ht="12.75">
      <c r="B804" s="673"/>
      <c r="C804" s="147"/>
      <c r="D804" s="674"/>
      <c r="E804" s="674"/>
      <c r="F804" s="674"/>
      <c r="G804" s="674"/>
      <c r="H804" s="674"/>
      <c r="I804" s="674"/>
      <c r="J804" s="674"/>
      <c r="K804" s="674"/>
      <c r="L804" s="674"/>
      <c r="M804" s="676"/>
      <c r="N804" s="674"/>
      <c r="O804" s="675"/>
      <c r="P804" s="466"/>
      <c r="Q804" s="466"/>
      <c r="R804" s="466"/>
      <c r="S804" s="466"/>
      <c r="T804" s="466"/>
      <c r="U804" s="466"/>
      <c r="V804" s="466"/>
    </row>
    <row r="805" spans="2:22" ht="12.75">
      <c r="B805" s="673"/>
      <c r="C805" s="147"/>
      <c r="D805" s="674"/>
      <c r="E805" s="674"/>
      <c r="F805" s="674"/>
      <c r="G805" s="674"/>
      <c r="H805" s="674"/>
      <c r="I805" s="674"/>
      <c r="J805" s="674"/>
      <c r="K805" s="674"/>
      <c r="L805" s="674"/>
      <c r="M805" s="676"/>
      <c r="N805" s="674"/>
      <c r="O805" s="675"/>
      <c r="P805" s="466"/>
      <c r="Q805" s="466"/>
      <c r="R805" s="466"/>
      <c r="S805" s="466"/>
      <c r="T805" s="466"/>
      <c r="U805" s="466"/>
      <c r="V805" s="466"/>
    </row>
    <row r="806" spans="2:22" ht="12.75">
      <c r="B806" s="673"/>
      <c r="C806" s="147"/>
      <c r="D806" s="674"/>
      <c r="E806" s="674"/>
      <c r="F806" s="674"/>
      <c r="G806" s="674"/>
      <c r="H806" s="674"/>
      <c r="I806" s="674"/>
      <c r="J806" s="674"/>
      <c r="K806" s="674"/>
      <c r="L806" s="674"/>
      <c r="M806" s="676"/>
      <c r="N806" s="674"/>
      <c r="O806" s="675"/>
      <c r="P806" s="466"/>
      <c r="Q806" s="466"/>
      <c r="R806" s="466"/>
      <c r="S806" s="466"/>
      <c r="T806" s="466"/>
      <c r="U806" s="466"/>
      <c r="V806" s="466"/>
    </row>
    <row r="807" spans="2:22" ht="12.75">
      <c r="B807" s="673"/>
      <c r="C807" s="147"/>
      <c r="D807" s="674"/>
      <c r="E807" s="674"/>
      <c r="F807" s="674"/>
      <c r="G807" s="674"/>
      <c r="H807" s="674"/>
      <c r="I807" s="674"/>
      <c r="J807" s="674"/>
      <c r="K807" s="674"/>
      <c r="L807" s="674"/>
      <c r="M807" s="676"/>
      <c r="N807" s="674"/>
      <c r="O807" s="675"/>
      <c r="P807" s="466"/>
      <c r="Q807" s="466"/>
      <c r="R807" s="466"/>
      <c r="S807" s="466"/>
      <c r="T807" s="466"/>
      <c r="U807" s="466"/>
      <c r="V807" s="466"/>
    </row>
    <row r="808" spans="2:22" ht="12.75">
      <c r="B808" s="673"/>
      <c r="C808" s="147"/>
      <c r="D808" s="674"/>
      <c r="E808" s="674"/>
      <c r="F808" s="674"/>
      <c r="G808" s="674"/>
      <c r="H808" s="674"/>
      <c r="I808" s="674"/>
      <c r="J808" s="674"/>
      <c r="K808" s="674"/>
      <c r="L808" s="674"/>
      <c r="M808" s="676"/>
      <c r="N808" s="674"/>
      <c r="O808" s="675"/>
      <c r="P808" s="466"/>
      <c r="Q808" s="466"/>
      <c r="R808" s="466"/>
      <c r="S808" s="466"/>
      <c r="T808" s="466"/>
      <c r="U808" s="466"/>
      <c r="V808" s="466"/>
    </row>
    <row r="809" spans="2:22" ht="12.75">
      <c r="B809" s="673"/>
      <c r="C809" s="147"/>
      <c r="D809" s="674"/>
      <c r="E809" s="674"/>
      <c r="F809" s="674"/>
      <c r="G809" s="674"/>
      <c r="H809" s="674"/>
      <c r="I809" s="674"/>
      <c r="J809" s="674"/>
      <c r="K809" s="674"/>
      <c r="L809" s="674"/>
      <c r="M809" s="676"/>
      <c r="N809" s="674"/>
      <c r="O809" s="675"/>
      <c r="P809" s="466"/>
      <c r="Q809" s="466"/>
      <c r="R809" s="466"/>
      <c r="S809" s="466"/>
      <c r="T809" s="466"/>
      <c r="U809" s="466"/>
      <c r="V809" s="466"/>
    </row>
    <row r="810" spans="2:22" ht="12.75">
      <c r="B810" s="673"/>
      <c r="C810" s="147"/>
      <c r="D810" s="674"/>
      <c r="E810" s="674"/>
      <c r="F810" s="674"/>
      <c r="G810" s="674"/>
      <c r="H810" s="674"/>
      <c r="I810" s="674"/>
      <c r="J810" s="674"/>
      <c r="K810" s="674"/>
      <c r="L810" s="674"/>
      <c r="M810" s="676"/>
      <c r="N810" s="674"/>
      <c r="O810" s="675"/>
      <c r="P810" s="466"/>
      <c r="Q810" s="466"/>
      <c r="R810" s="466"/>
      <c r="S810" s="466"/>
      <c r="T810" s="466"/>
      <c r="U810" s="466"/>
      <c r="V810" s="466"/>
    </row>
    <row r="811" spans="2:22" ht="12.75">
      <c r="B811" s="673"/>
      <c r="C811" s="147"/>
      <c r="D811" s="674"/>
      <c r="E811" s="674"/>
      <c r="F811" s="674"/>
      <c r="G811" s="674"/>
      <c r="H811" s="674"/>
      <c r="I811" s="674"/>
      <c r="J811" s="674"/>
      <c r="K811" s="674"/>
      <c r="L811" s="674"/>
      <c r="M811" s="676"/>
      <c r="N811" s="674"/>
      <c r="O811" s="675"/>
      <c r="P811" s="466"/>
      <c r="Q811" s="466"/>
      <c r="R811" s="466"/>
      <c r="S811" s="466"/>
      <c r="T811" s="466"/>
      <c r="U811" s="466"/>
      <c r="V811" s="466"/>
    </row>
    <row r="812" spans="2:22" ht="12.75">
      <c r="B812" s="673"/>
      <c r="C812" s="147"/>
      <c r="D812" s="674"/>
      <c r="E812" s="674"/>
      <c r="F812" s="674"/>
      <c r="G812" s="674"/>
      <c r="H812" s="674"/>
      <c r="I812" s="674"/>
      <c r="J812" s="674"/>
      <c r="K812" s="674"/>
      <c r="L812" s="674"/>
      <c r="M812" s="676"/>
      <c r="N812" s="674"/>
      <c r="O812" s="675"/>
      <c r="P812" s="466"/>
      <c r="Q812" s="466"/>
      <c r="R812" s="466"/>
      <c r="S812" s="466"/>
      <c r="T812" s="466"/>
      <c r="U812" s="466"/>
      <c r="V812" s="466"/>
    </row>
    <row r="813" spans="2:22" ht="12.75">
      <c r="B813" s="673"/>
      <c r="C813" s="147"/>
      <c r="D813" s="674"/>
      <c r="E813" s="674"/>
      <c r="F813" s="674"/>
      <c r="G813" s="674"/>
      <c r="H813" s="674"/>
      <c r="I813" s="674"/>
      <c r="J813" s="674"/>
      <c r="K813" s="674"/>
      <c r="L813" s="674"/>
      <c r="M813" s="676"/>
      <c r="N813" s="674"/>
      <c r="O813" s="675"/>
      <c r="P813" s="466"/>
      <c r="Q813" s="466"/>
      <c r="R813" s="466"/>
      <c r="S813" s="466"/>
      <c r="T813" s="466"/>
      <c r="U813" s="466"/>
      <c r="V813" s="466"/>
    </row>
    <row r="814" spans="2:22" ht="12.75">
      <c r="B814" s="673"/>
      <c r="C814" s="147"/>
      <c r="D814" s="674"/>
      <c r="E814" s="674"/>
      <c r="F814" s="674"/>
      <c r="G814" s="674"/>
      <c r="H814" s="674"/>
      <c r="I814" s="674"/>
      <c r="J814" s="674"/>
      <c r="K814" s="674"/>
      <c r="L814" s="674"/>
      <c r="M814" s="676"/>
      <c r="N814" s="674"/>
      <c r="O814" s="675"/>
      <c r="P814" s="466"/>
      <c r="Q814" s="466"/>
      <c r="R814" s="466"/>
      <c r="S814" s="466"/>
      <c r="T814" s="466"/>
      <c r="U814" s="466"/>
      <c r="V814" s="466"/>
    </row>
    <row r="815" spans="2:22" ht="12.75">
      <c r="B815" s="673"/>
      <c r="C815" s="147"/>
      <c r="D815" s="674"/>
      <c r="E815" s="674"/>
      <c r="F815" s="674"/>
      <c r="G815" s="674"/>
      <c r="H815" s="674"/>
      <c r="I815" s="674"/>
      <c r="J815" s="674"/>
      <c r="K815" s="674"/>
      <c r="L815" s="674"/>
      <c r="M815" s="676"/>
      <c r="N815" s="674"/>
      <c r="O815" s="675"/>
      <c r="P815" s="466"/>
      <c r="Q815" s="466"/>
      <c r="R815" s="466"/>
      <c r="S815" s="466"/>
      <c r="T815" s="466"/>
      <c r="U815" s="466"/>
      <c r="V815" s="466"/>
    </row>
    <row r="816" spans="2:22" ht="12.75">
      <c r="B816" s="673"/>
      <c r="C816" s="147"/>
      <c r="D816" s="674"/>
      <c r="E816" s="674"/>
      <c r="F816" s="674"/>
      <c r="G816" s="674"/>
      <c r="H816" s="674"/>
      <c r="I816" s="674"/>
      <c r="J816" s="674"/>
      <c r="K816" s="674"/>
      <c r="L816" s="674"/>
      <c r="M816" s="676"/>
      <c r="N816" s="674"/>
      <c r="O816" s="675"/>
      <c r="P816" s="466"/>
      <c r="Q816" s="466"/>
      <c r="R816" s="466"/>
      <c r="S816" s="466"/>
      <c r="T816" s="466"/>
      <c r="U816" s="466"/>
      <c r="V816" s="466"/>
    </row>
    <row r="817" spans="2:22" ht="12.75">
      <c r="B817" s="673"/>
      <c r="C817" s="147"/>
      <c r="D817" s="674"/>
      <c r="E817" s="674"/>
      <c r="F817" s="674"/>
      <c r="G817" s="674"/>
      <c r="H817" s="674"/>
      <c r="I817" s="674"/>
      <c r="J817" s="674"/>
      <c r="K817" s="674"/>
      <c r="L817" s="674"/>
      <c r="M817" s="676"/>
      <c r="N817" s="674"/>
      <c r="O817" s="675"/>
      <c r="P817" s="466"/>
      <c r="Q817" s="466"/>
      <c r="R817" s="466"/>
      <c r="S817" s="466"/>
      <c r="T817" s="466"/>
      <c r="U817" s="466"/>
      <c r="V817" s="466"/>
    </row>
    <row r="818" spans="2:22" ht="12.75">
      <c r="B818" s="673"/>
      <c r="C818" s="147"/>
      <c r="D818" s="674"/>
      <c r="E818" s="674"/>
      <c r="F818" s="674"/>
      <c r="G818" s="674"/>
      <c r="H818" s="674"/>
      <c r="I818" s="674"/>
      <c r="J818" s="674"/>
      <c r="K818" s="674"/>
      <c r="L818" s="674"/>
      <c r="M818" s="676"/>
      <c r="N818" s="674"/>
      <c r="O818" s="675"/>
      <c r="P818" s="466"/>
      <c r="Q818" s="466"/>
      <c r="R818" s="466"/>
      <c r="S818" s="466"/>
      <c r="T818" s="466"/>
      <c r="U818" s="466"/>
      <c r="V818" s="466"/>
    </row>
    <row r="819" spans="2:22" ht="12.75">
      <c r="B819" s="673"/>
      <c r="C819" s="147"/>
      <c r="D819" s="674"/>
      <c r="E819" s="674"/>
      <c r="F819" s="674"/>
      <c r="G819" s="674"/>
      <c r="H819" s="674"/>
      <c r="I819" s="674"/>
      <c r="J819" s="674"/>
      <c r="K819" s="674"/>
      <c r="L819" s="674"/>
      <c r="M819" s="676"/>
      <c r="N819" s="674"/>
      <c r="O819" s="675"/>
      <c r="P819" s="466"/>
      <c r="Q819" s="466"/>
      <c r="R819" s="466"/>
      <c r="S819" s="466"/>
      <c r="T819" s="466"/>
      <c r="U819" s="466"/>
      <c r="V819" s="466"/>
    </row>
    <row r="820" spans="2:22" ht="12.75">
      <c r="B820" s="673"/>
      <c r="C820" s="147"/>
      <c r="D820" s="674"/>
      <c r="E820" s="674"/>
      <c r="F820" s="674"/>
      <c r="G820" s="674"/>
      <c r="H820" s="674"/>
      <c r="I820" s="674"/>
      <c r="J820" s="674"/>
      <c r="K820" s="674"/>
      <c r="L820" s="674"/>
      <c r="M820" s="676"/>
      <c r="N820" s="674"/>
      <c r="O820" s="675"/>
      <c r="P820" s="466"/>
      <c r="Q820" s="466"/>
      <c r="R820" s="466"/>
      <c r="S820" s="466"/>
      <c r="T820" s="466"/>
      <c r="U820" s="466"/>
      <c r="V820" s="466"/>
    </row>
    <row r="821" spans="2:22" ht="12.75">
      <c r="B821" s="673"/>
      <c r="C821" s="147"/>
      <c r="D821" s="674"/>
      <c r="E821" s="674"/>
      <c r="F821" s="674"/>
      <c r="G821" s="674"/>
      <c r="H821" s="674"/>
      <c r="I821" s="674"/>
      <c r="J821" s="674"/>
      <c r="K821" s="674"/>
      <c r="L821" s="674"/>
      <c r="M821" s="676"/>
      <c r="N821" s="674"/>
      <c r="O821" s="675"/>
      <c r="P821" s="466"/>
      <c r="Q821" s="466"/>
      <c r="R821" s="466"/>
      <c r="S821" s="466"/>
      <c r="T821" s="466"/>
      <c r="U821" s="466"/>
      <c r="V821" s="466"/>
    </row>
    <row r="822" spans="2:22" ht="12.75">
      <c r="B822" s="673"/>
      <c r="C822" s="147"/>
      <c r="D822" s="674"/>
      <c r="E822" s="674"/>
      <c r="F822" s="674"/>
      <c r="G822" s="674"/>
      <c r="H822" s="674"/>
      <c r="I822" s="674"/>
      <c r="J822" s="674"/>
      <c r="K822" s="674"/>
      <c r="L822" s="674"/>
      <c r="M822" s="676"/>
      <c r="N822" s="674"/>
      <c r="O822" s="675"/>
      <c r="P822" s="466"/>
      <c r="Q822" s="466"/>
      <c r="R822" s="466"/>
      <c r="S822" s="466"/>
      <c r="T822" s="466"/>
      <c r="U822" s="466"/>
      <c r="V822" s="466"/>
    </row>
    <row r="823" spans="2:22" ht="12.75">
      <c r="B823" s="673"/>
      <c r="C823" s="147"/>
      <c r="D823" s="674"/>
      <c r="E823" s="674"/>
      <c r="F823" s="674"/>
      <c r="G823" s="674"/>
      <c r="H823" s="674"/>
      <c r="I823" s="674"/>
      <c r="J823" s="674"/>
      <c r="K823" s="674"/>
      <c r="L823" s="674"/>
      <c r="M823" s="676"/>
      <c r="N823" s="674"/>
      <c r="O823" s="675"/>
      <c r="P823" s="466"/>
      <c r="Q823" s="466"/>
      <c r="R823" s="466"/>
      <c r="S823" s="466"/>
      <c r="T823" s="466"/>
      <c r="U823" s="466"/>
      <c r="V823" s="466"/>
    </row>
    <row r="824" spans="2:22" ht="12.75">
      <c r="B824" s="673"/>
      <c r="C824" s="147"/>
      <c r="D824" s="674"/>
      <c r="E824" s="674"/>
      <c r="F824" s="674"/>
      <c r="G824" s="674"/>
      <c r="H824" s="674"/>
      <c r="I824" s="674"/>
      <c r="J824" s="674"/>
      <c r="K824" s="674"/>
      <c r="L824" s="674"/>
      <c r="M824" s="676"/>
      <c r="N824" s="674"/>
      <c r="O824" s="675"/>
      <c r="P824" s="466"/>
      <c r="Q824" s="466"/>
      <c r="R824" s="466"/>
      <c r="S824" s="466"/>
      <c r="T824" s="466"/>
      <c r="U824" s="466"/>
      <c r="V824" s="466"/>
    </row>
    <row r="825" spans="2:22" ht="12.75">
      <c r="B825" s="673"/>
      <c r="C825" s="147"/>
      <c r="D825" s="674"/>
      <c r="E825" s="674"/>
      <c r="F825" s="674"/>
      <c r="G825" s="674"/>
      <c r="H825" s="674"/>
      <c r="I825" s="674"/>
      <c r="J825" s="674"/>
      <c r="K825" s="674"/>
      <c r="L825" s="674"/>
      <c r="M825" s="676"/>
      <c r="N825" s="674"/>
      <c r="O825" s="675"/>
      <c r="P825" s="466"/>
      <c r="Q825" s="466"/>
      <c r="R825" s="466"/>
      <c r="S825" s="466"/>
      <c r="T825" s="466"/>
      <c r="U825" s="466"/>
      <c r="V825" s="466"/>
    </row>
    <row r="826" spans="2:22" ht="12.75">
      <c r="B826" s="673"/>
      <c r="C826" s="147"/>
      <c r="D826" s="674"/>
      <c r="E826" s="674"/>
      <c r="F826" s="674"/>
      <c r="G826" s="674"/>
      <c r="H826" s="674"/>
      <c r="I826" s="674"/>
      <c r="J826" s="674"/>
      <c r="K826" s="674"/>
      <c r="L826" s="674"/>
      <c r="M826" s="676"/>
      <c r="N826" s="674"/>
      <c r="O826" s="675"/>
      <c r="P826" s="466"/>
      <c r="Q826" s="466"/>
      <c r="R826" s="466"/>
      <c r="S826" s="466"/>
      <c r="T826" s="466"/>
      <c r="U826" s="466"/>
      <c r="V826" s="466"/>
    </row>
    <row r="827" spans="2:22" ht="12.75">
      <c r="B827" s="673"/>
      <c r="C827" s="147"/>
      <c r="D827" s="674"/>
      <c r="E827" s="674"/>
      <c r="F827" s="674"/>
      <c r="G827" s="674"/>
      <c r="H827" s="674"/>
      <c r="I827" s="674"/>
      <c r="J827" s="674"/>
      <c r="K827" s="674"/>
      <c r="L827" s="674"/>
      <c r="M827" s="676"/>
      <c r="N827" s="674"/>
      <c r="O827" s="675"/>
      <c r="P827" s="466"/>
      <c r="Q827" s="466"/>
      <c r="R827" s="466"/>
      <c r="S827" s="466"/>
      <c r="T827" s="466"/>
      <c r="U827" s="466"/>
      <c r="V827" s="466"/>
    </row>
    <row r="828" spans="2:22" ht="12.75">
      <c r="B828" s="673"/>
      <c r="C828" s="147"/>
      <c r="D828" s="674"/>
      <c r="E828" s="674"/>
      <c r="F828" s="674"/>
      <c r="G828" s="674"/>
      <c r="H828" s="674"/>
      <c r="I828" s="674"/>
      <c r="J828" s="674"/>
      <c r="K828" s="674"/>
      <c r="L828" s="674"/>
      <c r="M828" s="676"/>
      <c r="N828" s="674"/>
      <c r="O828" s="675"/>
      <c r="P828" s="466"/>
      <c r="Q828" s="466"/>
      <c r="R828" s="466"/>
      <c r="S828" s="466"/>
      <c r="T828" s="466"/>
      <c r="U828" s="466"/>
      <c r="V828" s="466"/>
    </row>
    <row r="829" spans="2:22" ht="12.75">
      <c r="B829" s="673"/>
      <c r="C829" s="147"/>
      <c r="D829" s="674"/>
      <c r="E829" s="674"/>
      <c r="F829" s="674"/>
      <c r="G829" s="674"/>
      <c r="H829" s="674"/>
      <c r="I829" s="674"/>
      <c r="J829" s="674"/>
      <c r="K829" s="674"/>
      <c r="L829" s="674"/>
      <c r="M829" s="676"/>
      <c r="N829" s="674"/>
      <c r="O829" s="675"/>
      <c r="P829" s="466"/>
      <c r="Q829" s="466"/>
      <c r="R829" s="466"/>
      <c r="S829" s="466"/>
      <c r="T829" s="466"/>
      <c r="U829" s="466"/>
      <c r="V829" s="466"/>
    </row>
    <row r="830" spans="2:22" ht="12.75">
      <c r="B830" s="673"/>
      <c r="C830" s="147"/>
      <c r="D830" s="674"/>
      <c r="E830" s="674"/>
      <c r="F830" s="674"/>
      <c r="G830" s="674"/>
      <c r="H830" s="674"/>
      <c r="I830" s="674"/>
      <c r="J830" s="674"/>
      <c r="K830" s="674"/>
      <c r="L830" s="674"/>
      <c r="M830" s="676"/>
      <c r="N830" s="674"/>
      <c r="O830" s="675"/>
      <c r="P830" s="466"/>
      <c r="Q830" s="466"/>
      <c r="R830" s="466"/>
      <c r="S830" s="466"/>
      <c r="T830" s="466"/>
      <c r="U830" s="466"/>
      <c r="V830" s="466"/>
    </row>
    <row r="831" spans="2:22" ht="12.75">
      <c r="B831" s="673"/>
      <c r="C831" s="147"/>
      <c r="D831" s="674"/>
      <c r="E831" s="674"/>
      <c r="F831" s="674"/>
      <c r="G831" s="674"/>
      <c r="H831" s="674"/>
      <c r="I831" s="674"/>
      <c r="J831" s="674"/>
      <c r="K831" s="674"/>
      <c r="L831" s="674"/>
      <c r="M831" s="676"/>
      <c r="N831" s="674"/>
      <c r="O831" s="675"/>
      <c r="P831" s="466"/>
      <c r="Q831" s="466"/>
      <c r="R831" s="466"/>
      <c r="S831" s="466"/>
      <c r="T831" s="466"/>
      <c r="U831" s="466"/>
      <c r="V831" s="466"/>
    </row>
    <row r="832" spans="2:22" ht="12.75">
      <c r="B832" s="673"/>
      <c r="C832" s="147"/>
      <c r="D832" s="674"/>
      <c r="E832" s="674"/>
      <c r="F832" s="674"/>
      <c r="G832" s="674"/>
      <c r="H832" s="674"/>
      <c r="I832" s="674"/>
      <c r="J832" s="674"/>
      <c r="K832" s="674"/>
      <c r="L832" s="674"/>
      <c r="M832" s="676"/>
      <c r="N832" s="674"/>
      <c r="O832" s="675"/>
      <c r="P832" s="466"/>
      <c r="Q832" s="466"/>
      <c r="R832" s="466"/>
      <c r="S832" s="466"/>
      <c r="T832" s="466"/>
      <c r="U832" s="466"/>
      <c r="V832" s="466"/>
    </row>
    <row r="833" spans="2:22" ht="12.75">
      <c r="B833" s="673"/>
      <c r="C833" s="147"/>
      <c r="D833" s="674"/>
      <c r="E833" s="674"/>
      <c r="F833" s="674"/>
      <c r="G833" s="674"/>
      <c r="H833" s="674"/>
      <c r="I833" s="674"/>
      <c r="J833" s="674"/>
      <c r="K833" s="674"/>
      <c r="L833" s="674"/>
      <c r="M833" s="676"/>
      <c r="N833" s="674"/>
      <c r="O833" s="675"/>
      <c r="P833" s="466"/>
      <c r="Q833" s="466"/>
      <c r="R833" s="466"/>
      <c r="S833" s="466"/>
      <c r="T833" s="466"/>
      <c r="U833" s="466"/>
      <c r="V833" s="466"/>
    </row>
    <row r="834" spans="2:22" ht="12.75">
      <c r="B834" s="673"/>
      <c r="C834" s="147"/>
      <c r="D834" s="674"/>
      <c r="E834" s="674"/>
      <c r="F834" s="674"/>
      <c r="G834" s="674"/>
      <c r="H834" s="674"/>
      <c r="I834" s="674"/>
      <c r="J834" s="674"/>
      <c r="K834" s="674"/>
      <c r="L834" s="674"/>
      <c r="M834" s="676"/>
      <c r="N834" s="674"/>
      <c r="O834" s="675"/>
      <c r="P834" s="466"/>
      <c r="Q834" s="466"/>
      <c r="R834" s="466"/>
      <c r="S834" s="466"/>
      <c r="T834" s="466"/>
      <c r="U834" s="466"/>
      <c r="V834" s="466"/>
    </row>
    <row r="835" spans="2:22" ht="12.75">
      <c r="B835" s="673"/>
      <c r="C835" s="147"/>
      <c r="D835" s="674"/>
      <c r="E835" s="674"/>
      <c r="F835" s="674"/>
      <c r="G835" s="674"/>
      <c r="H835" s="674"/>
      <c r="I835" s="674"/>
      <c r="J835" s="674"/>
      <c r="K835" s="674"/>
      <c r="L835" s="674"/>
      <c r="M835" s="676"/>
      <c r="N835" s="674"/>
      <c r="O835" s="675"/>
      <c r="P835" s="466"/>
      <c r="Q835" s="466"/>
      <c r="R835" s="466"/>
      <c r="S835" s="466"/>
      <c r="T835" s="466"/>
      <c r="U835" s="466"/>
      <c r="V835" s="466"/>
    </row>
    <row r="836" spans="2:22" ht="12.75">
      <c r="B836" s="673"/>
      <c r="C836" s="147"/>
      <c r="D836" s="674"/>
      <c r="E836" s="674"/>
      <c r="F836" s="674"/>
      <c r="G836" s="674"/>
      <c r="H836" s="674"/>
      <c r="I836" s="674"/>
      <c r="J836" s="674"/>
      <c r="K836" s="674"/>
      <c r="L836" s="674"/>
      <c r="M836" s="676"/>
      <c r="N836" s="674"/>
      <c r="O836" s="675"/>
      <c r="P836" s="466"/>
      <c r="Q836" s="466"/>
      <c r="R836" s="466"/>
      <c r="S836" s="466"/>
      <c r="T836" s="466"/>
      <c r="U836" s="466"/>
      <c r="V836" s="466"/>
    </row>
    <row r="837" spans="2:22" ht="12.75">
      <c r="B837" s="673"/>
      <c r="C837" s="147"/>
      <c r="D837" s="674"/>
      <c r="E837" s="674"/>
      <c r="F837" s="674"/>
      <c r="G837" s="674"/>
      <c r="H837" s="674"/>
      <c r="I837" s="674"/>
      <c r="J837" s="674"/>
      <c r="K837" s="674"/>
      <c r="L837" s="674"/>
      <c r="M837" s="676"/>
      <c r="N837" s="674"/>
      <c r="O837" s="675"/>
      <c r="P837" s="466"/>
      <c r="Q837" s="466"/>
      <c r="R837" s="466"/>
      <c r="S837" s="466"/>
      <c r="T837" s="466"/>
      <c r="U837" s="466"/>
      <c r="V837" s="466"/>
    </row>
    <row r="838" spans="2:22" ht="12.75">
      <c r="B838" s="673"/>
      <c r="C838" s="147"/>
      <c r="D838" s="674"/>
      <c r="E838" s="674"/>
      <c r="F838" s="674"/>
      <c r="G838" s="674"/>
      <c r="H838" s="674"/>
      <c r="I838" s="674"/>
      <c r="J838" s="674"/>
      <c r="K838" s="674"/>
      <c r="L838" s="674"/>
      <c r="M838" s="676"/>
      <c r="N838" s="674"/>
      <c r="O838" s="675"/>
      <c r="P838" s="466"/>
      <c r="Q838" s="466"/>
      <c r="R838" s="466"/>
      <c r="S838" s="466"/>
      <c r="T838" s="466"/>
      <c r="U838" s="466"/>
      <c r="V838" s="466"/>
    </row>
    <row r="839" spans="2:22" ht="12.75">
      <c r="B839" s="673"/>
      <c r="C839" s="147"/>
      <c r="D839" s="674"/>
      <c r="E839" s="674"/>
      <c r="F839" s="674"/>
      <c r="G839" s="674"/>
      <c r="H839" s="674"/>
      <c r="I839" s="674"/>
      <c r="J839" s="674"/>
      <c r="K839" s="674"/>
      <c r="L839" s="674"/>
      <c r="M839" s="676"/>
      <c r="N839" s="674"/>
      <c r="O839" s="675"/>
      <c r="P839" s="466"/>
      <c r="Q839" s="466"/>
      <c r="R839" s="466"/>
      <c r="S839" s="466"/>
      <c r="T839" s="466"/>
      <c r="U839" s="466"/>
      <c r="V839" s="466"/>
    </row>
    <row r="840" spans="2:22" ht="12.75">
      <c r="B840" s="673"/>
      <c r="C840" s="147"/>
      <c r="D840" s="674"/>
      <c r="E840" s="674"/>
      <c r="F840" s="674"/>
      <c r="G840" s="674"/>
      <c r="H840" s="674"/>
      <c r="I840" s="674"/>
      <c r="J840" s="674"/>
      <c r="K840" s="674"/>
      <c r="L840" s="674"/>
      <c r="M840" s="676"/>
      <c r="N840" s="674"/>
      <c r="O840" s="675"/>
      <c r="P840" s="466"/>
      <c r="Q840" s="466"/>
      <c r="R840" s="466"/>
      <c r="S840" s="466"/>
      <c r="T840" s="466"/>
      <c r="U840" s="466"/>
      <c r="V840" s="466"/>
    </row>
    <row r="841" spans="2:22" ht="12.75">
      <c r="B841" s="673"/>
      <c r="C841" s="147"/>
      <c r="D841" s="674"/>
      <c r="E841" s="674"/>
      <c r="F841" s="674"/>
      <c r="G841" s="674"/>
      <c r="H841" s="674"/>
      <c r="I841" s="674"/>
      <c r="J841" s="674"/>
      <c r="K841" s="674"/>
      <c r="L841" s="674"/>
      <c r="M841" s="676"/>
      <c r="N841" s="674"/>
      <c r="O841" s="675"/>
      <c r="P841" s="466"/>
      <c r="Q841" s="466"/>
      <c r="R841" s="466"/>
      <c r="S841" s="466"/>
      <c r="T841" s="466"/>
      <c r="U841" s="466"/>
      <c r="V841" s="466"/>
    </row>
    <row r="842" spans="2:22" ht="12.75">
      <c r="B842" s="673"/>
      <c r="C842" s="147"/>
      <c r="D842" s="674"/>
      <c r="E842" s="674"/>
      <c r="F842" s="674"/>
      <c r="G842" s="674"/>
      <c r="H842" s="674"/>
      <c r="I842" s="674"/>
      <c r="J842" s="674"/>
      <c r="K842" s="674"/>
      <c r="L842" s="674"/>
      <c r="M842" s="676"/>
      <c r="N842" s="674"/>
      <c r="O842" s="675"/>
      <c r="P842" s="466"/>
      <c r="Q842" s="466"/>
      <c r="R842" s="466"/>
      <c r="S842" s="466"/>
      <c r="T842" s="466"/>
      <c r="U842" s="466"/>
      <c r="V842" s="466"/>
    </row>
    <row r="843" spans="2:22" ht="12.75">
      <c r="B843" s="673"/>
      <c r="C843" s="147"/>
      <c r="D843" s="674"/>
      <c r="E843" s="674"/>
      <c r="F843" s="674"/>
      <c r="G843" s="674"/>
      <c r="H843" s="674"/>
      <c r="I843" s="674"/>
      <c r="J843" s="674"/>
      <c r="K843" s="674"/>
      <c r="L843" s="674"/>
      <c r="M843" s="676"/>
      <c r="N843" s="674"/>
      <c r="O843" s="675"/>
      <c r="P843" s="466"/>
      <c r="Q843" s="466"/>
      <c r="R843" s="466"/>
      <c r="S843" s="466"/>
      <c r="T843" s="466"/>
      <c r="U843" s="466"/>
      <c r="V843" s="466"/>
    </row>
    <row r="844" spans="2:22" ht="12.75">
      <c r="B844" s="673"/>
      <c r="C844" s="147"/>
      <c r="D844" s="674"/>
      <c r="E844" s="674"/>
      <c r="F844" s="674"/>
      <c r="G844" s="674"/>
      <c r="H844" s="674"/>
      <c r="I844" s="674"/>
      <c r="J844" s="674"/>
      <c r="K844" s="674"/>
      <c r="L844" s="674"/>
      <c r="M844" s="676"/>
      <c r="N844" s="674"/>
      <c r="O844" s="675"/>
      <c r="P844" s="466"/>
      <c r="Q844" s="466"/>
      <c r="R844" s="466"/>
      <c r="S844" s="466"/>
      <c r="T844" s="466"/>
      <c r="U844" s="466"/>
      <c r="V844" s="466"/>
    </row>
    <row r="845" spans="2:22" ht="12.75">
      <c r="B845" s="673"/>
      <c r="C845" s="147"/>
      <c r="D845" s="674"/>
      <c r="E845" s="674"/>
      <c r="F845" s="674"/>
      <c r="G845" s="674"/>
      <c r="H845" s="674"/>
      <c r="I845" s="674"/>
      <c r="J845" s="674"/>
      <c r="K845" s="674"/>
      <c r="L845" s="674"/>
      <c r="M845" s="676"/>
      <c r="N845" s="674"/>
      <c r="O845" s="675"/>
      <c r="P845" s="466"/>
      <c r="Q845" s="466"/>
      <c r="R845" s="466"/>
      <c r="S845" s="466"/>
      <c r="T845" s="466"/>
      <c r="U845" s="466"/>
      <c r="V845" s="466"/>
    </row>
    <row r="846" spans="2:22" ht="12.75">
      <c r="B846" s="673"/>
      <c r="C846" s="147"/>
      <c r="D846" s="674"/>
      <c r="E846" s="674"/>
      <c r="F846" s="674"/>
      <c r="G846" s="674"/>
      <c r="H846" s="674"/>
      <c r="I846" s="674"/>
      <c r="J846" s="674"/>
      <c r="K846" s="674"/>
      <c r="L846" s="674"/>
      <c r="M846" s="676"/>
      <c r="N846" s="674"/>
      <c r="O846" s="675"/>
      <c r="P846" s="466"/>
      <c r="Q846" s="466"/>
      <c r="R846" s="466"/>
      <c r="S846" s="466"/>
      <c r="T846" s="466"/>
      <c r="U846" s="466"/>
      <c r="V846" s="466"/>
    </row>
    <row r="847" spans="2:22" ht="12.75">
      <c r="B847" s="673"/>
      <c r="C847" s="147"/>
      <c r="D847" s="674"/>
      <c r="E847" s="674"/>
      <c r="F847" s="674"/>
      <c r="G847" s="674"/>
      <c r="H847" s="674"/>
      <c r="I847" s="674"/>
      <c r="J847" s="674"/>
      <c r="K847" s="674"/>
      <c r="L847" s="674"/>
      <c r="M847" s="676"/>
      <c r="N847" s="674"/>
      <c r="O847" s="675"/>
      <c r="P847" s="466"/>
      <c r="Q847" s="466"/>
      <c r="R847" s="466"/>
      <c r="S847" s="466"/>
      <c r="T847" s="466"/>
      <c r="U847" s="466"/>
      <c r="V847" s="466"/>
    </row>
    <row r="848" spans="2:22" ht="12.75">
      <c r="B848" s="673"/>
      <c r="C848" s="147"/>
      <c r="D848" s="674"/>
      <c r="E848" s="674"/>
      <c r="F848" s="674"/>
      <c r="G848" s="674"/>
      <c r="H848" s="674"/>
      <c r="I848" s="674"/>
      <c r="J848" s="674"/>
      <c r="K848" s="674"/>
      <c r="L848" s="674"/>
      <c r="M848" s="676"/>
      <c r="N848" s="674"/>
      <c r="O848" s="675"/>
      <c r="P848" s="466"/>
      <c r="Q848" s="466"/>
      <c r="R848" s="466"/>
      <c r="S848" s="466"/>
      <c r="T848" s="466"/>
      <c r="U848" s="466"/>
      <c r="V848" s="466"/>
    </row>
    <row r="849" spans="2:22" ht="12.75">
      <c r="B849" s="673"/>
      <c r="C849" s="147"/>
      <c r="D849" s="674"/>
      <c r="E849" s="674"/>
      <c r="F849" s="674"/>
      <c r="G849" s="674"/>
      <c r="H849" s="674"/>
      <c r="I849" s="674"/>
      <c r="J849" s="674"/>
      <c r="K849" s="674"/>
      <c r="L849" s="674"/>
      <c r="M849" s="676"/>
      <c r="N849" s="674"/>
      <c r="O849" s="675"/>
      <c r="P849" s="466"/>
      <c r="Q849" s="466"/>
      <c r="R849" s="466"/>
      <c r="S849" s="466"/>
      <c r="T849" s="466"/>
      <c r="U849" s="466"/>
      <c r="V849" s="466"/>
    </row>
    <row r="850" spans="2:22" ht="12.75">
      <c r="B850" s="673"/>
      <c r="C850" s="147"/>
      <c r="D850" s="674"/>
      <c r="E850" s="674"/>
      <c r="F850" s="674"/>
      <c r="G850" s="674"/>
      <c r="H850" s="674"/>
      <c r="I850" s="674"/>
      <c r="J850" s="674"/>
      <c r="K850" s="674"/>
      <c r="L850" s="674"/>
      <c r="M850" s="676"/>
      <c r="N850" s="674"/>
      <c r="O850" s="675"/>
      <c r="P850" s="466"/>
      <c r="Q850" s="466"/>
      <c r="R850" s="466"/>
      <c r="S850" s="466"/>
      <c r="T850" s="466"/>
      <c r="U850" s="466"/>
      <c r="V850" s="466"/>
    </row>
    <row r="851" spans="2:22" ht="12.75">
      <c r="B851" s="673"/>
      <c r="C851" s="147"/>
      <c r="D851" s="674"/>
      <c r="E851" s="674"/>
      <c r="F851" s="674"/>
      <c r="G851" s="674"/>
      <c r="H851" s="674"/>
      <c r="I851" s="674"/>
      <c r="J851" s="674"/>
      <c r="K851" s="674"/>
      <c r="L851" s="674"/>
      <c r="M851" s="676"/>
      <c r="N851" s="674"/>
      <c r="O851" s="675"/>
      <c r="P851" s="466"/>
      <c r="Q851" s="466"/>
      <c r="R851" s="466"/>
      <c r="S851" s="466"/>
      <c r="T851" s="466"/>
      <c r="U851" s="466"/>
      <c r="V851" s="466"/>
    </row>
    <row r="852" spans="2:22" ht="12.75">
      <c r="B852" s="673"/>
      <c r="C852" s="147"/>
      <c r="D852" s="674"/>
      <c r="E852" s="674"/>
      <c r="F852" s="674"/>
      <c r="G852" s="674"/>
      <c r="H852" s="674"/>
      <c r="I852" s="674"/>
      <c r="J852" s="674"/>
      <c r="K852" s="674"/>
      <c r="L852" s="674"/>
      <c r="M852" s="676"/>
      <c r="N852" s="674"/>
      <c r="O852" s="675"/>
      <c r="P852" s="466"/>
      <c r="Q852" s="466"/>
      <c r="R852" s="466"/>
      <c r="S852" s="466"/>
      <c r="T852" s="466"/>
      <c r="U852" s="466"/>
      <c r="V852" s="466"/>
    </row>
    <row r="853" spans="2:22" ht="12.75">
      <c r="B853" s="673"/>
      <c r="C853" s="147"/>
      <c r="D853" s="674"/>
      <c r="E853" s="674"/>
      <c r="F853" s="674"/>
      <c r="G853" s="674"/>
      <c r="H853" s="674"/>
      <c r="I853" s="674"/>
      <c r="J853" s="674"/>
      <c r="K853" s="674"/>
      <c r="L853" s="674"/>
      <c r="M853" s="676"/>
      <c r="N853" s="674"/>
      <c r="O853" s="675"/>
      <c r="P853" s="466"/>
      <c r="Q853" s="466"/>
      <c r="R853" s="466"/>
      <c r="S853" s="466"/>
      <c r="T853" s="466"/>
      <c r="U853" s="466"/>
      <c r="V853" s="466"/>
    </row>
    <row r="854" spans="2:22" ht="12.75">
      <c r="B854" s="673"/>
      <c r="C854" s="147"/>
      <c r="D854" s="674"/>
      <c r="E854" s="674"/>
      <c r="F854" s="674"/>
      <c r="G854" s="674"/>
      <c r="H854" s="674"/>
      <c r="I854" s="674"/>
      <c r="J854" s="674"/>
      <c r="K854" s="674"/>
      <c r="L854" s="674"/>
      <c r="M854" s="676"/>
      <c r="N854" s="674"/>
      <c r="O854" s="675"/>
      <c r="P854" s="466"/>
      <c r="Q854" s="466"/>
      <c r="R854" s="466"/>
      <c r="S854" s="466"/>
      <c r="T854" s="466"/>
      <c r="U854" s="466"/>
      <c r="V854" s="466"/>
    </row>
    <row r="855" spans="2:22" ht="12.75">
      <c r="B855" s="673"/>
      <c r="C855" s="147"/>
      <c r="D855" s="674"/>
      <c r="E855" s="674"/>
      <c r="F855" s="674"/>
      <c r="G855" s="674"/>
      <c r="H855" s="674"/>
      <c r="I855" s="674"/>
      <c r="J855" s="674"/>
      <c r="K855" s="674"/>
      <c r="L855" s="674"/>
      <c r="M855" s="676"/>
      <c r="N855" s="674"/>
      <c r="O855" s="675"/>
      <c r="P855" s="466"/>
      <c r="Q855" s="466"/>
      <c r="R855" s="466"/>
      <c r="S855" s="466"/>
      <c r="T855" s="466"/>
      <c r="U855" s="466"/>
      <c r="V855" s="466"/>
    </row>
    <row r="856" spans="2:22" ht="12.75">
      <c r="B856" s="673"/>
      <c r="C856" s="147"/>
      <c r="D856" s="674"/>
      <c r="E856" s="674"/>
      <c r="F856" s="674"/>
      <c r="G856" s="674"/>
      <c r="H856" s="674"/>
      <c r="I856" s="674"/>
      <c r="J856" s="674"/>
      <c r="K856" s="674"/>
      <c r="L856" s="674"/>
      <c r="M856" s="676"/>
      <c r="N856" s="674"/>
      <c r="O856" s="675"/>
      <c r="P856" s="466"/>
      <c r="Q856" s="466"/>
      <c r="R856" s="466"/>
      <c r="S856" s="466"/>
      <c r="T856" s="466"/>
      <c r="U856" s="466"/>
      <c r="V856" s="466"/>
    </row>
    <row r="857" spans="2:22" ht="12.75">
      <c r="B857" s="673"/>
      <c r="C857" s="147"/>
      <c r="D857" s="674"/>
      <c r="E857" s="674"/>
      <c r="F857" s="674"/>
      <c r="G857" s="674"/>
      <c r="H857" s="674"/>
      <c r="I857" s="674"/>
      <c r="J857" s="674"/>
      <c r="K857" s="674"/>
      <c r="L857" s="674"/>
      <c r="M857" s="676"/>
      <c r="N857" s="674"/>
      <c r="O857" s="675"/>
      <c r="P857" s="466"/>
      <c r="Q857" s="466"/>
      <c r="R857" s="466"/>
      <c r="S857" s="466"/>
      <c r="T857" s="466"/>
      <c r="U857" s="466"/>
      <c r="V857" s="466"/>
    </row>
    <row r="858" spans="2:22" ht="12.75">
      <c r="B858" s="673"/>
      <c r="C858" s="147"/>
      <c r="D858" s="674"/>
      <c r="E858" s="674"/>
      <c r="F858" s="674"/>
      <c r="G858" s="674"/>
      <c r="H858" s="674"/>
      <c r="I858" s="674"/>
      <c r="J858" s="674"/>
      <c r="K858" s="674"/>
      <c r="L858" s="674"/>
      <c r="M858" s="676"/>
      <c r="N858" s="674"/>
      <c r="O858" s="675"/>
      <c r="P858" s="466"/>
      <c r="Q858" s="466"/>
      <c r="R858" s="466"/>
      <c r="S858" s="466"/>
      <c r="T858" s="466"/>
      <c r="U858" s="466"/>
      <c r="V858" s="466"/>
    </row>
    <row r="859" spans="2:22" ht="12.75">
      <c r="B859" s="673"/>
      <c r="C859" s="147"/>
      <c r="D859" s="674"/>
      <c r="E859" s="674"/>
      <c r="F859" s="674"/>
      <c r="G859" s="674"/>
      <c r="H859" s="674"/>
      <c r="I859" s="674"/>
      <c r="J859" s="674"/>
      <c r="K859" s="674"/>
      <c r="L859" s="674"/>
      <c r="M859" s="676"/>
      <c r="N859" s="674"/>
      <c r="O859" s="675"/>
      <c r="P859" s="466"/>
      <c r="Q859" s="466"/>
      <c r="R859" s="466"/>
      <c r="S859" s="466"/>
      <c r="T859" s="466"/>
      <c r="U859" s="466"/>
      <c r="V859" s="466"/>
    </row>
    <row r="860" spans="2:22" ht="12.75">
      <c r="B860" s="673"/>
      <c r="C860" s="147"/>
      <c r="D860" s="674"/>
      <c r="E860" s="674"/>
      <c r="F860" s="674"/>
      <c r="G860" s="674"/>
      <c r="H860" s="674"/>
      <c r="I860" s="674"/>
      <c r="J860" s="674"/>
      <c r="K860" s="674"/>
      <c r="L860" s="674"/>
      <c r="M860" s="676"/>
      <c r="N860" s="674"/>
      <c r="O860" s="675"/>
      <c r="P860" s="466"/>
      <c r="Q860" s="466"/>
      <c r="R860" s="466"/>
      <c r="S860" s="466"/>
      <c r="T860" s="466"/>
      <c r="U860" s="466"/>
      <c r="V860" s="466"/>
    </row>
    <row r="861" spans="2:22" ht="12.75">
      <c r="B861" s="673"/>
      <c r="C861" s="147"/>
      <c r="D861" s="674"/>
      <c r="E861" s="674"/>
      <c r="F861" s="674"/>
      <c r="G861" s="674"/>
      <c r="H861" s="674"/>
      <c r="I861" s="674"/>
      <c r="J861" s="674"/>
      <c r="K861" s="674"/>
      <c r="L861" s="674"/>
      <c r="M861" s="676"/>
      <c r="N861" s="674"/>
      <c r="O861" s="675"/>
      <c r="P861" s="466"/>
      <c r="Q861" s="466"/>
      <c r="R861" s="466"/>
      <c r="S861" s="466"/>
      <c r="T861" s="466"/>
      <c r="U861" s="466"/>
      <c r="V861" s="466"/>
    </row>
    <row r="862" spans="2:22" ht="12.75">
      <c r="B862" s="673"/>
      <c r="C862" s="147"/>
      <c r="D862" s="674"/>
      <c r="E862" s="674"/>
      <c r="F862" s="674"/>
      <c r="G862" s="674"/>
      <c r="H862" s="674"/>
      <c r="I862" s="674"/>
      <c r="J862" s="674"/>
      <c r="K862" s="674"/>
      <c r="L862" s="674"/>
      <c r="M862" s="676"/>
      <c r="N862" s="674"/>
      <c r="O862" s="675"/>
      <c r="P862" s="466"/>
      <c r="Q862" s="466"/>
      <c r="R862" s="466"/>
      <c r="S862" s="466"/>
      <c r="T862" s="466"/>
      <c r="U862" s="466"/>
      <c r="V862" s="466"/>
    </row>
    <row r="863" spans="2:22" ht="12.75">
      <c r="B863" s="673"/>
      <c r="C863" s="147"/>
      <c r="D863" s="674"/>
      <c r="E863" s="674"/>
      <c r="F863" s="674"/>
      <c r="G863" s="674"/>
      <c r="H863" s="674"/>
      <c r="I863" s="674"/>
      <c r="J863" s="674"/>
      <c r="K863" s="674"/>
      <c r="L863" s="674"/>
      <c r="M863" s="676"/>
      <c r="N863" s="674"/>
      <c r="O863" s="675"/>
      <c r="P863" s="466"/>
      <c r="Q863" s="466"/>
      <c r="R863" s="466"/>
      <c r="S863" s="466"/>
      <c r="T863" s="466"/>
      <c r="U863" s="466"/>
      <c r="V863" s="466"/>
    </row>
    <row r="864" spans="2:22" ht="12.75">
      <c r="B864" s="673"/>
      <c r="C864" s="147"/>
      <c r="D864" s="674"/>
      <c r="E864" s="674"/>
      <c r="F864" s="674"/>
      <c r="G864" s="674"/>
      <c r="H864" s="674"/>
      <c r="I864" s="674"/>
      <c r="J864" s="674"/>
      <c r="K864" s="674"/>
      <c r="L864" s="674"/>
      <c r="M864" s="676"/>
      <c r="N864" s="674"/>
      <c r="O864" s="675"/>
      <c r="P864" s="466"/>
      <c r="Q864" s="466"/>
      <c r="R864" s="466"/>
      <c r="S864" s="466"/>
      <c r="T864" s="466"/>
      <c r="U864" s="466"/>
      <c r="V864" s="466"/>
    </row>
    <row r="865" spans="2:22" ht="12.75">
      <c r="B865" s="673"/>
      <c r="C865" s="147"/>
      <c r="D865" s="674"/>
      <c r="E865" s="674"/>
      <c r="F865" s="674"/>
      <c r="G865" s="674"/>
      <c r="H865" s="674"/>
      <c r="I865" s="674"/>
      <c r="J865" s="674"/>
      <c r="K865" s="674"/>
      <c r="L865" s="674"/>
      <c r="M865" s="676"/>
      <c r="N865" s="674"/>
      <c r="O865" s="675"/>
      <c r="P865" s="466"/>
      <c r="Q865" s="466"/>
      <c r="R865" s="466"/>
      <c r="S865" s="466"/>
      <c r="T865" s="466"/>
      <c r="U865" s="466"/>
      <c r="V865" s="466"/>
    </row>
    <row r="866" spans="2:22" ht="12.75">
      <c r="B866" s="673"/>
      <c r="C866" s="147"/>
      <c r="D866" s="674"/>
      <c r="E866" s="674"/>
      <c r="F866" s="674"/>
      <c r="G866" s="674"/>
      <c r="H866" s="674"/>
      <c r="I866" s="674"/>
      <c r="J866" s="674"/>
      <c r="K866" s="674"/>
      <c r="L866" s="674"/>
      <c r="M866" s="676"/>
      <c r="N866" s="674"/>
      <c r="O866" s="675"/>
      <c r="P866" s="466"/>
      <c r="Q866" s="466"/>
      <c r="R866" s="466"/>
      <c r="S866" s="466"/>
      <c r="T866" s="466"/>
      <c r="U866" s="466"/>
      <c r="V866" s="466"/>
    </row>
    <row r="867" spans="2:22" ht="12.75">
      <c r="B867" s="673"/>
      <c r="C867" s="147"/>
      <c r="D867" s="674"/>
      <c r="E867" s="674"/>
      <c r="F867" s="674"/>
      <c r="G867" s="674"/>
      <c r="H867" s="674"/>
      <c r="I867" s="674"/>
      <c r="J867" s="674"/>
      <c r="K867" s="674"/>
      <c r="L867" s="674"/>
      <c r="M867" s="676"/>
      <c r="N867" s="674"/>
      <c r="O867" s="675"/>
      <c r="P867" s="466"/>
      <c r="Q867" s="466"/>
      <c r="R867" s="466"/>
      <c r="S867" s="466"/>
      <c r="T867" s="466"/>
      <c r="U867" s="466"/>
      <c r="V867" s="466"/>
    </row>
    <row r="868" spans="2:22" ht="12.75">
      <c r="B868" s="673"/>
      <c r="C868" s="147"/>
      <c r="D868" s="674"/>
      <c r="E868" s="674"/>
      <c r="F868" s="674"/>
      <c r="G868" s="674"/>
      <c r="H868" s="674"/>
      <c r="I868" s="674"/>
      <c r="J868" s="674"/>
      <c r="K868" s="674"/>
      <c r="L868" s="674"/>
      <c r="M868" s="676"/>
      <c r="N868" s="674"/>
      <c r="O868" s="675"/>
      <c r="P868" s="466"/>
      <c r="Q868" s="466"/>
      <c r="R868" s="466"/>
      <c r="S868" s="466"/>
      <c r="T868" s="466"/>
      <c r="U868" s="466"/>
      <c r="V868" s="466"/>
    </row>
    <row r="869" spans="2:22" ht="12.75">
      <c r="B869" s="673"/>
      <c r="C869" s="147"/>
      <c r="D869" s="674"/>
      <c r="E869" s="674"/>
      <c r="F869" s="674"/>
      <c r="G869" s="674"/>
      <c r="H869" s="674"/>
      <c r="I869" s="674"/>
      <c r="J869" s="674"/>
      <c r="K869" s="674"/>
      <c r="L869" s="674"/>
      <c r="M869" s="676"/>
      <c r="N869" s="674"/>
      <c r="O869" s="675"/>
      <c r="P869" s="466"/>
      <c r="Q869" s="466"/>
      <c r="R869" s="466"/>
      <c r="S869" s="466"/>
      <c r="T869" s="466"/>
      <c r="U869" s="466"/>
      <c r="V869" s="466"/>
    </row>
    <row r="870" spans="2:22" ht="12.75">
      <c r="B870" s="673"/>
      <c r="C870" s="147"/>
      <c r="D870" s="674"/>
      <c r="E870" s="674"/>
      <c r="F870" s="674"/>
      <c r="G870" s="674"/>
      <c r="H870" s="674"/>
      <c r="I870" s="674"/>
      <c r="J870" s="674"/>
      <c r="K870" s="674"/>
      <c r="L870" s="674"/>
      <c r="M870" s="676"/>
      <c r="N870" s="674"/>
      <c r="O870" s="675"/>
      <c r="P870" s="466"/>
      <c r="Q870" s="466"/>
      <c r="R870" s="466"/>
      <c r="S870" s="466"/>
      <c r="T870" s="466"/>
      <c r="U870" s="466"/>
      <c r="V870" s="466"/>
    </row>
    <row r="871" spans="2:22" ht="12.75">
      <c r="B871" s="673"/>
      <c r="C871" s="147"/>
      <c r="D871" s="674"/>
      <c r="E871" s="674"/>
      <c r="F871" s="674"/>
      <c r="G871" s="674"/>
      <c r="H871" s="674"/>
      <c r="I871" s="674"/>
      <c r="J871" s="674"/>
      <c r="K871" s="674"/>
      <c r="L871" s="674"/>
      <c r="M871" s="676"/>
      <c r="N871" s="674"/>
      <c r="O871" s="675"/>
      <c r="P871" s="466"/>
      <c r="Q871" s="466"/>
      <c r="R871" s="466"/>
      <c r="S871" s="466"/>
      <c r="T871" s="466"/>
      <c r="U871" s="466"/>
      <c r="V871" s="466"/>
    </row>
    <row r="872" spans="2:22" ht="12.75">
      <c r="B872" s="673"/>
      <c r="C872" s="147"/>
      <c r="D872" s="674"/>
      <c r="E872" s="674"/>
      <c r="F872" s="674"/>
      <c r="G872" s="674"/>
      <c r="H872" s="674"/>
      <c r="I872" s="674"/>
      <c r="J872" s="674"/>
      <c r="K872" s="674"/>
      <c r="L872" s="674"/>
      <c r="M872" s="676"/>
      <c r="N872" s="674"/>
      <c r="O872" s="675"/>
      <c r="P872" s="466"/>
      <c r="Q872" s="466"/>
      <c r="R872" s="466"/>
      <c r="S872" s="466"/>
      <c r="T872" s="466"/>
      <c r="U872" s="466"/>
      <c r="V872" s="466"/>
    </row>
    <row r="873" spans="2:22" ht="12.75">
      <c r="B873" s="673"/>
      <c r="C873" s="147"/>
      <c r="D873" s="674"/>
      <c r="E873" s="674"/>
      <c r="F873" s="674"/>
      <c r="G873" s="674"/>
      <c r="H873" s="674"/>
      <c r="I873" s="674"/>
      <c r="J873" s="674"/>
      <c r="K873" s="674"/>
      <c r="L873" s="674"/>
      <c r="M873" s="676"/>
      <c r="N873" s="674"/>
      <c r="O873" s="675"/>
      <c r="P873" s="466"/>
      <c r="Q873" s="466"/>
      <c r="R873" s="466"/>
      <c r="S873" s="466"/>
      <c r="T873" s="466"/>
      <c r="U873" s="466"/>
      <c r="V873" s="466"/>
    </row>
    <row r="874" spans="2:22" ht="12.75">
      <c r="B874" s="673"/>
      <c r="C874" s="147"/>
      <c r="D874" s="674"/>
      <c r="E874" s="674"/>
      <c r="F874" s="674"/>
      <c r="G874" s="674"/>
      <c r="H874" s="674"/>
      <c r="I874" s="674"/>
      <c r="J874" s="674"/>
      <c r="K874" s="674"/>
      <c r="L874" s="674"/>
      <c r="M874" s="676"/>
      <c r="N874" s="674"/>
      <c r="O874" s="675"/>
      <c r="P874" s="466"/>
      <c r="Q874" s="466"/>
      <c r="R874" s="466"/>
      <c r="S874" s="466"/>
      <c r="T874" s="466"/>
      <c r="U874" s="466"/>
      <c r="V874" s="466"/>
    </row>
    <row r="875" spans="2:22" ht="12.75">
      <c r="B875" s="673"/>
      <c r="C875" s="147"/>
      <c r="D875" s="674"/>
      <c r="E875" s="674"/>
      <c r="F875" s="674"/>
      <c r="G875" s="674"/>
      <c r="H875" s="674"/>
      <c r="I875" s="674"/>
      <c r="J875" s="674"/>
      <c r="K875" s="674"/>
      <c r="L875" s="674"/>
      <c r="M875" s="676"/>
      <c r="N875" s="674"/>
      <c r="O875" s="675"/>
      <c r="P875" s="466"/>
      <c r="Q875" s="466"/>
      <c r="R875" s="466"/>
      <c r="S875" s="466"/>
      <c r="T875" s="466"/>
      <c r="U875" s="466"/>
      <c r="V875" s="466"/>
    </row>
    <row r="876" spans="2:22" ht="12.75">
      <c r="B876" s="673"/>
      <c r="C876" s="147"/>
      <c r="D876" s="674"/>
      <c r="E876" s="674"/>
      <c r="F876" s="674"/>
      <c r="G876" s="674"/>
      <c r="H876" s="674"/>
      <c r="I876" s="674"/>
      <c r="J876" s="674"/>
      <c r="K876" s="674"/>
      <c r="L876" s="674"/>
      <c r="M876" s="676"/>
      <c r="N876" s="674"/>
      <c r="O876" s="675"/>
      <c r="P876" s="466"/>
      <c r="Q876" s="466"/>
      <c r="R876" s="466"/>
      <c r="S876" s="466"/>
      <c r="T876" s="466"/>
      <c r="U876" s="466"/>
      <c r="V876" s="466"/>
    </row>
    <row r="877" spans="2:22" ht="12.75">
      <c r="B877" s="673"/>
      <c r="C877" s="147"/>
      <c r="D877" s="674"/>
      <c r="E877" s="674"/>
      <c r="F877" s="674"/>
      <c r="G877" s="674"/>
      <c r="H877" s="674"/>
      <c r="I877" s="674"/>
      <c r="J877" s="674"/>
      <c r="K877" s="674"/>
      <c r="L877" s="674"/>
      <c r="M877" s="676"/>
      <c r="N877" s="674"/>
      <c r="O877" s="675"/>
      <c r="P877" s="466"/>
      <c r="Q877" s="466"/>
      <c r="R877" s="466"/>
      <c r="S877" s="466"/>
      <c r="T877" s="466"/>
      <c r="U877" s="466"/>
      <c r="V877" s="466"/>
    </row>
    <row r="878" spans="2:22" ht="12.75">
      <c r="B878" s="673"/>
      <c r="C878" s="147"/>
      <c r="D878" s="674"/>
      <c r="E878" s="674"/>
      <c r="F878" s="674"/>
      <c r="G878" s="674"/>
      <c r="H878" s="674"/>
      <c r="I878" s="674"/>
      <c r="J878" s="674"/>
      <c r="K878" s="674"/>
      <c r="L878" s="674"/>
      <c r="M878" s="676"/>
      <c r="N878" s="674"/>
      <c r="O878" s="675"/>
      <c r="P878" s="466"/>
      <c r="Q878" s="466"/>
      <c r="R878" s="466"/>
      <c r="S878" s="466"/>
      <c r="T878" s="466"/>
      <c r="U878" s="466"/>
      <c r="V878" s="466"/>
    </row>
    <row r="879" spans="2:22" ht="12.75">
      <c r="B879" s="673"/>
      <c r="C879" s="147"/>
      <c r="D879" s="674"/>
      <c r="E879" s="674"/>
      <c r="F879" s="674"/>
      <c r="G879" s="674"/>
      <c r="H879" s="674"/>
      <c r="I879" s="674"/>
      <c r="J879" s="674"/>
      <c r="K879" s="674"/>
      <c r="L879" s="674"/>
      <c r="M879" s="676"/>
      <c r="N879" s="674"/>
      <c r="O879" s="675"/>
      <c r="P879" s="466"/>
      <c r="Q879" s="466"/>
      <c r="R879" s="466"/>
      <c r="S879" s="466"/>
      <c r="T879" s="466"/>
      <c r="U879" s="466"/>
      <c r="V879" s="466"/>
    </row>
    <row r="880" spans="2:22" ht="12.75">
      <c r="B880" s="673"/>
      <c r="C880" s="147"/>
      <c r="D880" s="674"/>
      <c r="E880" s="674"/>
      <c r="F880" s="674"/>
      <c r="G880" s="674"/>
      <c r="H880" s="674"/>
      <c r="I880" s="674"/>
      <c r="J880" s="674"/>
      <c r="K880" s="674"/>
      <c r="L880" s="674"/>
      <c r="M880" s="676"/>
      <c r="N880" s="674"/>
      <c r="O880" s="675"/>
      <c r="P880" s="466"/>
      <c r="Q880" s="466"/>
      <c r="R880" s="466"/>
      <c r="S880" s="466"/>
      <c r="T880" s="466"/>
      <c r="U880" s="466"/>
      <c r="V880" s="466"/>
    </row>
    <row r="881" spans="2:22" ht="12.75">
      <c r="B881" s="673"/>
      <c r="C881" s="147"/>
      <c r="D881" s="674"/>
      <c r="E881" s="674"/>
      <c r="F881" s="674"/>
      <c r="G881" s="674"/>
      <c r="H881" s="674"/>
      <c r="I881" s="674"/>
      <c r="J881" s="674"/>
      <c r="K881" s="674"/>
      <c r="L881" s="674"/>
      <c r="M881" s="676"/>
      <c r="N881" s="674"/>
      <c r="O881" s="675"/>
      <c r="P881" s="466"/>
      <c r="Q881" s="466"/>
      <c r="R881" s="466"/>
      <c r="S881" s="466"/>
      <c r="T881" s="466"/>
      <c r="U881" s="466"/>
      <c r="V881" s="466"/>
    </row>
    <row r="882" spans="2:22" ht="12.75">
      <c r="B882" s="673"/>
      <c r="C882" s="147"/>
      <c r="D882" s="674"/>
      <c r="E882" s="674"/>
      <c r="F882" s="674"/>
      <c r="G882" s="674"/>
      <c r="H882" s="674"/>
      <c r="I882" s="674"/>
      <c r="J882" s="674"/>
      <c r="K882" s="674"/>
      <c r="L882" s="674"/>
      <c r="M882" s="676"/>
      <c r="N882" s="674"/>
      <c r="O882" s="675"/>
      <c r="P882" s="466"/>
      <c r="Q882" s="466"/>
      <c r="R882" s="466"/>
      <c r="S882" s="466"/>
      <c r="T882" s="466"/>
      <c r="U882" s="466"/>
      <c r="V882" s="466"/>
    </row>
    <row r="883" spans="2:22" ht="12.75">
      <c r="B883" s="673"/>
      <c r="C883" s="147"/>
      <c r="D883" s="674"/>
      <c r="E883" s="674"/>
      <c r="F883" s="674"/>
      <c r="G883" s="674"/>
      <c r="H883" s="674"/>
      <c r="I883" s="674"/>
      <c r="J883" s="674"/>
      <c r="K883" s="674"/>
      <c r="L883" s="674"/>
      <c r="M883" s="676"/>
      <c r="N883" s="674"/>
      <c r="O883" s="675"/>
      <c r="P883" s="466"/>
      <c r="Q883" s="466"/>
      <c r="R883" s="466"/>
      <c r="S883" s="466"/>
      <c r="T883" s="466"/>
      <c r="U883" s="466"/>
      <c r="V883" s="466"/>
    </row>
    <row r="884" spans="2:22" ht="12.75">
      <c r="B884" s="673"/>
      <c r="C884" s="147"/>
      <c r="D884" s="674"/>
      <c r="E884" s="674"/>
      <c r="F884" s="674"/>
      <c r="G884" s="674"/>
      <c r="H884" s="674"/>
      <c r="I884" s="674"/>
      <c r="J884" s="674"/>
      <c r="K884" s="674"/>
      <c r="L884" s="674"/>
      <c r="M884" s="676"/>
      <c r="N884" s="674"/>
      <c r="O884" s="675"/>
      <c r="P884" s="466"/>
      <c r="Q884" s="466"/>
      <c r="R884" s="466"/>
      <c r="S884" s="466"/>
      <c r="T884" s="466"/>
      <c r="U884" s="466"/>
      <c r="V884" s="466"/>
    </row>
    <row r="885" spans="2:22" ht="12.75">
      <c r="B885" s="673"/>
      <c r="C885" s="147"/>
      <c r="D885" s="674"/>
      <c r="E885" s="674"/>
      <c r="F885" s="674"/>
      <c r="G885" s="674"/>
      <c r="H885" s="674"/>
      <c r="I885" s="674"/>
      <c r="J885" s="674"/>
      <c r="K885" s="674"/>
      <c r="L885" s="674"/>
      <c r="M885" s="676"/>
      <c r="N885" s="674"/>
      <c r="O885" s="675"/>
      <c r="P885" s="466"/>
      <c r="Q885" s="466"/>
      <c r="R885" s="466"/>
      <c r="S885" s="466"/>
      <c r="T885" s="466"/>
      <c r="U885" s="466"/>
      <c r="V885" s="466"/>
    </row>
    <row r="886" spans="2:22" ht="12.75">
      <c r="B886" s="673"/>
      <c r="C886" s="147"/>
      <c r="D886" s="674"/>
      <c r="E886" s="674"/>
      <c r="F886" s="674"/>
      <c r="G886" s="674"/>
      <c r="H886" s="674"/>
      <c r="I886" s="674"/>
      <c r="J886" s="674"/>
      <c r="K886" s="674"/>
      <c r="L886" s="674"/>
      <c r="M886" s="676"/>
      <c r="N886" s="674"/>
      <c r="O886" s="675"/>
      <c r="P886" s="466"/>
      <c r="Q886" s="466"/>
      <c r="R886" s="466"/>
      <c r="S886" s="466"/>
      <c r="T886" s="466"/>
      <c r="U886" s="466"/>
      <c r="V886" s="466"/>
    </row>
    <row r="887" spans="2:22" ht="12.75">
      <c r="B887" s="673"/>
      <c r="C887" s="147"/>
      <c r="D887" s="674"/>
      <c r="E887" s="674"/>
      <c r="F887" s="674"/>
      <c r="G887" s="674"/>
      <c r="H887" s="674"/>
      <c r="I887" s="674"/>
      <c r="J887" s="674"/>
      <c r="K887" s="674"/>
      <c r="L887" s="674"/>
      <c r="M887" s="676"/>
      <c r="N887" s="674"/>
      <c r="O887" s="675"/>
      <c r="P887" s="466"/>
      <c r="Q887" s="466"/>
      <c r="R887" s="466"/>
      <c r="S887" s="466"/>
      <c r="T887" s="466"/>
      <c r="U887" s="466"/>
      <c r="V887" s="466"/>
    </row>
    <row r="888" spans="2:22" ht="12.75">
      <c r="B888" s="673"/>
      <c r="C888" s="147"/>
      <c r="D888" s="674"/>
      <c r="E888" s="674"/>
      <c r="F888" s="674"/>
      <c r="G888" s="674"/>
      <c r="H888" s="674"/>
      <c r="I888" s="674"/>
      <c r="J888" s="674"/>
      <c r="K888" s="674"/>
      <c r="L888" s="674"/>
      <c r="M888" s="676"/>
      <c r="N888" s="674"/>
      <c r="O888" s="675"/>
      <c r="P888" s="466"/>
      <c r="Q888" s="466"/>
      <c r="R888" s="466"/>
      <c r="S888" s="466"/>
      <c r="T888" s="466"/>
      <c r="U888" s="466"/>
      <c r="V888" s="466"/>
    </row>
    <row r="889" spans="2:22" ht="12.75">
      <c r="B889" s="673"/>
      <c r="C889" s="147"/>
      <c r="D889" s="674"/>
      <c r="E889" s="674"/>
      <c r="F889" s="674"/>
      <c r="G889" s="674"/>
      <c r="H889" s="674"/>
      <c r="I889" s="674"/>
      <c r="J889" s="674"/>
      <c r="K889" s="674"/>
      <c r="L889" s="674"/>
      <c r="M889" s="676"/>
      <c r="N889" s="674"/>
      <c r="O889" s="675"/>
      <c r="P889" s="466"/>
      <c r="Q889" s="466"/>
      <c r="R889" s="466"/>
      <c r="S889" s="466"/>
      <c r="T889" s="466"/>
      <c r="U889" s="466"/>
      <c r="V889" s="466"/>
    </row>
    <row r="890" spans="2:22" ht="12.75">
      <c r="B890" s="673"/>
      <c r="C890" s="147"/>
      <c r="D890" s="674"/>
      <c r="E890" s="674"/>
      <c r="F890" s="674"/>
      <c r="G890" s="674"/>
      <c r="H890" s="674"/>
      <c r="I890" s="674"/>
      <c r="J890" s="674"/>
      <c r="K890" s="674"/>
      <c r="L890" s="674"/>
      <c r="M890" s="676"/>
      <c r="N890" s="674"/>
      <c r="O890" s="675"/>
      <c r="P890" s="466"/>
      <c r="Q890" s="466"/>
      <c r="R890" s="466"/>
      <c r="S890" s="466"/>
      <c r="T890" s="466"/>
      <c r="U890" s="466"/>
      <c r="V890" s="466"/>
    </row>
    <row r="891" spans="2:22" ht="12.75">
      <c r="B891" s="673"/>
      <c r="C891" s="147"/>
      <c r="D891" s="674"/>
      <c r="E891" s="674"/>
      <c r="F891" s="674"/>
      <c r="G891" s="674"/>
      <c r="H891" s="674"/>
      <c r="I891" s="674"/>
      <c r="J891" s="674"/>
      <c r="K891" s="674"/>
      <c r="L891" s="674"/>
      <c r="M891" s="676"/>
      <c r="N891" s="674"/>
      <c r="O891" s="675"/>
      <c r="P891" s="466"/>
      <c r="Q891" s="466"/>
      <c r="R891" s="466"/>
      <c r="S891" s="466"/>
      <c r="T891" s="466"/>
      <c r="U891" s="466"/>
      <c r="V891" s="466"/>
    </row>
    <row r="892" spans="2:22" ht="12.75">
      <c r="B892" s="673"/>
      <c r="C892" s="147"/>
      <c r="D892" s="674"/>
      <c r="E892" s="674"/>
      <c r="F892" s="674"/>
      <c r="G892" s="674"/>
      <c r="H892" s="674"/>
      <c r="I892" s="674"/>
      <c r="J892" s="674"/>
      <c r="K892" s="674"/>
      <c r="L892" s="674"/>
      <c r="M892" s="676"/>
      <c r="N892" s="674"/>
      <c r="O892" s="675"/>
      <c r="P892" s="466"/>
      <c r="Q892" s="466"/>
      <c r="R892" s="466"/>
      <c r="S892" s="466"/>
      <c r="T892" s="466"/>
      <c r="U892" s="466"/>
      <c r="V892" s="466"/>
    </row>
    <row r="893" spans="2:22" ht="12.75">
      <c r="B893" s="673"/>
      <c r="C893" s="147"/>
      <c r="D893" s="674"/>
      <c r="E893" s="674"/>
      <c r="F893" s="674"/>
      <c r="G893" s="674"/>
      <c r="H893" s="674"/>
      <c r="I893" s="674"/>
      <c r="J893" s="674"/>
      <c r="K893" s="674"/>
      <c r="L893" s="674"/>
      <c r="M893" s="676"/>
      <c r="N893" s="674"/>
      <c r="O893" s="675"/>
      <c r="P893" s="466"/>
      <c r="Q893" s="466"/>
      <c r="R893" s="466"/>
      <c r="S893" s="466"/>
      <c r="T893" s="466"/>
      <c r="U893" s="466"/>
      <c r="V893" s="466"/>
    </row>
    <row r="894" spans="2:22" ht="12.75">
      <c r="B894" s="673"/>
      <c r="C894" s="147"/>
      <c r="D894" s="674"/>
      <c r="E894" s="674"/>
      <c r="F894" s="674"/>
      <c r="G894" s="674"/>
      <c r="H894" s="674"/>
      <c r="I894" s="674"/>
      <c r="J894" s="674"/>
      <c r="K894" s="674"/>
      <c r="L894" s="674"/>
      <c r="M894" s="676"/>
      <c r="N894" s="674"/>
      <c r="O894" s="675"/>
      <c r="P894" s="466"/>
      <c r="Q894" s="466"/>
      <c r="R894" s="466"/>
      <c r="S894" s="466"/>
      <c r="T894" s="466"/>
      <c r="U894" s="466"/>
      <c r="V894" s="466"/>
    </row>
    <row r="895" spans="2:22" ht="12.75">
      <c r="B895" s="673"/>
      <c r="C895" s="147"/>
      <c r="D895" s="674"/>
      <c r="E895" s="674"/>
      <c r="F895" s="674"/>
      <c r="G895" s="674"/>
      <c r="H895" s="674"/>
      <c r="I895" s="674"/>
      <c r="J895" s="674"/>
      <c r="K895" s="674"/>
      <c r="L895" s="674"/>
      <c r="M895" s="676"/>
      <c r="N895" s="674"/>
      <c r="O895" s="675"/>
      <c r="P895" s="466"/>
      <c r="Q895" s="466"/>
      <c r="R895" s="466"/>
      <c r="S895" s="466"/>
      <c r="T895" s="466"/>
      <c r="U895" s="466"/>
      <c r="V895" s="466"/>
    </row>
    <row r="896" spans="2:22" ht="12.75">
      <c r="B896" s="673"/>
      <c r="C896" s="147"/>
      <c r="D896" s="674"/>
      <c r="E896" s="674"/>
      <c r="F896" s="674"/>
      <c r="G896" s="674"/>
      <c r="H896" s="674"/>
      <c r="I896" s="674"/>
      <c r="J896" s="674"/>
      <c r="K896" s="674"/>
      <c r="L896" s="674"/>
      <c r="M896" s="676"/>
      <c r="N896" s="674"/>
      <c r="O896" s="675"/>
      <c r="P896" s="466"/>
      <c r="Q896" s="466"/>
      <c r="R896" s="466"/>
      <c r="S896" s="466"/>
      <c r="T896" s="466"/>
      <c r="U896" s="466"/>
      <c r="V896" s="466"/>
    </row>
    <row r="897" spans="2:22" ht="12.75">
      <c r="B897" s="673"/>
      <c r="C897" s="147"/>
      <c r="D897" s="674"/>
      <c r="E897" s="674"/>
      <c r="F897" s="674"/>
      <c r="G897" s="674"/>
      <c r="H897" s="674"/>
      <c r="I897" s="674"/>
      <c r="J897" s="674"/>
      <c r="K897" s="674"/>
      <c r="L897" s="674"/>
      <c r="M897" s="676"/>
      <c r="N897" s="674"/>
      <c r="O897" s="675"/>
      <c r="P897" s="466"/>
      <c r="Q897" s="466"/>
      <c r="R897" s="466"/>
      <c r="S897" s="466"/>
      <c r="T897" s="466"/>
      <c r="U897" s="466"/>
      <c r="V897" s="466"/>
    </row>
    <row r="898" spans="2:22" ht="12.75">
      <c r="B898" s="673"/>
      <c r="C898" s="147"/>
      <c r="D898" s="674"/>
      <c r="E898" s="674"/>
      <c r="F898" s="674"/>
      <c r="G898" s="674"/>
      <c r="H898" s="674"/>
      <c r="I898" s="674"/>
      <c r="J898" s="674"/>
      <c r="K898" s="674"/>
      <c r="L898" s="674"/>
      <c r="M898" s="676"/>
      <c r="N898" s="674"/>
      <c r="O898" s="675"/>
      <c r="P898" s="466"/>
      <c r="Q898" s="466"/>
      <c r="R898" s="466"/>
      <c r="S898" s="466"/>
      <c r="T898" s="466"/>
      <c r="U898" s="466"/>
      <c r="V898" s="466"/>
    </row>
    <row r="899" spans="2:22" ht="12.75">
      <c r="B899" s="673"/>
      <c r="C899" s="147"/>
      <c r="D899" s="674"/>
      <c r="E899" s="674"/>
      <c r="F899" s="674"/>
      <c r="G899" s="674"/>
      <c r="H899" s="674"/>
      <c r="I899" s="674"/>
      <c r="J899" s="674"/>
      <c r="K899" s="674"/>
      <c r="L899" s="674"/>
      <c r="M899" s="676"/>
      <c r="N899" s="674"/>
      <c r="O899" s="675"/>
      <c r="P899" s="466"/>
      <c r="Q899" s="466"/>
      <c r="R899" s="466"/>
      <c r="S899" s="466"/>
      <c r="T899" s="466"/>
      <c r="U899" s="466"/>
      <c r="V899" s="466"/>
    </row>
    <row r="900" spans="2:22" ht="12.75">
      <c r="B900" s="673"/>
      <c r="C900" s="147"/>
      <c r="D900" s="674"/>
      <c r="E900" s="674"/>
      <c r="F900" s="674"/>
      <c r="G900" s="674"/>
      <c r="H900" s="674"/>
      <c r="I900" s="674"/>
      <c r="J900" s="674"/>
      <c r="K900" s="674"/>
      <c r="L900" s="674"/>
      <c r="M900" s="676"/>
      <c r="N900" s="674"/>
      <c r="O900" s="675"/>
      <c r="P900" s="466"/>
      <c r="Q900" s="466"/>
      <c r="R900" s="466"/>
      <c r="S900" s="466"/>
      <c r="T900" s="466"/>
      <c r="U900" s="466"/>
      <c r="V900" s="466"/>
    </row>
    <row r="901" spans="2:22" ht="12.75">
      <c r="B901" s="673"/>
      <c r="C901" s="147"/>
      <c r="D901" s="674"/>
      <c r="E901" s="674"/>
      <c r="F901" s="674"/>
      <c r="G901" s="674"/>
      <c r="H901" s="674"/>
      <c r="I901" s="674"/>
      <c r="J901" s="674"/>
      <c r="K901" s="674"/>
      <c r="L901" s="674"/>
      <c r="M901" s="676"/>
      <c r="N901" s="674"/>
      <c r="O901" s="675"/>
      <c r="P901" s="466"/>
      <c r="Q901" s="466"/>
      <c r="R901" s="466"/>
      <c r="S901" s="466"/>
      <c r="T901" s="466"/>
      <c r="U901" s="466"/>
      <c r="V901" s="466"/>
    </row>
    <row r="902" spans="2:22" ht="12.75">
      <c r="B902" s="673"/>
      <c r="C902" s="147"/>
      <c r="D902" s="674"/>
      <c r="E902" s="674"/>
      <c r="F902" s="674"/>
      <c r="G902" s="674"/>
      <c r="H902" s="674"/>
      <c r="I902" s="674"/>
      <c r="J902" s="674"/>
      <c r="K902" s="674"/>
      <c r="L902" s="674"/>
      <c r="M902" s="676"/>
      <c r="N902" s="674"/>
      <c r="O902" s="675"/>
      <c r="P902" s="466"/>
      <c r="Q902" s="466"/>
      <c r="R902" s="466"/>
      <c r="S902" s="466"/>
      <c r="T902" s="466"/>
      <c r="U902" s="466"/>
      <c r="V902" s="466"/>
    </row>
    <row r="903" spans="2:22" ht="12.75">
      <c r="B903" s="673"/>
      <c r="C903" s="147"/>
      <c r="D903" s="674"/>
      <c r="E903" s="674"/>
      <c r="F903" s="674"/>
      <c r="G903" s="674"/>
      <c r="H903" s="674"/>
      <c r="I903" s="674"/>
      <c r="J903" s="674"/>
      <c r="K903" s="674"/>
      <c r="L903" s="674"/>
      <c r="M903" s="676"/>
      <c r="N903" s="674"/>
      <c r="O903" s="675"/>
      <c r="P903" s="466"/>
      <c r="Q903" s="466"/>
      <c r="R903" s="466"/>
      <c r="S903" s="466"/>
      <c r="T903" s="466"/>
      <c r="U903" s="466"/>
      <c r="V903" s="466"/>
    </row>
    <row r="904" spans="2:22" ht="12.75">
      <c r="B904" s="673"/>
      <c r="C904" s="147"/>
      <c r="D904" s="674"/>
      <c r="E904" s="674"/>
      <c r="F904" s="674"/>
      <c r="G904" s="674"/>
      <c r="H904" s="674"/>
      <c r="I904" s="674"/>
      <c r="J904" s="674"/>
      <c r="K904" s="674"/>
      <c r="L904" s="674"/>
      <c r="M904" s="676"/>
      <c r="N904" s="674"/>
      <c r="O904" s="675"/>
      <c r="P904" s="466"/>
      <c r="Q904" s="466"/>
      <c r="R904" s="466"/>
      <c r="S904" s="466"/>
      <c r="T904" s="466"/>
      <c r="U904" s="466"/>
      <c r="V904" s="466"/>
    </row>
    <row r="905" spans="2:22" ht="12.75">
      <c r="B905" s="673"/>
      <c r="C905" s="147"/>
      <c r="D905" s="674"/>
      <c r="E905" s="674"/>
      <c r="F905" s="674"/>
      <c r="G905" s="674"/>
      <c r="H905" s="674"/>
      <c r="I905" s="674"/>
      <c r="J905" s="674"/>
      <c r="K905" s="674"/>
      <c r="L905" s="674"/>
      <c r="M905" s="676"/>
      <c r="N905" s="674"/>
      <c r="O905" s="675"/>
      <c r="P905" s="466"/>
      <c r="Q905" s="466"/>
      <c r="R905" s="466"/>
      <c r="S905" s="466"/>
      <c r="T905" s="466"/>
      <c r="U905" s="466"/>
      <c r="V905" s="466"/>
    </row>
    <row r="906" spans="2:22" ht="12.75">
      <c r="B906" s="673"/>
      <c r="C906" s="147"/>
      <c r="D906" s="674"/>
      <c r="E906" s="674"/>
      <c r="F906" s="674"/>
      <c r="G906" s="674"/>
      <c r="H906" s="674"/>
      <c r="I906" s="674"/>
      <c r="J906" s="674"/>
      <c r="K906" s="674"/>
      <c r="L906" s="674"/>
      <c r="M906" s="676"/>
      <c r="N906" s="674"/>
      <c r="O906" s="675"/>
      <c r="P906" s="466"/>
      <c r="Q906" s="466"/>
      <c r="R906" s="466"/>
      <c r="S906" s="466"/>
      <c r="T906" s="466"/>
      <c r="U906" s="466"/>
      <c r="V906" s="466"/>
    </row>
    <row r="907" spans="2:22" ht="12.75">
      <c r="B907" s="673"/>
      <c r="C907" s="147"/>
      <c r="D907" s="674"/>
      <c r="E907" s="674"/>
      <c r="F907" s="674"/>
      <c r="G907" s="674"/>
      <c r="H907" s="674"/>
      <c r="I907" s="674"/>
      <c r="J907" s="674"/>
      <c r="K907" s="674"/>
      <c r="L907" s="674"/>
      <c r="M907" s="676"/>
      <c r="N907" s="674"/>
      <c r="O907" s="675"/>
      <c r="P907" s="466"/>
      <c r="Q907" s="466"/>
      <c r="R907" s="466"/>
      <c r="S907" s="466"/>
      <c r="T907" s="466"/>
      <c r="U907" s="466"/>
      <c r="V907" s="466"/>
    </row>
    <row r="908" spans="2:22" ht="12.75">
      <c r="B908" s="673"/>
      <c r="C908" s="147"/>
      <c r="D908" s="674"/>
      <c r="E908" s="674"/>
      <c r="F908" s="674"/>
      <c r="G908" s="674"/>
      <c r="H908" s="674"/>
      <c r="I908" s="674"/>
      <c r="J908" s="674"/>
      <c r="K908" s="674"/>
      <c r="L908" s="674"/>
      <c r="M908" s="676"/>
      <c r="N908" s="674"/>
      <c r="O908" s="675"/>
      <c r="P908" s="466"/>
      <c r="Q908" s="466"/>
      <c r="R908" s="466"/>
      <c r="S908" s="466"/>
      <c r="T908" s="466"/>
      <c r="U908" s="466"/>
      <c r="V908" s="466"/>
    </row>
    <row r="909" spans="2:22" ht="12.75">
      <c r="B909" s="673"/>
      <c r="C909" s="147"/>
      <c r="D909" s="674"/>
      <c r="E909" s="674"/>
      <c r="F909" s="674"/>
      <c r="G909" s="674"/>
      <c r="H909" s="674"/>
      <c r="I909" s="674"/>
      <c r="J909" s="674"/>
      <c r="K909" s="674"/>
      <c r="L909" s="674"/>
      <c r="M909" s="676"/>
      <c r="N909" s="674"/>
      <c r="O909" s="675"/>
      <c r="P909" s="466"/>
      <c r="Q909" s="466"/>
      <c r="R909" s="466"/>
      <c r="S909" s="466"/>
      <c r="T909" s="466"/>
      <c r="U909" s="466"/>
      <c r="V909" s="466"/>
    </row>
    <row r="910" spans="2:22" ht="12.75">
      <c r="B910" s="673"/>
      <c r="C910" s="147"/>
      <c r="D910" s="674"/>
      <c r="E910" s="674"/>
      <c r="F910" s="674"/>
      <c r="G910" s="674"/>
      <c r="H910" s="674"/>
      <c r="I910" s="674"/>
      <c r="J910" s="674"/>
      <c r="K910" s="674"/>
      <c r="L910" s="674"/>
      <c r="M910" s="676"/>
      <c r="N910" s="674"/>
      <c r="O910" s="675"/>
      <c r="P910" s="466"/>
      <c r="Q910" s="466"/>
      <c r="R910" s="466"/>
      <c r="S910" s="466"/>
      <c r="T910" s="466"/>
      <c r="U910" s="466"/>
      <c r="V910" s="466"/>
    </row>
    <row r="911" spans="2:22" ht="12.75">
      <c r="B911" s="466"/>
      <c r="D911" s="466"/>
      <c r="E911" s="466"/>
      <c r="F911" s="466"/>
      <c r="G911" s="466"/>
      <c r="H911" s="466"/>
      <c r="I911" s="466"/>
      <c r="J911" s="466"/>
      <c r="K911" s="466"/>
      <c r="L911" s="466"/>
      <c r="M911" s="656"/>
      <c r="N911" s="466"/>
      <c r="O911" s="656"/>
      <c r="P911" s="466"/>
      <c r="Q911" s="466"/>
      <c r="R911" s="466"/>
      <c r="S911" s="466"/>
      <c r="T911" s="466"/>
      <c r="U911" s="466"/>
      <c r="V911" s="466"/>
    </row>
    <row r="912" spans="2:22" ht="12.75">
      <c r="B912" s="466"/>
      <c r="D912" s="466"/>
      <c r="E912" s="466"/>
      <c r="F912" s="466"/>
      <c r="G912" s="466"/>
      <c r="H912" s="466"/>
      <c r="I912" s="466"/>
      <c r="J912" s="466"/>
      <c r="K912" s="466"/>
      <c r="L912" s="466"/>
      <c r="M912" s="656"/>
      <c r="N912" s="466"/>
      <c r="O912" s="656"/>
      <c r="P912" s="466"/>
      <c r="Q912" s="466"/>
      <c r="R912" s="466"/>
      <c r="S912" s="466"/>
      <c r="T912" s="466"/>
      <c r="U912" s="466"/>
      <c r="V912" s="466"/>
    </row>
    <row r="913" spans="2:22" ht="12.75">
      <c r="B913" s="466"/>
      <c r="D913" s="466"/>
      <c r="E913" s="466"/>
      <c r="F913" s="466"/>
      <c r="G913" s="466"/>
      <c r="H913" s="466"/>
      <c r="I913" s="466"/>
      <c r="J913" s="466"/>
      <c r="K913" s="466"/>
      <c r="L913" s="466"/>
      <c r="M913" s="656"/>
      <c r="N913" s="466"/>
      <c r="O913" s="656"/>
      <c r="P913" s="466"/>
      <c r="Q913" s="466"/>
      <c r="R913" s="466"/>
      <c r="S913" s="466"/>
      <c r="T913" s="466"/>
      <c r="U913" s="466"/>
      <c r="V913" s="466"/>
    </row>
    <row r="914" spans="2:22" ht="12.75">
      <c r="B914" s="466"/>
      <c r="D914" s="466"/>
      <c r="E914" s="466"/>
      <c r="F914" s="466"/>
      <c r="G914" s="466"/>
      <c r="H914" s="466"/>
      <c r="I914" s="466"/>
      <c r="J914" s="466"/>
      <c r="K914" s="466"/>
      <c r="L914" s="466"/>
      <c r="M914" s="656"/>
      <c r="N914" s="466"/>
      <c r="O914" s="656"/>
      <c r="P914" s="466"/>
      <c r="Q914" s="466"/>
      <c r="R914" s="466"/>
      <c r="S914" s="466"/>
      <c r="T914" s="466"/>
      <c r="U914" s="466"/>
      <c r="V914" s="466"/>
    </row>
    <row r="915" spans="2:22" ht="12.75">
      <c r="B915" s="466"/>
      <c r="D915" s="466"/>
      <c r="E915" s="466"/>
      <c r="F915" s="466"/>
      <c r="G915" s="466"/>
      <c r="H915" s="466"/>
      <c r="I915" s="466"/>
      <c r="J915" s="466"/>
      <c r="K915" s="466"/>
      <c r="L915" s="466"/>
      <c r="M915" s="656"/>
      <c r="N915" s="466"/>
      <c r="O915" s="656"/>
      <c r="P915" s="466"/>
      <c r="Q915" s="466"/>
      <c r="R915" s="466"/>
      <c r="S915" s="466"/>
      <c r="T915" s="466"/>
      <c r="U915" s="466"/>
      <c r="V915" s="466"/>
    </row>
    <row r="916" spans="2:22" ht="12.75">
      <c r="B916" s="466"/>
      <c r="D916" s="466"/>
      <c r="E916" s="466"/>
      <c r="F916" s="466"/>
      <c r="G916" s="466"/>
      <c r="H916" s="466"/>
      <c r="I916" s="466"/>
      <c r="J916" s="466"/>
      <c r="K916" s="466"/>
      <c r="L916" s="466"/>
      <c r="M916" s="656"/>
      <c r="N916" s="466"/>
      <c r="O916" s="656"/>
      <c r="P916" s="466"/>
      <c r="Q916" s="466"/>
      <c r="R916" s="466"/>
      <c r="S916" s="466"/>
      <c r="T916" s="466"/>
      <c r="U916" s="466"/>
      <c r="V916" s="466"/>
    </row>
    <row r="917" spans="2:22" ht="12.75">
      <c r="B917" s="466"/>
      <c r="D917" s="466"/>
      <c r="E917" s="466"/>
      <c r="F917" s="466"/>
      <c r="G917" s="466"/>
      <c r="H917" s="466"/>
      <c r="I917" s="466"/>
      <c r="J917" s="466"/>
      <c r="K917" s="466"/>
      <c r="L917" s="466"/>
      <c r="M917" s="656"/>
      <c r="N917" s="466"/>
      <c r="O917" s="656"/>
      <c r="P917" s="466"/>
      <c r="Q917" s="466"/>
      <c r="R917" s="466"/>
      <c r="S917" s="466"/>
      <c r="T917" s="466"/>
      <c r="U917" s="466"/>
      <c r="V917" s="466"/>
    </row>
    <row r="918" spans="2:22" ht="12.75">
      <c r="B918" s="466"/>
      <c r="D918" s="466"/>
      <c r="E918" s="466"/>
      <c r="F918" s="466"/>
      <c r="G918" s="466"/>
      <c r="H918" s="466"/>
      <c r="I918" s="466"/>
      <c r="J918" s="466"/>
      <c r="K918" s="466"/>
      <c r="L918" s="466"/>
      <c r="M918" s="656"/>
      <c r="N918" s="466"/>
      <c r="O918" s="656"/>
      <c r="P918" s="466"/>
      <c r="Q918" s="466"/>
      <c r="R918" s="466"/>
      <c r="S918" s="466"/>
      <c r="T918" s="466"/>
      <c r="U918" s="466"/>
      <c r="V918" s="466"/>
    </row>
    <row r="919" spans="2:22" ht="12.75">
      <c r="B919" s="466"/>
      <c r="D919" s="466"/>
      <c r="E919" s="466"/>
      <c r="F919" s="466"/>
      <c r="G919" s="466"/>
      <c r="H919" s="466"/>
      <c r="I919" s="466"/>
      <c r="J919" s="466"/>
      <c r="K919" s="466"/>
      <c r="L919" s="466"/>
      <c r="M919" s="656"/>
      <c r="N919" s="466"/>
      <c r="O919" s="656"/>
      <c r="P919" s="466"/>
      <c r="Q919" s="466"/>
      <c r="R919" s="466"/>
      <c r="S919" s="466"/>
      <c r="T919" s="466"/>
      <c r="U919" s="466"/>
      <c r="V919" s="466"/>
    </row>
    <row r="920" spans="2:22" ht="12.75">
      <c r="B920" s="466"/>
      <c r="D920" s="466"/>
      <c r="E920" s="466"/>
      <c r="F920" s="466"/>
      <c r="G920" s="466"/>
      <c r="H920" s="466"/>
      <c r="I920" s="466"/>
      <c r="J920" s="466"/>
      <c r="K920" s="466"/>
      <c r="L920" s="466"/>
      <c r="M920" s="656"/>
      <c r="N920" s="466"/>
      <c r="O920" s="656"/>
      <c r="P920" s="466"/>
      <c r="Q920" s="466"/>
      <c r="R920" s="466"/>
      <c r="S920" s="466"/>
      <c r="T920" s="466"/>
      <c r="U920" s="466"/>
      <c r="V920" s="466"/>
    </row>
    <row r="921" spans="2:22" ht="12.75">
      <c r="B921" s="466"/>
      <c r="D921" s="466"/>
      <c r="E921" s="466"/>
      <c r="F921" s="466"/>
      <c r="G921" s="466"/>
      <c r="H921" s="466"/>
      <c r="I921" s="466"/>
      <c r="J921" s="466"/>
      <c r="K921" s="466"/>
      <c r="L921" s="466"/>
      <c r="M921" s="656"/>
      <c r="N921" s="466"/>
      <c r="O921" s="656"/>
      <c r="P921" s="466"/>
      <c r="Q921" s="466"/>
      <c r="R921" s="466"/>
      <c r="S921" s="466"/>
      <c r="T921" s="466"/>
      <c r="U921" s="466"/>
      <c r="V921" s="466"/>
    </row>
    <row r="922" spans="2:22" ht="12.75">
      <c r="B922" s="466"/>
      <c r="D922" s="466"/>
      <c r="E922" s="466"/>
      <c r="F922" s="466"/>
      <c r="G922" s="466"/>
      <c r="H922" s="466"/>
      <c r="I922" s="466"/>
      <c r="J922" s="466"/>
      <c r="K922" s="466"/>
      <c r="L922" s="466"/>
      <c r="M922" s="656"/>
      <c r="N922" s="466"/>
      <c r="O922" s="656"/>
      <c r="P922" s="466"/>
      <c r="Q922" s="466"/>
      <c r="R922" s="466"/>
      <c r="S922" s="466"/>
      <c r="T922" s="466"/>
      <c r="U922" s="466"/>
      <c r="V922" s="466"/>
    </row>
    <row r="923" spans="2:22" ht="12.75">
      <c r="B923" s="466"/>
      <c r="D923" s="466"/>
      <c r="E923" s="466"/>
      <c r="F923" s="466"/>
      <c r="G923" s="466"/>
      <c r="H923" s="466"/>
      <c r="I923" s="466"/>
      <c r="J923" s="466"/>
      <c r="K923" s="466"/>
      <c r="L923" s="466"/>
      <c r="M923" s="656"/>
      <c r="N923" s="466"/>
      <c r="O923" s="656"/>
      <c r="P923" s="466"/>
      <c r="Q923" s="466"/>
      <c r="R923" s="466"/>
      <c r="S923" s="466"/>
      <c r="T923" s="466"/>
      <c r="U923" s="466"/>
      <c r="V923" s="466"/>
    </row>
    <row r="924" spans="2:22" ht="12.75">
      <c r="B924" s="466"/>
      <c r="D924" s="466"/>
      <c r="E924" s="466"/>
      <c r="F924" s="466"/>
      <c r="G924" s="466"/>
      <c r="H924" s="466"/>
      <c r="I924" s="466"/>
      <c r="J924" s="466"/>
      <c r="K924" s="466"/>
      <c r="L924" s="466"/>
      <c r="M924" s="656"/>
      <c r="N924" s="466"/>
      <c r="O924" s="656"/>
      <c r="P924" s="466"/>
      <c r="Q924" s="466"/>
      <c r="R924" s="466"/>
      <c r="S924" s="466"/>
      <c r="T924" s="466"/>
      <c r="U924" s="466"/>
      <c r="V924" s="466"/>
    </row>
    <row r="925" spans="2:22" ht="12.75">
      <c r="B925" s="466"/>
      <c r="D925" s="466"/>
      <c r="E925" s="466"/>
      <c r="F925" s="466"/>
      <c r="G925" s="466"/>
      <c r="H925" s="466"/>
      <c r="I925" s="466"/>
      <c r="J925" s="466"/>
      <c r="K925" s="466"/>
      <c r="L925" s="466"/>
      <c r="M925" s="656"/>
      <c r="N925" s="466"/>
      <c r="O925" s="656"/>
      <c r="P925" s="466"/>
      <c r="Q925" s="466"/>
      <c r="R925" s="466"/>
      <c r="S925" s="466"/>
      <c r="T925" s="466"/>
      <c r="U925" s="466"/>
      <c r="V925" s="466"/>
    </row>
    <row r="926" spans="2:22" ht="12.75">
      <c r="B926" s="466"/>
      <c r="D926" s="466"/>
      <c r="E926" s="466"/>
      <c r="F926" s="466"/>
      <c r="G926" s="466"/>
      <c r="H926" s="466"/>
      <c r="I926" s="466"/>
      <c r="J926" s="466"/>
      <c r="K926" s="466"/>
      <c r="L926" s="466"/>
      <c r="M926" s="656"/>
      <c r="N926" s="466"/>
      <c r="O926" s="656"/>
      <c r="P926" s="466"/>
      <c r="Q926" s="466"/>
      <c r="R926" s="466"/>
      <c r="S926" s="466"/>
      <c r="T926" s="466"/>
      <c r="U926" s="466"/>
      <c r="V926" s="466"/>
    </row>
    <row r="927" spans="2:22" ht="12.75">
      <c r="B927" s="466"/>
      <c r="D927" s="466"/>
      <c r="E927" s="466"/>
      <c r="F927" s="466"/>
      <c r="G927" s="466"/>
      <c r="H927" s="466"/>
      <c r="I927" s="466"/>
      <c r="J927" s="466"/>
      <c r="K927" s="466"/>
      <c r="L927" s="466"/>
      <c r="M927" s="656"/>
      <c r="N927" s="466"/>
      <c r="O927" s="656"/>
      <c r="P927" s="466"/>
      <c r="Q927" s="466"/>
      <c r="R927" s="466"/>
      <c r="S927" s="466"/>
      <c r="T927" s="466"/>
      <c r="U927" s="466"/>
      <c r="V927" s="466"/>
    </row>
    <row r="928" spans="2:22" ht="12.75">
      <c r="B928" s="466"/>
      <c r="D928" s="466"/>
      <c r="E928" s="466"/>
      <c r="F928" s="466"/>
      <c r="G928" s="466"/>
      <c r="H928" s="466"/>
      <c r="I928" s="466"/>
      <c r="J928" s="466"/>
      <c r="K928" s="466"/>
      <c r="L928" s="466"/>
      <c r="M928" s="656"/>
      <c r="N928" s="466"/>
      <c r="O928" s="656"/>
      <c r="P928" s="466"/>
      <c r="Q928" s="466"/>
      <c r="R928" s="466"/>
      <c r="S928" s="466"/>
      <c r="T928" s="466"/>
      <c r="U928" s="466"/>
      <c r="V928" s="466"/>
    </row>
    <row r="929" spans="2:22" ht="12.75">
      <c r="B929" s="466"/>
      <c r="D929" s="466"/>
      <c r="E929" s="466"/>
      <c r="F929" s="466"/>
      <c r="G929" s="466"/>
      <c r="H929" s="466"/>
      <c r="I929" s="466"/>
      <c r="J929" s="466"/>
      <c r="K929" s="466"/>
      <c r="L929" s="466"/>
      <c r="M929" s="656"/>
      <c r="N929" s="466"/>
      <c r="O929" s="656"/>
      <c r="P929" s="466"/>
      <c r="Q929" s="466"/>
      <c r="R929" s="466"/>
      <c r="S929" s="466"/>
      <c r="T929" s="466"/>
      <c r="U929" s="466"/>
      <c r="V929" s="466"/>
    </row>
    <row r="930" spans="2:22" ht="12.75">
      <c r="B930" s="466"/>
      <c r="D930" s="466"/>
      <c r="E930" s="466"/>
      <c r="F930" s="466"/>
      <c r="G930" s="466"/>
      <c r="H930" s="466"/>
      <c r="I930" s="466"/>
      <c r="J930" s="466"/>
      <c r="K930" s="466"/>
      <c r="L930" s="466"/>
      <c r="M930" s="656"/>
      <c r="N930" s="466"/>
      <c r="O930" s="656"/>
      <c r="P930" s="466"/>
      <c r="Q930" s="466"/>
      <c r="R930" s="466"/>
      <c r="S930" s="466"/>
      <c r="T930" s="466"/>
      <c r="U930" s="466"/>
      <c r="V930" s="466"/>
    </row>
    <row r="931" spans="2:22" ht="12.75">
      <c r="B931" s="466"/>
      <c r="D931" s="466"/>
      <c r="E931" s="466"/>
      <c r="F931" s="466"/>
      <c r="G931" s="466"/>
      <c r="H931" s="466"/>
      <c r="I931" s="466"/>
      <c r="J931" s="466"/>
      <c r="K931" s="466"/>
      <c r="L931" s="466"/>
      <c r="M931" s="656"/>
      <c r="N931" s="466"/>
      <c r="O931" s="656"/>
      <c r="P931" s="466"/>
      <c r="Q931" s="466"/>
      <c r="R931" s="466"/>
      <c r="S931" s="466"/>
      <c r="T931" s="466"/>
      <c r="U931" s="466"/>
      <c r="V931" s="466"/>
    </row>
    <row r="932" spans="2:22" ht="12.75">
      <c r="B932" s="466"/>
      <c r="D932" s="466"/>
      <c r="E932" s="466"/>
      <c r="F932" s="466"/>
      <c r="G932" s="466"/>
      <c r="H932" s="466"/>
      <c r="I932" s="466"/>
      <c r="J932" s="466"/>
      <c r="K932" s="466"/>
      <c r="L932" s="466"/>
      <c r="M932" s="656"/>
      <c r="N932" s="466"/>
      <c r="O932" s="656"/>
      <c r="P932" s="466"/>
      <c r="Q932" s="466"/>
      <c r="R932" s="466"/>
      <c r="S932" s="466"/>
      <c r="T932" s="466"/>
      <c r="U932" s="466"/>
      <c r="V932" s="466"/>
    </row>
    <row r="933" spans="2:22" ht="12.75">
      <c r="B933" s="466"/>
      <c r="D933" s="466"/>
      <c r="E933" s="466"/>
      <c r="F933" s="466"/>
      <c r="G933" s="466"/>
      <c r="H933" s="466"/>
      <c r="I933" s="466"/>
      <c r="J933" s="466"/>
      <c r="K933" s="466"/>
      <c r="L933" s="466"/>
      <c r="M933" s="656"/>
      <c r="N933" s="466"/>
      <c r="O933" s="656"/>
      <c r="P933" s="466"/>
      <c r="Q933" s="466"/>
      <c r="R933" s="466"/>
      <c r="S933" s="466"/>
      <c r="T933" s="466"/>
      <c r="U933" s="466"/>
      <c r="V933" s="466"/>
    </row>
    <row r="934" spans="2:22" ht="12.75">
      <c r="B934" s="466"/>
      <c r="D934" s="466"/>
      <c r="E934" s="466"/>
      <c r="F934" s="466"/>
      <c r="G934" s="466"/>
      <c r="H934" s="466"/>
      <c r="I934" s="466"/>
      <c r="J934" s="466"/>
      <c r="K934" s="466"/>
      <c r="L934" s="466"/>
      <c r="M934" s="656"/>
      <c r="N934" s="466"/>
      <c r="O934" s="656"/>
      <c r="P934" s="466"/>
      <c r="Q934" s="466"/>
      <c r="R934" s="466"/>
      <c r="S934" s="466"/>
      <c r="T934" s="466"/>
      <c r="U934" s="466"/>
      <c r="V934" s="466"/>
    </row>
    <row r="935" spans="2:22" ht="12.75">
      <c r="B935" s="466"/>
      <c r="D935" s="466"/>
      <c r="E935" s="466"/>
      <c r="F935" s="466"/>
      <c r="G935" s="466"/>
      <c r="H935" s="466"/>
      <c r="I935" s="466"/>
      <c r="J935" s="466"/>
      <c r="K935" s="466"/>
      <c r="L935" s="466"/>
      <c r="M935" s="656"/>
      <c r="N935" s="466"/>
      <c r="O935" s="656"/>
      <c r="P935" s="466"/>
      <c r="Q935" s="466"/>
      <c r="R935" s="466"/>
      <c r="S935" s="466"/>
      <c r="T935" s="466"/>
      <c r="U935" s="466"/>
      <c r="V935" s="466"/>
    </row>
    <row r="936" spans="2:22" ht="12.75">
      <c r="B936" s="466"/>
      <c r="D936" s="466"/>
      <c r="E936" s="466"/>
      <c r="F936" s="466"/>
      <c r="G936" s="466"/>
      <c r="H936" s="466"/>
      <c r="I936" s="466"/>
      <c r="J936" s="466"/>
      <c r="K936" s="466"/>
      <c r="L936" s="466"/>
      <c r="M936" s="656"/>
      <c r="N936" s="466"/>
      <c r="O936" s="656"/>
      <c r="P936" s="466"/>
      <c r="Q936" s="466"/>
      <c r="R936" s="466"/>
      <c r="S936" s="466"/>
      <c r="T936" s="466"/>
      <c r="U936" s="466"/>
      <c r="V936" s="466"/>
    </row>
    <row r="937" spans="2:22" ht="12.75">
      <c r="B937" s="466"/>
      <c r="D937" s="466"/>
      <c r="E937" s="466"/>
      <c r="F937" s="466"/>
      <c r="G937" s="466"/>
      <c r="H937" s="466"/>
      <c r="I937" s="466"/>
      <c r="J937" s="466"/>
      <c r="K937" s="466"/>
      <c r="L937" s="466"/>
      <c r="M937" s="656"/>
      <c r="N937" s="466"/>
      <c r="O937" s="656"/>
      <c r="P937" s="466"/>
      <c r="Q937" s="466"/>
      <c r="R937" s="466"/>
      <c r="S937" s="466"/>
      <c r="T937" s="466"/>
      <c r="U937" s="466"/>
      <c r="V937" s="466"/>
    </row>
    <row r="938" spans="2:22" ht="12.75">
      <c r="B938" s="466"/>
      <c r="D938" s="466"/>
      <c r="E938" s="466"/>
      <c r="F938" s="466"/>
      <c r="G938" s="466"/>
      <c r="H938" s="466"/>
      <c r="I938" s="466"/>
      <c r="J938" s="466"/>
      <c r="K938" s="466"/>
      <c r="L938" s="466"/>
      <c r="M938" s="656"/>
      <c r="N938" s="466"/>
      <c r="O938" s="656"/>
      <c r="P938" s="466"/>
      <c r="Q938" s="466"/>
      <c r="R938" s="466"/>
      <c r="S938" s="466"/>
      <c r="T938" s="466"/>
      <c r="U938" s="466"/>
      <c r="V938" s="466"/>
    </row>
    <row r="939" spans="2:22" ht="12.75">
      <c r="B939" s="466"/>
      <c r="D939" s="466"/>
      <c r="E939" s="466"/>
      <c r="F939" s="466"/>
      <c r="G939" s="466"/>
      <c r="H939" s="466"/>
      <c r="I939" s="466"/>
      <c r="J939" s="466"/>
      <c r="K939" s="466"/>
      <c r="L939" s="466"/>
      <c r="M939" s="656"/>
      <c r="N939" s="466"/>
      <c r="O939" s="656"/>
      <c r="P939" s="466"/>
      <c r="Q939" s="466"/>
      <c r="R939" s="466"/>
      <c r="S939" s="466"/>
      <c r="T939" s="466"/>
      <c r="U939" s="466"/>
      <c r="V939" s="466"/>
    </row>
    <row r="940" spans="2:22" ht="12.75">
      <c r="B940" s="466"/>
      <c r="D940" s="466"/>
      <c r="E940" s="466"/>
      <c r="F940" s="466"/>
      <c r="G940" s="466"/>
      <c r="H940" s="466"/>
      <c r="I940" s="466"/>
      <c r="J940" s="466"/>
      <c r="K940" s="466"/>
      <c r="L940" s="466"/>
      <c r="M940" s="656"/>
      <c r="N940" s="466"/>
      <c r="O940" s="656"/>
      <c r="P940" s="466"/>
      <c r="Q940" s="466"/>
      <c r="R940" s="466"/>
      <c r="S940" s="466"/>
      <c r="T940" s="466"/>
      <c r="U940" s="466"/>
      <c r="V940" s="466"/>
    </row>
    <row r="941" spans="2:22" ht="12.75">
      <c r="B941" s="466"/>
      <c r="D941" s="466"/>
      <c r="E941" s="466"/>
      <c r="F941" s="466"/>
      <c r="G941" s="466"/>
      <c r="H941" s="466"/>
      <c r="I941" s="466"/>
      <c r="J941" s="466"/>
      <c r="K941" s="466"/>
      <c r="L941" s="466"/>
      <c r="M941" s="656"/>
      <c r="N941" s="466"/>
      <c r="O941" s="656"/>
      <c r="P941" s="466"/>
      <c r="Q941" s="466"/>
      <c r="R941" s="466"/>
      <c r="S941" s="466"/>
      <c r="T941" s="466"/>
      <c r="U941" s="466"/>
      <c r="V941" s="466"/>
    </row>
    <row r="942" spans="2:22" ht="12.75">
      <c r="B942" s="466"/>
      <c r="D942" s="466"/>
      <c r="E942" s="466"/>
      <c r="F942" s="466"/>
      <c r="G942" s="466"/>
      <c r="H942" s="466"/>
      <c r="I942" s="466"/>
      <c r="J942" s="466"/>
      <c r="K942" s="466"/>
      <c r="L942" s="466"/>
      <c r="M942" s="656"/>
      <c r="N942" s="466"/>
      <c r="O942" s="656"/>
      <c r="P942" s="466"/>
      <c r="Q942" s="466"/>
      <c r="R942" s="466"/>
      <c r="S942" s="466"/>
      <c r="T942" s="466"/>
      <c r="U942" s="466"/>
      <c r="V942" s="466"/>
    </row>
    <row r="943" spans="2:22" ht="12.75">
      <c r="B943" s="466"/>
      <c r="D943" s="466"/>
      <c r="E943" s="466"/>
      <c r="F943" s="466"/>
      <c r="G943" s="466"/>
      <c r="H943" s="466"/>
      <c r="I943" s="466"/>
      <c r="J943" s="466"/>
      <c r="K943" s="466"/>
      <c r="L943" s="466"/>
      <c r="M943" s="656"/>
      <c r="N943" s="466"/>
      <c r="O943" s="656"/>
      <c r="P943" s="466"/>
      <c r="Q943" s="466"/>
      <c r="R943" s="466"/>
      <c r="S943" s="466"/>
      <c r="T943" s="466"/>
      <c r="U943" s="466"/>
      <c r="V943" s="466"/>
    </row>
    <row r="944" spans="2:22" ht="12.75">
      <c r="B944" s="466"/>
      <c r="D944" s="466"/>
      <c r="E944" s="466"/>
      <c r="F944" s="466"/>
      <c r="G944" s="466"/>
      <c r="H944" s="466"/>
      <c r="I944" s="466"/>
      <c r="J944" s="466"/>
      <c r="K944" s="466"/>
      <c r="L944" s="466"/>
      <c r="M944" s="656"/>
      <c r="N944" s="466"/>
      <c r="O944" s="656"/>
      <c r="P944" s="466"/>
      <c r="Q944" s="466"/>
      <c r="R944" s="466"/>
      <c r="S944" s="466"/>
      <c r="T944" s="466"/>
      <c r="U944" s="466"/>
      <c r="V944" s="466"/>
    </row>
    <row r="945" spans="2:22" ht="12.75">
      <c r="B945" s="466"/>
      <c r="D945" s="466"/>
      <c r="E945" s="466"/>
      <c r="F945" s="466"/>
      <c r="G945" s="466"/>
      <c r="H945" s="466"/>
      <c r="I945" s="466"/>
      <c r="J945" s="466"/>
      <c r="K945" s="466"/>
      <c r="L945" s="466"/>
      <c r="M945" s="656"/>
      <c r="N945" s="466"/>
      <c r="O945" s="656"/>
      <c r="P945" s="466"/>
      <c r="Q945" s="466"/>
      <c r="R945" s="466"/>
      <c r="S945" s="466"/>
      <c r="T945" s="466"/>
      <c r="U945" s="466"/>
      <c r="V945" s="466"/>
    </row>
    <row r="946" spans="2:22" ht="12.75">
      <c r="B946" s="466"/>
      <c r="D946" s="466"/>
      <c r="E946" s="466"/>
      <c r="F946" s="466"/>
      <c r="G946" s="466"/>
      <c r="H946" s="466"/>
      <c r="I946" s="466"/>
      <c r="J946" s="466"/>
      <c r="K946" s="466"/>
      <c r="L946" s="466"/>
      <c r="M946" s="656"/>
      <c r="N946" s="466"/>
      <c r="O946" s="656"/>
      <c r="P946" s="466"/>
      <c r="Q946" s="466"/>
      <c r="R946" s="466"/>
      <c r="S946" s="466"/>
      <c r="T946" s="466"/>
      <c r="U946" s="466"/>
      <c r="V946" s="466"/>
    </row>
    <row r="947" spans="2:22" ht="12.75">
      <c r="B947" s="466"/>
      <c r="D947" s="466"/>
      <c r="E947" s="466"/>
      <c r="F947" s="466"/>
      <c r="G947" s="466"/>
      <c r="H947" s="466"/>
      <c r="I947" s="466"/>
      <c r="J947" s="466"/>
      <c r="K947" s="466"/>
      <c r="L947" s="466"/>
      <c r="M947" s="656"/>
      <c r="N947" s="466"/>
      <c r="O947" s="656"/>
      <c r="P947" s="466"/>
      <c r="Q947" s="466"/>
      <c r="R947" s="466"/>
      <c r="S947" s="466"/>
      <c r="T947" s="466"/>
      <c r="U947" s="466"/>
      <c r="V947" s="466"/>
    </row>
    <row r="948" spans="2:22" ht="12.75">
      <c r="B948" s="466"/>
      <c r="D948" s="466"/>
      <c r="E948" s="466"/>
      <c r="F948" s="466"/>
      <c r="G948" s="466"/>
      <c r="H948" s="466"/>
      <c r="I948" s="466"/>
      <c r="J948" s="466"/>
      <c r="K948" s="466"/>
      <c r="L948" s="466"/>
      <c r="M948" s="656"/>
      <c r="N948" s="466"/>
      <c r="O948" s="656"/>
      <c r="P948" s="466"/>
      <c r="Q948" s="466"/>
      <c r="R948" s="466"/>
      <c r="S948" s="466"/>
      <c r="T948" s="466"/>
      <c r="U948" s="466"/>
      <c r="V948" s="466"/>
    </row>
    <row r="949" spans="2:22" ht="12.75">
      <c r="B949" s="466"/>
      <c r="D949" s="466"/>
      <c r="E949" s="466"/>
      <c r="F949" s="466"/>
      <c r="G949" s="466"/>
      <c r="H949" s="466"/>
      <c r="I949" s="466"/>
      <c r="J949" s="466"/>
      <c r="K949" s="466"/>
      <c r="L949" s="466"/>
      <c r="M949" s="656"/>
      <c r="N949" s="466"/>
      <c r="O949" s="656"/>
      <c r="P949" s="466"/>
      <c r="Q949" s="466"/>
      <c r="R949" s="466"/>
      <c r="S949" s="466"/>
      <c r="T949" s="466"/>
      <c r="U949" s="466"/>
      <c r="V949" s="466"/>
    </row>
    <row r="950" spans="2:22" ht="12.75">
      <c r="B950" s="466"/>
      <c r="D950" s="466"/>
      <c r="E950" s="466"/>
      <c r="F950" s="466"/>
      <c r="G950" s="466"/>
      <c r="H950" s="466"/>
      <c r="I950" s="466"/>
      <c r="J950" s="466"/>
      <c r="K950" s="466"/>
      <c r="L950" s="466"/>
      <c r="M950" s="656"/>
      <c r="N950" s="466"/>
      <c r="O950" s="656"/>
      <c r="P950" s="466"/>
      <c r="Q950" s="466"/>
      <c r="R950" s="466"/>
      <c r="S950" s="466"/>
      <c r="T950" s="466"/>
      <c r="U950" s="466"/>
      <c r="V950" s="466"/>
    </row>
    <row r="951" spans="2:22" ht="12.75">
      <c r="B951" s="466"/>
      <c r="D951" s="466"/>
      <c r="E951" s="466"/>
      <c r="F951" s="466"/>
      <c r="G951" s="466"/>
      <c r="H951" s="466"/>
      <c r="I951" s="466"/>
      <c r="J951" s="466"/>
      <c r="K951" s="466"/>
      <c r="L951" s="466"/>
      <c r="M951" s="656"/>
      <c r="N951" s="466"/>
      <c r="O951" s="656"/>
      <c r="P951" s="466"/>
      <c r="Q951" s="466"/>
      <c r="R951" s="466"/>
      <c r="S951" s="466"/>
      <c r="T951" s="466"/>
      <c r="U951" s="466"/>
      <c r="V951" s="466"/>
    </row>
    <row r="952" spans="2:22" ht="12.75">
      <c r="B952" s="466"/>
      <c r="D952" s="466"/>
      <c r="E952" s="466"/>
      <c r="F952" s="466"/>
      <c r="G952" s="466"/>
      <c r="H952" s="466"/>
      <c r="I952" s="466"/>
      <c r="J952" s="466"/>
      <c r="K952" s="466"/>
      <c r="L952" s="466"/>
      <c r="M952" s="656"/>
      <c r="N952" s="466"/>
      <c r="O952" s="656"/>
      <c r="P952" s="466"/>
      <c r="Q952" s="466"/>
      <c r="R952" s="466"/>
      <c r="S952" s="466"/>
      <c r="T952" s="466"/>
      <c r="U952" s="466"/>
      <c r="V952" s="466"/>
    </row>
    <row r="953" spans="2:22" ht="12.75">
      <c r="B953" s="466"/>
      <c r="D953" s="466"/>
      <c r="E953" s="466"/>
      <c r="F953" s="466"/>
      <c r="G953" s="466"/>
      <c r="H953" s="466"/>
      <c r="I953" s="466"/>
      <c r="J953" s="466"/>
      <c r="K953" s="466"/>
      <c r="L953" s="466"/>
      <c r="M953" s="656"/>
      <c r="N953" s="466"/>
      <c r="O953" s="656"/>
      <c r="P953" s="466"/>
      <c r="Q953" s="466"/>
      <c r="R953" s="466"/>
      <c r="S953" s="466"/>
      <c r="T953" s="466"/>
      <c r="U953" s="466"/>
      <c r="V953" s="466"/>
    </row>
    <row r="954" spans="2:22" ht="12.75">
      <c r="B954" s="466"/>
      <c r="D954" s="466"/>
      <c r="E954" s="466"/>
      <c r="F954" s="466"/>
      <c r="G954" s="466"/>
      <c r="H954" s="466"/>
      <c r="I954" s="466"/>
      <c r="J954" s="466"/>
      <c r="K954" s="466"/>
      <c r="L954" s="466"/>
      <c r="M954" s="656"/>
      <c r="N954" s="466"/>
      <c r="O954" s="656"/>
      <c r="P954" s="466"/>
      <c r="Q954" s="466"/>
      <c r="R954" s="466"/>
      <c r="S954" s="466"/>
      <c r="T954" s="466"/>
      <c r="U954" s="466"/>
      <c r="V954" s="466"/>
    </row>
    <row r="955" spans="2:22" ht="12.75">
      <c r="B955" s="466"/>
      <c r="D955" s="466"/>
      <c r="E955" s="466"/>
      <c r="F955" s="466"/>
      <c r="G955" s="466"/>
      <c r="H955" s="466"/>
      <c r="I955" s="466"/>
      <c r="J955" s="466"/>
      <c r="K955" s="466"/>
      <c r="L955" s="466"/>
      <c r="M955" s="656"/>
      <c r="N955" s="466"/>
      <c r="O955" s="656"/>
      <c r="P955" s="466"/>
      <c r="Q955" s="466"/>
      <c r="R955" s="466"/>
      <c r="S955" s="466"/>
      <c r="T955" s="466"/>
      <c r="U955" s="466"/>
      <c r="V955" s="466"/>
    </row>
    <row r="956" spans="2:22" ht="12.75">
      <c r="B956" s="466"/>
      <c r="D956" s="466"/>
      <c r="E956" s="466"/>
      <c r="F956" s="466"/>
      <c r="G956" s="466"/>
      <c r="H956" s="466"/>
      <c r="I956" s="466"/>
      <c r="J956" s="466"/>
      <c r="K956" s="466"/>
      <c r="L956" s="466"/>
      <c r="M956" s="656"/>
      <c r="N956" s="466"/>
      <c r="O956" s="656"/>
      <c r="P956" s="466"/>
      <c r="Q956" s="466"/>
      <c r="R956" s="466"/>
      <c r="S956" s="466"/>
      <c r="T956" s="466"/>
      <c r="U956" s="466"/>
      <c r="V956" s="466"/>
    </row>
    <row r="957" spans="2:22" ht="12.75">
      <c r="B957" s="466"/>
      <c r="D957" s="466"/>
      <c r="E957" s="466"/>
      <c r="F957" s="466"/>
      <c r="G957" s="466"/>
      <c r="H957" s="466"/>
      <c r="I957" s="466"/>
      <c r="J957" s="466"/>
      <c r="K957" s="466"/>
      <c r="L957" s="466"/>
      <c r="M957" s="656"/>
      <c r="N957" s="466"/>
      <c r="O957" s="656"/>
      <c r="P957" s="466"/>
      <c r="Q957" s="466"/>
      <c r="R957" s="466"/>
      <c r="S957" s="466"/>
      <c r="T957" s="466"/>
      <c r="U957" s="466"/>
      <c r="V957" s="466"/>
    </row>
    <row r="958" spans="2:22" ht="12.75">
      <c r="B958" s="466"/>
      <c r="D958" s="466"/>
      <c r="E958" s="466"/>
      <c r="F958" s="466"/>
      <c r="G958" s="466"/>
      <c r="H958" s="466"/>
      <c r="I958" s="466"/>
      <c r="J958" s="466"/>
      <c r="K958" s="466"/>
      <c r="L958" s="466"/>
      <c r="M958" s="656"/>
      <c r="N958" s="466"/>
      <c r="O958" s="656"/>
      <c r="P958" s="466"/>
      <c r="Q958" s="466"/>
      <c r="R958" s="466"/>
      <c r="S958" s="466"/>
      <c r="T958" s="466"/>
      <c r="U958" s="466"/>
      <c r="V958" s="466"/>
    </row>
    <row r="959" spans="2:22" ht="12.75">
      <c r="B959" s="466"/>
      <c r="D959" s="466"/>
      <c r="E959" s="466"/>
      <c r="F959" s="466"/>
      <c r="G959" s="466"/>
      <c r="H959" s="466"/>
      <c r="I959" s="466"/>
      <c r="J959" s="466"/>
      <c r="K959" s="466"/>
      <c r="L959" s="466"/>
      <c r="M959" s="656"/>
      <c r="N959" s="466"/>
      <c r="O959" s="656"/>
      <c r="P959" s="466"/>
      <c r="Q959" s="466"/>
      <c r="R959" s="466"/>
      <c r="S959" s="466"/>
      <c r="T959" s="466"/>
      <c r="U959" s="466"/>
      <c r="V959" s="466"/>
    </row>
    <row r="960" spans="2:22" ht="12.75">
      <c r="B960" s="466"/>
      <c r="D960" s="466"/>
      <c r="E960" s="466"/>
      <c r="F960" s="466"/>
      <c r="G960" s="466"/>
      <c r="H960" s="466"/>
      <c r="I960" s="466"/>
      <c r="J960" s="466"/>
      <c r="K960" s="466"/>
      <c r="L960" s="466"/>
      <c r="M960" s="656"/>
      <c r="N960" s="466"/>
      <c r="O960" s="656"/>
      <c r="P960" s="466"/>
      <c r="Q960" s="466"/>
      <c r="R960" s="466"/>
      <c r="S960" s="466"/>
      <c r="T960" s="466"/>
      <c r="U960" s="466"/>
      <c r="V960" s="466"/>
    </row>
    <row r="961" spans="2:22" ht="12.75">
      <c r="B961" s="466"/>
      <c r="D961" s="466"/>
      <c r="E961" s="466"/>
      <c r="F961" s="466"/>
      <c r="G961" s="466"/>
      <c r="H961" s="466"/>
      <c r="I961" s="466"/>
      <c r="J961" s="466"/>
      <c r="K961" s="466"/>
      <c r="L961" s="466"/>
      <c r="M961" s="656"/>
      <c r="N961" s="466"/>
      <c r="O961" s="656"/>
      <c r="P961" s="466"/>
      <c r="Q961" s="466"/>
      <c r="R961" s="466"/>
      <c r="S961" s="466"/>
      <c r="T961" s="466"/>
      <c r="U961" s="466"/>
      <c r="V961" s="466"/>
    </row>
    <row r="962" spans="2:22" ht="12.75">
      <c r="B962" s="466"/>
      <c r="D962" s="466"/>
      <c r="E962" s="466"/>
      <c r="F962" s="466"/>
      <c r="G962" s="466"/>
      <c r="H962" s="466"/>
      <c r="I962" s="466"/>
      <c r="J962" s="466"/>
      <c r="K962" s="466"/>
      <c r="L962" s="466"/>
      <c r="M962" s="656"/>
      <c r="N962" s="466"/>
      <c r="O962" s="656"/>
      <c r="P962" s="466"/>
      <c r="Q962" s="466"/>
      <c r="R962" s="466"/>
      <c r="S962" s="466"/>
      <c r="T962" s="466"/>
      <c r="U962" s="466"/>
      <c r="V962" s="466"/>
    </row>
    <row r="963" spans="2:22" ht="12.75">
      <c r="B963" s="466"/>
      <c r="D963" s="466"/>
      <c r="E963" s="466"/>
      <c r="F963" s="466"/>
      <c r="G963" s="466"/>
      <c r="H963" s="466"/>
      <c r="I963" s="466"/>
      <c r="J963" s="466"/>
      <c r="K963" s="466"/>
      <c r="L963" s="466"/>
      <c r="M963" s="656"/>
      <c r="N963" s="466"/>
      <c r="O963" s="656"/>
      <c r="P963" s="466"/>
      <c r="Q963" s="466"/>
      <c r="R963" s="466"/>
      <c r="S963" s="466"/>
      <c r="T963" s="466"/>
      <c r="U963" s="466"/>
      <c r="V963" s="466"/>
    </row>
    <row r="964" spans="2:22" ht="12.75">
      <c r="B964" s="466"/>
      <c r="D964" s="466"/>
      <c r="E964" s="466"/>
      <c r="F964" s="466"/>
      <c r="G964" s="466"/>
      <c r="H964" s="466"/>
      <c r="I964" s="466"/>
      <c r="J964" s="466"/>
      <c r="K964" s="466"/>
      <c r="L964" s="466"/>
      <c r="M964" s="656"/>
      <c r="N964" s="466"/>
      <c r="O964" s="656"/>
      <c r="P964" s="466"/>
      <c r="Q964" s="466"/>
      <c r="R964" s="466"/>
      <c r="S964" s="466"/>
      <c r="T964" s="466"/>
      <c r="U964" s="466"/>
      <c r="V964" s="466"/>
    </row>
    <row r="965" spans="2:22" ht="12.75">
      <c r="B965" s="466"/>
      <c r="D965" s="466"/>
      <c r="E965" s="466"/>
      <c r="F965" s="466"/>
      <c r="G965" s="466"/>
      <c r="H965" s="466"/>
      <c r="I965" s="466"/>
      <c r="J965" s="466"/>
      <c r="K965" s="466"/>
      <c r="L965" s="466"/>
      <c r="M965" s="656"/>
      <c r="N965" s="466"/>
      <c r="O965" s="656"/>
      <c r="P965" s="466"/>
      <c r="Q965" s="466"/>
      <c r="R965" s="466"/>
      <c r="S965" s="466"/>
      <c r="T965" s="466"/>
      <c r="U965" s="466"/>
      <c r="V965" s="466"/>
    </row>
    <row r="966" spans="2:22" ht="12.75">
      <c r="B966" s="466"/>
      <c r="D966" s="466"/>
      <c r="E966" s="466"/>
      <c r="F966" s="466"/>
      <c r="G966" s="466"/>
      <c r="H966" s="466"/>
      <c r="I966" s="466"/>
      <c r="J966" s="466"/>
      <c r="K966" s="466"/>
      <c r="L966" s="466"/>
      <c r="M966" s="656"/>
      <c r="N966" s="466"/>
      <c r="O966" s="656"/>
      <c r="P966" s="466"/>
      <c r="Q966" s="466"/>
      <c r="R966" s="466"/>
      <c r="S966" s="466"/>
      <c r="T966" s="466"/>
      <c r="U966" s="466"/>
      <c r="V966" s="466"/>
    </row>
    <row r="967" spans="2:22" ht="12.75">
      <c r="B967" s="466"/>
      <c r="D967" s="466"/>
      <c r="E967" s="466"/>
      <c r="F967" s="466"/>
      <c r="G967" s="466"/>
      <c r="H967" s="466"/>
      <c r="I967" s="466"/>
      <c r="J967" s="466"/>
      <c r="K967" s="466"/>
      <c r="L967" s="466"/>
      <c r="M967" s="656"/>
      <c r="N967" s="466"/>
      <c r="O967" s="656"/>
      <c r="P967" s="466"/>
      <c r="Q967" s="466"/>
      <c r="R967" s="466"/>
      <c r="S967" s="466"/>
      <c r="T967" s="466"/>
      <c r="U967" s="466"/>
      <c r="V967" s="466"/>
    </row>
    <row r="968" spans="2:22" ht="12.75">
      <c r="B968" s="466"/>
      <c r="D968" s="466"/>
      <c r="E968" s="466"/>
      <c r="F968" s="466"/>
      <c r="G968" s="466"/>
      <c r="H968" s="466"/>
      <c r="I968" s="466"/>
      <c r="J968" s="466"/>
      <c r="K968" s="466"/>
      <c r="L968" s="466"/>
      <c r="M968" s="656"/>
      <c r="N968" s="466"/>
      <c r="O968" s="656"/>
      <c r="P968" s="466"/>
      <c r="Q968" s="466"/>
      <c r="R968" s="466"/>
      <c r="S968" s="466"/>
      <c r="T968" s="466"/>
      <c r="U968" s="466"/>
      <c r="V968" s="466"/>
    </row>
    <row r="969" spans="2:22" ht="12.75">
      <c r="B969" s="466"/>
      <c r="D969" s="466"/>
      <c r="E969" s="466"/>
      <c r="F969" s="466"/>
      <c r="G969" s="466"/>
      <c r="H969" s="466"/>
      <c r="I969" s="466"/>
      <c r="J969" s="466"/>
      <c r="K969" s="466"/>
      <c r="L969" s="466"/>
      <c r="M969" s="656"/>
      <c r="N969" s="466"/>
      <c r="O969" s="656"/>
      <c r="P969" s="466"/>
      <c r="Q969" s="466"/>
      <c r="R969" s="466"/>
      <c r="S969" s="466"/>
      <c r="T969" s="466"/>
      <c r="U969" s="466"/>
      <c r="V969" s="466"/>
    </row>
    <row r="970" spans="2:22" ht="12.75">
      <c r="B970" s="466"/>
      <c r="D970" s="466"/>
      <c r="E970" s="466"/>
      <c r="F970" s="466"/>
      <c r="G970" s="466"/>
      <c r="H970" s="466"/>
      <c r="I970" s="466"/>
      <c r="J970" s="466"/>
      <c r="K970" s="466"/>
      <c r="L970" s="466"/>
      <c r="M970" s="656"/>
      <c r="N970" s="466"/>
      <c r="O970" s="656"/>
      <c r="P970" s="466"/>
      <c r="Q970" s="466"/>
      <c r="R970" s="466"/>
      <c r="S970" s="466"/>
      <c r="T970" s="466"/>
      <c r="U970" s="466"/>
      <c r="V970" s="466"/>
    </row>
    <row r="971" spans="2:22" ht="12.75">
      <c r="B971" s="466"/>
      <c r="D971" s="466"/>
      <c r="E971" s="466"/>
      <c r="F971" s="466"/>
      <c r="G971" s="466"/>
      <c r="H971" s="466"/>
      <c r="I971" s="466"/>
      <c r="J971" s="466"/>
      <c r="K971" s="466"/>
      <c r="L971" s="466"/>
      <c r="M971" s="656"/>
      <c r="N971" s="466"/>
      <c r="O971" s="656"/>
      <c r="P971" s="466"/>
      <c r="Q971" s="466"/>
      <c r="R971" s="466"/>
      <c r="S971" s="466"/>
      <c r="T971" s="466"/>
      <c r="U971" s="466"/>
      <c r="V971" s="466"/>
    </row>
    <row r="972" spans="2:22" ht="12.75">
      <c r="B972" s="466"/>
      <c r="D972" s="466"/>
      <c r="E972" s="466"/>
      <c r="F972" s="466"/>
      <c r="G972" s="466"/>
      <c r="H972" s="466"/>
      <c r="I972" s="466"/>
      <c r="J972" s="466"/>
      <c r="K972" s="466"/>
      <c r="L972" s="466"/>
      <c r="M972" s="656"/>
      <c r="N972" s="466"/>
      <c r="O972" s="656"/>
      <c r="P972" s="466"/>
      <c r="Q972" s="466"/>
      <c r="R972" s="466"/>
      <c r="S972" s="466"/>
      <c r="T972" s="466"/>
      <c r="U972" s="466"/>
      <c r="V972" s="466"/>
    </row>
    <row r="973" spans="2:22" ht="12.75">
      <c r="B973" s="466"/>
      <c r="D973" s="466"/>
      <c r="E973" s="466"/>
      <c r="F973" s="466"/>
      <c r="G973" s="466"/>
      <c r="H973" s="466"/>
      <c r="I973" s="466"/>
      <c r="J973" s="466"/>
      <c r="K973" s="466"/>
      <c r="L973" s="466"/>
      <c r="M973" s="656"/>
      <c r="N973" s="466"/>
      <c r="O973" s="656"/>
      <c r="P973" s="466"/>
      <c r="Q973" s="466"/>
      <c r="R973" s="466"/>
      <c r="S973" s="466"/>
      <c r="T973" s="466"/>
      <c r="U973" s="466"/>
      <c r="V973" s="466"/>
    </row>
    <row r="974" spans="2:22" ht="12.75">
      <c r="B974" s="466"/>
      <c r="D974" s="466"/>
      <c r="E974" s="466"/>
      <c r="F974" s="466"/>
      <c r="G974" s="466"/>
      <c r="H974" s="466"/>
      <c r="I974" s="466"/>
      <c r="J974" s="466"/>
      <c r="K974" s="466"/>
      <c r="L974" s="466"/>
      <c r="M974" s="656"/>
      <c r="N974" s="466"/>
      <c r="O974" s="656"/>
      <c r="P974" s="466"/>
      <c r="Q974" s="466"/>
      <c r="R974" s="466"/>
      <c r="S974" s="466"/>
      <c r="T974" s="466"/>
      <c r="U974" s="466"/>
      <c r="V974" s="466"/>
    </row>
    <row r="975" spans="2:22" ht="12.75">
      <c r="B975" s="466"/>
      <c r="D975" s="466"/>
      <c r="E975" s="466"/>
      <c r="F975" s="466"/>
      <c r="G975" s="466"/>
      <c r="H975" s="466"/>
      <c r="I975" s="466"/>
      <c r="J975" s="466"/>
      <c r="K975" s="466"/>
      <c r="L975" s="466"/>
      <c r="M975" s="656"/>
      <c r="N975" s="466"/>
      <c r="O975" s="656"/>
      <c r="P975" s="466"/>
      <c r="Q975" s="466"/>
      <c r="R975" s="466"/>
      <c r="S975" s="466"/>
      <c r="T975" s="466"/>
      <c r="U975" s="466"/>
      <c r="V975" s="466"/>
    </row>
    <row r="976" spans="2:22" ht="12.75">
      <c r="B976" s="466"/>
      <c r="D976" s="466"/>
      <c r="E976" s="466"/>
      <c r="F976" s="466"/>
      <c r="G976" s="466"/>
      <c r="H976" s="466"/>
      <c r="I976" s="466"/>
      <c r="J976" s="466"/>
      <c r="K976" s="466"/>
      <c r="L976" s="466"/>
      <c r="M976" s="656"/>
      <c r="N976" s="466"/>
      <c r="O976" s="656"/>
      <c r="P976" s="466"/>
      <c r="Q976" s="466"/>
      <c r="R976" s="466"/>
      <c r="S976" s="466"/>
      <c r="T976" s="466"/>
      <c r="U976" s="466"/>
      <c r="V976" s="466"/>
    </row>
    <row r="977" spans="2:22" ht="12.75">
      <c r="B977" s="466"/>
      <c r="D977" s="466"/>
      <c r="E977" s="466"/>
      <c r="F977" s="466"/>
      <c r="G977" s="466"/>
      <c r="H977" s="466"/>
      <c r="I977" s="466"/>
      <c r="J977" s="466"/>
      <c r="K977" s="466"/>
      <c r="L977" s="466"/>
      <c r="M977" s="656"/>
      <c r="N977" s="466"/>
      <c r="O977" s="656"/>
      <c r="P977" s="466"/>
      <c r="Q977" s="466"/>
      <c r="R977" s="466"/>
      <c r="S977" s="466"/>
      <c r="T977" s="466"/>
      <c r="U977" s="466"/>
      <c r="V977" s="466"/>
    </row>
    <row r="978" spans="2:22" ht="12.75">
      <c r="B978" s="466"/>
      <c r="D978" s="466"/>
      <c r="E978" s="466"/>
      <c r="F978" s="466"/>
      <c r="G978" s="466"/>
      <c r="H978" s="466"/>
      <c r="I978" s="466"/>
      <c r="J978" s="466"/>
      <c r="K978" s="466"/>
      <c r="L978" s="466"/>
      <c r="M978" s="656"/>
      <c r="N978" s="466"/>
      <c r="O978" s="656"/>
      <c r="P978" s="466"/>
      <c r="Q978" s="466"/>
      <c r="R978" s="466"/>
      <c r="S978" s="466"/>
      <c r="T978" s="466"/>
      <c r="U978" s="466"/>
      <c r="V978" s="466"/>
    </row>
    <row r="979" spans="2:22" ht="12.75">
      <c r="B979" s="466"/>
      <c r="D979" s="466"/>
      <c r="E979" s="466"/>
      <c r="F979" s="466"/>
      <c r="G979" s="466"/>
      <c r="H979" s="466"/>
      <c r="I979" s="466"/>
      <c r="J979" s="466"/>
      <c r="K979" s="466"/>
      <c r="L979" s="466"/>
      <c r="M979" s="656"/>
      <c r="N979" s="466"/>
      <c r="O979" s="656"/>
      <c r="P979" s="466"/>
      <c r="Q979" s="466"/>
      <c r="R979" s="466"/>
      <c r="S979" s="466"/>
      <c r="T979" s="466"/>
      <c r="U979" s="466"/>
      <c r="V979" s="466"/>
    </row>
    <row r="980" spans="2:22" ht="12.75">
      <c r="B980" s="466"/>
      <c r="D980" s="466"/>
      <c r="E980" s="466"/>
      <c r="F980" s="466"/>
      <c r="G980" s="466"/>
      <c r="H980" s="466"/>
      <c r="I980" s="466"/>
      <c r="J980" s="466"/>
      <c r="K980" s="466"/>
      <c r="L980" s="466"/>
      <c r="M980" s="656"/>
      <c r="N980" s="466"/>
      <c r="O980" s="656"/>
      <c r="P980" s="466"/>
      <c r="Q980" s="466"/>
      <c r="R980" s="466"/>
      <c r="S980" s="466"/>
      <c r="T980" s="466"/>
      <c r="U980" s="466"/>
      <c r="V980" s="466"/>
    </row>
    <row r="981" spans="2:22" ht="12.75">
      <c r="B981" s="466"/>
      <c r="D981" s="466"/>
      <c r="E981" s="466"/>
      <c r="F981" s="466"/>
      <c r="G981" s="466"/>
      <c r="H981" s="466"/>
      <c r="I981" s="466"/>
      <c r="J981" s="466"/>
      <c r="K981" s="466"/>
      <c r="L981" s="466"/>
      <c r="M981" s="656"/>
      <c r="N981" s="466"/>
      <c r="O981" s="656"/>
      <c r="P981" s="466"/>
      <c r="Q981" s="466"/>
      <c r="R981" s="466"/>
      <c r="S981" s="466"/>
      <c r="T981" s="466"/>
      <c r="U981" s="466"/>
      <c r="V981" s="466"/>
    </row>
    <row r="982" spans="2:22" ht="12.75">
      <c r="B982" s="466"/>
      <c r="D982" s="466"/>
      <c r="E982" s="466"/>
      <c r="F982" s="466"/>
      <c r="G982" s="466"/>
      <c r="H982" s="466"/>
      <c r="I982" s="466"/>
      <c r="J982" s="466"/>
      <c r="K982" s="466"/>
      <c r="L982" s="466"/>
      <c r="M982" s="656"/>
      <c r="N982" s="466"/>
      <c r="O982" s="656"/>
      <c r="P982" s="466"/>
      <c r="Q982" s="466"/>
      <c r="R982" s="466"/>
      <c r="S982" s="466"/>
      <c r="T982" s="466"/>
      <c r="U982" s="466"/>
      <c r="V982" s="466"/>
    </row>
    <row r="983" spans="2:22" ht="12.75">
      <c r="B983" s="466"/>
      <c r="D983" s="466"/>
      <c r="E983" s="466"/>
      <c r="F983" s="466"/>
      <c r="G983" s="466"/>
      <c r="H983" s="466"/>
      <c r="I983" s="466"/>
      <c r="J983" s="466"/>
      <c r="K983" s="466"/>
      <c r="L983" s="466"/>
      <c r="M983" s="656"/>
      <c r="N983" s="466"/>
      <c r="O983" s="656"/>
      <c r="P983" s="466"/>
      <c r="Q983" s="466"/>
      <c r="R983" s="466"/>
      <c r="S983" s="466"/>
      <c r="T983" s="466"/>
      <c r="U983" s="466"/>
      <c r="V983" s="466"/>
    </row>
    <row r="984" spans="2:22" ht="12.75">
      <c r="B984" s="466"/>
      <c r="D984" s="466"/>
      <c r="E984" s="466"/>
      <c r="F984" s="466"/>
      <c r="G984" s="466"/>
      <c r="H984" s="466"/>
      <c r="I984" s="466"/>
      <c r="J984" s="466"/>
      <c r="K984" s="466"/>
      <c r="L984" s="466"/>
      <c r="M984" s="656"/>
      <c r="N984" s="466"/>
      <c r="O984" s="656"/>
      <c r="P984" s="466"/>
      <c r="Q984" s="466"/>
      <c r="R984" s="466"/>
      <c r="S984" s="466"/>
      <c r="T984" s="466"/>
      <c r="U984" s="466"/>
      <c r="V984" s="466"/>
    </row>
    <row r="985" spans="2:22" ht="12.75">
      <c r="B985" s="466"/>
      <c r="D985" s="466"/>
      <c r="E985" s="466"/>
      <c r="F985" s="466"/>
      <c r="G985" s="466"/>
      <c r="H985" s="466"/>
      <c r="I985" s="466"/>
      <c r="J985" s="466"/>
      <c r="K985" s="466"/>
      <c r="L985" s="466"/>
      <c r="M985" s="656"/>
      <c r="N985" s="466"/>
      <c r="O985" s="656"/>
      <c r="P985" s="466"/>
      <c r="Q985" s="466"/>
      <c r="R985" s="466"/>
      <c r="S985" s="466"/>
      <c r="T985" s="466"/>
      <c r="U985" s="466"/>
      <c r="V985" s="466"/>
    </row>
    <row r="986" spans="2:22" ht="12.75">
      <c r="B986" s="466"/>
      <c r="D986" s="466"/>
      <c r="E986" s="466"/>
      <c r="F986" s="466"/>
      <c r="G986" s="466"/>
      <c r="H986" s="466"/>
      <c r="I986" s="466"/>
      <c r="J986" s="466"/>
      <c r="K986" s="466"/>
      <c r="L986" s="466"/>
      <c r="M986" s="656"/>
      <c r="N986" s="466"/>
      <c r="O986" s="656"/>
      <c r="P986" s="466"/>
      <c r="Q986" s="466"/>
      <c r="R986" s="466"/>
      <c r="S986" s="466"/>
      <c r="T986" s="466"/>
      <c r="U986" s="466"/>
      <c r="V986" s="466"/>
    </row>
    <row r="987" spans="2:22" ht="12.75">
      <c r="B987" s="466"/>
      <c r="D987" s="466"/>
      <c r="E987" s="466"/>
      <c r="F987" s="466"/>
      <c r="G987" s="466"/>
      <c r="H987" s="466"/>
      <c r="I987" s="466"/>
      <c r="J987" s="466"/>
      <c r="K987" s="466"/>
      <c r="L987" s="466"/>
      <c r="M987" s="656"/>
      <c r="N987" s="466"/>
      <c r="O987" s="656"/>
      <c r="P987" s="466"/>
      <c r="Q987" s="466"/>
      <c r="R987" s="466"/>
      <c r="S987" s="466"/>
      <c r="T987" s="466"/>
      <c r="U987" s="466"/>
      <c r="V987" s="466"/>
    </row>
    <row r="988" spans="2:22" ht="12.75">
      <c r="B988" s="466"/>
      <c r="D988" s="466"/>
      <c r="E988" s="466"/>
      <c r="F988" s="466"/>
      <c r="G988" s="466"/>
      <c r="H988" s="466"/>
      <c r="I988" s="466"/>
      <c r="J988" s="466"/>
      <c r="K988" s="466"/>
      <c r="L988" s="466"/>
      <c r="M988" s="656"/>
      <c r="N988" s="466"/>
      <c r="O988" s="656"/>
      <c r="P988" s="466"/>
      <c r="Q988" s="466"/>
      <c r="R988" s="466"/>
      <c r="S988" s="466"/>
      <c r="T988" s="466"/>
      <c r="U988" s="466"/>
      <c r="V988" s="466"/>
    </row>
    <row r="989" spans="2:22" ht="12.75">
      <c r="B989" s="466"/>
      <c r="D989" s="466"/>
      <c r="E989" s="466"/>
      <c r="F989" s="466"/>
      <c r="G989" s="466"/>
      <c r="H989" s="466"/>
      <c r="I989" s="466"/>
      <c r="J989" s="466"/>
      <c r="K989" s="466"/>
      <c r="L989" s="466"/>
      <c r="M989" s="656"/>
      <c r="N989" s="466"/>
      <c r="O989" s="656"/>
      <c r="P989" s="466"/>
      <c r="Q989" s="466"/>
      <c r="R989" s="466"/>
      <c r="S989" s="466"/>
      <c r="T989" s="466"/>
      <c r="U989" s="466"/>
      <c r="V989" s="466"/>
    </row>
    <row r="990" spans="2:22" ht="12.75">
      <c r="B990" s="466"/>
      <c r="D990" s="466"/>
      <c r="E990" s="466"/>
      <c r="F990" s="466"/>
      <c r="G990" s="466"/>
      <c r="H990" s="466"/>
      <c r="I990" s="466"/>
      <c r="J990" s="466"/>
      <c r="K990" s="466"/>
      <c r="L990" s="466"/>
      <c r="M990" s="656"/>
      <c r="N990" s="466"/>
      <c r="O990" s="656"/>
      <c r="P990" s="466"/>
      <c r="Q990" s="466"/>
      <c r="R990" s="466"/>
      <c r="S990" s="466"/>
      <c r="T990" s="466"/>
      <c r="U990" s="466"/>
      <c r="V990" s="466"/>
    </row>
    <row r="991" spans="2:22" ht="12.75">
      <c r="B991" s="466"/>
      <c r="D991" s="466"/>
      <c r="E991" s="466"/>
      <c r="F991" s="466"/>
      <c r="G991" s="466"/>
      <c r="H991" s="466"/>
      <c r="I991" s="466"/>
      <c r="J991" s="466"/>
      <c r="K991" s="466"/>
      <c r="L991" s="466"/>
      <c r="M991" s="656"/>
      <c r="N991" s="466"/>
      <c r="O991" s="656"/>
      <c r="P991" s="466"/>
      <c r="Q991" s="466"/>
      <c r="R991" s="466"/>
      <c r="S991" s="466"/>
      <c r="T991" s="466"/>
      <c r="U991" s="466"/>
      <c r="V991" s="466"/>
    </row>
    <row r="992" spans="2:22" ht="12.75">
      <c r="B992" s="466"/>
      <c r="D992" s="466"/>
      <c r="E992" s="466"/>
      <c r="F992" s="466"/>
      <c r="G992" s="466"/>
      <c r="H992" s="466"/>
      <c r="I992" s="466"/>
      <c r="J992" s="466"/>
      <c r="K992" s="466"/>
      <c r="L992" s="466"/>
      <c r="M992" s="656"/>
      <c r="N992" s="466"/>
      <c r="O992" s="656"/>
      <c r="P992" s="466"/>
      <c r="Q992" s="466"/>
      <c r="R992" s="466"/>
      <c r="S992" s="466"/>
      <c r="T992" s="466"/>
      <c r="U992" s="466"/>
      <c r="V992" s="466"/>
    </row>
    <row r="993" spans="2:22" ht="12.75">
      <c r="B993" s="466"/>
      <c r="D993" s="466"/>
      <c r="E993" s="466"/>
      <c r="F993" s="466"/>
      <c r="G993" s="466"/>
      <c r="H993" s="466"/>
      <c r="I993" s="466"/>
      <c r="J993" s="466"/>
      <c r="K993" s="466"/>
      <c r="L993" s="466"/>
      <c r="M993" s="656"/>
      <c r="N993" s="466"/>
      <c r="O993" s="656"/>
      <c r="P993" s="466"/>
      <c r="Q993" s="466"/>
      <c r="R993" s="466"/>
      <c r="S993" s="466"/>
      <c r="T993" s="466"/>
      <c r="U993" s="466"/>
      <c r="V993" s="466"/>
    </row>
    <row r="994" spans="2:22" ht="12.75">
      <c r="B994" s="466"/>
      <c r="D994" s="466"/>
      <c r="E994" s="466"/>
      <c r="F994" s="466"/>
      <c r="G994" s="466"/>
      <c r="H994" s="466"/>
      <c r="I994" s="466"/>
      <c r="J994" s="466"/>
      <c r="K994" s="466"/>
      <c r="L994" s="466"/>
      <c r="M994" s="656"/>
      <c r="N994" s="466"/>
      <c r="O994" s="656"/>
      <c r="P994" s="466"/>
      <c r="Q994" s="466"/>
      <c r="R994" s="466"/>
      <c r="S994" s="466"/>
      <c r="T994" s="466"/>
      <c r="U994" s="466"/>
      <c r="V994" s="466"/>
    </row>
    <row r="995" spans="2:22" ht="12.75">
      <c r="B995" s="466"/>
      <c r="D995" s="466"/>
      <c r="E995" s="466"/>
      <c r="F995" s="466"/>
      <c r="G995" s="466"/>
      <c r="H995" s="466"/>
      <c r="I995" s="466"/>
      <c r="J995" s="466"/>
      <c r="K995" s="466"/>
      <c r="L995" s="466"/>
      <c r="M995" s="656"/>
      <c r="N995" s="466"/>
      <c r="O995" s="656"/>
      <c r="P995" s="466"/>
      <c r="Q995" s="466"/>
      <c r="R995" s="466"/>
      <c r="S995" s="466"/>
      <c r="T995" s="466"/>
      <c r="U995" s="466"/>
      <c r="V995" s="466"/>
    </row>
    <row r="996" spans="2:22" ht="12.75">
      <c r="B996" s="466"/>
      <c r="D996" s="466"/>
      <c r="E996" s="466"/>
      <c r="F996" s="466"/>
      <c r="G996" s="466"/>
      <c r="H996" s="466"/>
      <c r="I996" s="466"/>
      <c r="J996" s="466"/>
      <c r="K996" s="466"/>
      <c r="L996" s="466"/>
      <c r="M996" s="656"/>
      <c r="N996" s="466"/>
      <c r="O996" s="656"/>
      <c r="P996" s="466"/>
      <c r="Q996" s="466"/>
      <c r="R996" s="466"/>
      <c r="S996" s="466"/>
      <c r="T996" s="466"/>
      <c r="U996" s="466"/>
      <c r="V996" s="466"/>
    </row>
    <row r="997" spans="2:22" ht="12.75">
      <c r="B997" s="466"/>
      <c r="D997" s="466"/>
      <c r="E997" s="466"/>
      <c r="F997" s="466"/>
      <c r="G997" s="466"/>
      <c r="H997" s="466"/>
      <c r="I997" s="466"/>
      <c r="J997" s="466"/>
      <c r="K997" s="466"/>
      <c r="L997" s="466"/>
      <c r="M997" s="656"/>
      <c r="N997" s="466"/>
      <c r="O997" s="656"/>
      <c r="P997" s="466"/>
      <c r="Q997" s="466"/>
      <c r="R997" s="466"/>
      <c r="S997" s="466"/>
      <c r="T997" s="466"/>
      <c r="U997" s="466"/>
      <c r="V997" s="466"/>
    </row>
    <row r="998" spans="2:22" ht="12.75">
      <c r="B998" s="466"/>
      <c r="D998" s="466"/>
      <c r="E998" s="466"/>
      <c r="F998" s="466"/>
      <c r="G998" s="466"/>
      <c r="H998" s="466"/>
      <c r="I998" s="466"/>
      <c r="J998" s="466"/>
      <c r="K998" s="466"/>
      <c r="L998" s="466"/>
      <c r="M998" s="656"/>
      <c r="N998" s="466"/>
      <c r="O998" s="656"/>
      <c r="P998" s="466"/>
      <c r="Q998" s="466"/>
      <c r="R998" s="466"/>
      <c r="S998" s="466"/>
      <c r="T998" s="466"/>
      <c r="U998" s="466"/>
      <c r="V998" s="466"/>
    </row>
    <row r="999" spans="2:22" ht="12.75">
      <c r="B999" s="466"/>
      <c r="D999" s="466"/>
      <c r="E999" s="466"/>
      <c r="F999" s="466"/>
      <c r="G999" s="466"/>
      <c r="H999" s="466"/>
      <c r="I999" s="466"/>
      <c r="J999" s="466"/>
      <c r="K999" s="466"/>
      <c r="L999" s="466"/>
      <c r="M999" s="656"/>
      <c r="N999" s="466"/>
      <c r="O999" s="656"/>
      <c r="P999" s="466"/>
      <c r="Q999" s="466"/>
      <c r="R999" s="466"/>
      <c r="S999" s="466"/>
      <c r="T999" s="466"/>
      <c r="U999" s="466"/>
      <c r="V999" s="466"/>
    </row>
    <row r="1000" spans="2:22" ht="12.75">
      <c r="B1000" s="466"/>
      <c r="D1000" s="466"/>
      <c r="E1000" s="466"/>
      <c r="F1000" s="466"/>
      <c r="G1000" s="466"/>
      <c r="H1000" s="466"/>
      <c r="I1000" s="466"/>
      <c r="J1000" s="466"/>
      <c r="K1000" s="466"/>
      <c r="L1000" s="466"/>
      <c r="M1000" s="656"/>
      <c r="N1000" s="466"/>
      <c r="O1000" s="656"/>
      <c r="P1000" s="466"/>
      <c r="Q1000" s="466"/>
      <c r="R1000" s="466"/>
      <c r="S1000" s="466"/>
      <c r="T1000" s="466"/>
      <c r="U1000" s="466"/>
      <c r="V1000" s="466"/>
    </row>
    <row r="1001" spans="2:22" ht="12.75">
      <c r="B1001" s="466"/>
      <c r="D1001" s="466"/>
      <c r="E1001" s="466"/>
      <c r="F1001" s="466"/>
      <c r="G1001" s="466"/>
      <c r="H1001" s="466"/>
      <c r="I1001" s="466"/>
      <c r="J1001" s="466"/>
      <c r="K1001" s="466"/>
      <c r="L1001" s="466"/>
      <c r="M1001" s="656"/>
      <c r="N1001" s="466"/>
      <c r="O1001" s="656"/>
      <c r="P1001" s="466"/>
      <c r="Q1001" s="466"/>
      <c r="R1001" s="466"/>
      <c r="S1001" s="466"/>
      <c r="T1001" s="466"/>
      <c r="U1001" s="466"/>
      <c r="V1001" s="466"/>
    </row>
    <row r="1002" spans="2:22" ht="12.75">
      <c r="B1002" s="466"/>
      <c r="D1002" s="466"/>
      <c r="E1002" s="466"/>
      <c r="F1002" s="466"/>
      <c r="G1002" s="466"/>
      <c r="H1002" s="466"/>
      <c r="I1002" s="466"/>
      <c r="J1002" s="466"/>
      <c r="K1002" s="466"/>
      <c r="L1002" s="466"/>
      <c r="M1002" s="656"/>
      <c r="N1002" s="466"/>
      <c r="O1002" s="656"/>
      <c r="P1002" s="466"/>
      <c r="Q1002" s="466"/>
      <c r="R1002" s="466"/>
      <c r="S1002" s="466"/>
      <c r="T1002" s="466"/>
      <c r="U1002" s="466"/>
      <c r="V1002" s="466"/>
    </row>
  </sheetData>
  <mergeCells count="1">
    <mergeCell ref="B2:O2"/>
  </mergeCells>
  <conditionalFormatting sqref="B4:O1002">
    <cfRule type="expression" dxfId="15" priority="1">
      <formula>IF($E4="TGT",1,0)</formula>
    </cfRule>
  </conditionalFormatting>
  <conditionalFormatting sqref="B4:O1002">
    <cfRule type="expression" dxfId="14" priority="2">
      <formula>IF($E4="GvG",1,0)</formula>
    </cfRule>
  </conditionalFormatting>
  <conditionalFormatting sqref="B4:O1002">
    <cfRule type="expression" dxfId="13" priority="3">
      <formula>IF($E4="Blackrock",1,0)</formula>
    </cfRule>
  </conditionalFormatting>
  <conditionalFormatting sqref="B4:O1002">
    <cfRule type="expression" dxfId="12" priority="4">
      <formula>IF($E4="Naxx",1,0)</formula>
    </cfRule>
  </conditionalFormatting>
  <conditionalFormatting sqref="B4:O1002">
    <cfRule type="expression" dxfId="11" priority="5">
      <formula>IF($E4="Classic",1,0)</formula>
    </cfRule>
  </conditionalFormatting>
  <conditionalFormatting sqref="B4:O1002">
    <cfRule type="expression" dxfId="10" priority="6">
      <formula>IF($E4="Promo",1,0)</formula>
    </cfRule>
  </conditionalFormatting>
  <conditionalFormatting sqref="B4:O1002">
    <cfRule type="expression" dxfId="9" priority="7">
      <formula>IF($E4="LoE",1,0)</formula>
    </cfRule>
  </conditionalFormatting>
  <conditionalFormatting sqref="A1">
    <cfRule type="notContainsBlanks" dxfId="8" priority="8">
      <formula>LEN(TRIM(A1))&gt;0</formula>
    </cfRule>
  </conditionalFormatting>
  <conditionalFormatting sqref="B4:O1002">
    <cfRule type="expression" dxfId="7" priority="9">
      <formula>IF($E4="TOG",1,0)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R53"/>
  <sheetViews>
    <sheetView workbookViewId="0"/>
  </sheetViews>
  <sheetFormatPr defaultColWidth="14.42578125" defaultRowHeight="15.75" customHeight="1"/>
  <cols>
    <col min="1" max="1" width="4.28515625" customWidth="1"/>
    <col min="2" max="2" width="11.140625" customWidth="1"/>
    <col min="3" max="3" width="11" customWidth="1"/>
    <col min="4" max="4" width="9.5703125" customWidth="1"/>
    <col min="5" max="5" width="11.140625" customWidth="1"/>
    <col min="6" max="6" width="11" customWidth="1"/>
    <col min="7" max="7" width="11.28515625" customWidth="1"/>
    <col min="8" max="8" width="11.140625" customWidth="1"/>
    <col min="9" max="9" width="11" customWidth="1"/>
    <col min="10" max="10" width="9.5703125" customWidth="1"/>
    <col min="11" max="11" width="11.140625" customWidth="1"/>
    <col min="12" max="12" width="11" customWidth="1"/>
    <col min="13" max="13" width="9.5703125" customWidth="1"/>
    <col min="14" max="14" width="11.140625" customWidth="1"/>
    <col min="15" max="15" width="11" customWidth="1"/>
    <col min="16" max="16" width="9.5703125" customWidth="1"/>
    <col min="17" max="17" width="11.140625" customWidth="1"/>
    <col min="18" max="18" width="11" customWidth="1"/>
    <col min="19" max="19" width="9.5703125" customWidth="1"/>
    <col min="20" max="20" width="8.28515625" customWidth="1"/>
    <col min="21" max="21" width="9.42578125" customWidth="1"/>
    <col min="22" max="22" width="11.85546875" customWidth="1"/>
    <col min="23" max="23" width="8.28515625" customWidth="1"/>
    <col min="24" max="24" width="9.42578125" customWidth="1"/>
    <col min="25" max="25" width="11.85546875" customWidth="1"/>
    <col min="26" max="26" width="8.28515625" customWidth="1"/>
  </cols>
  <sheetData>
    <row r="1" spans="1:44" ht="12.75">
      <c r="A1" s="34"/>
      <c r="B1" s="34"/>
      <c r="C1" s="34"/>
      <c r="D1" s="34"/>
      <c r="E1" s="34"/>
      <c r="F1" s="34"/>
      <c r="G1" s="34"/>
      <c r="H1" s="34"/>
      <c r="I1" s="34"/>
      <c r="J1" s="34"/>
      <c r="K1" s="34"/>
      <c r="L1" s="34"/>
      <c r="M1" s="34"/>
      <c r="N1" s="34"/>
      <c r="O1" s="180"/>
      <c r="P1" s="34"/>
      <c r="Q1" s="34"/>
      <c r="R1" s="34"/>
      <c r="S1" s="34"/>
      <c r="T1" s="34"/>
      <c r="U1" s="34"/>
      <c r="V1" s="34"/>
      <c r="W1" s="34"/>
      <c r="X1" s="34"/>
      <c r="Y1" s="34"/>
      <c r="Z1" s="34"/>
      <c r="AA1" s="34"/>
      <c r="AB1" s="34"/>
      <c r="AC1" s="34"/>
      <c r="AD1" s="34"/>
      <c r="AE1" s="34"/>
      <c r="AF1" s="34"/>
      <c r="AG1" s="34"/>
      <c r="AH1" s="34"/>
      <c r="AI1" s="34"/>
      <c r="AJ1" s="34"/>
      <c r="AK1" s="677"/>
      <c r="AL1" s="677"/>
      <c r="AM1" s="677"/>
      <c r="AN1" s="677"/>
      <c r="AO1" s="677"/>
      <c r="AP1" s="677"/>
      <c r="AQ1" s="677"/>
      <c r="AR1" s="677"/>
    </row>
    <row r="2" spans="1:44" ht="18">
      <c r="A2" s="34"/>
      <c r="B2" s="1160" t="s">
        <v>1892</v>
      </c>
      <c r="C2" s="1102"/>
      <c r="D2" s="1102"/>
      <c r="E2" s="1102"/>
      <c r="F2" s="1102"/>
      <c r="G2" s="1102"/>
      <c r="H2" s="1102"/>
      <c r="I2" s="1102"/>
      <c r="J2" s="1102"/>
      <c r="K2" s="1102"/>
      <c r="L2" s="1102"/>
      <c r="M2" s="1030"/>
      <c r="N2" s="678"/>
      <c r="O2" s="678"/>
      <c r="P2" s="678"/>
      <c r="Q2" s="678"/>
      <c r="R2" s="678"/>
      <c r="S2" s="678"/>
      <c r="T2" s="34"/>
      <c r="U2" s="34"/>
      <c r="V2" s="34"/>
      <c r="W2" s="34"/>
      <c r="X2" s="34"/>
      <c r="Y2" s="34"/>
      <c r="Z2" s="34"/>
      <c r="AA2" s="34"/>
      <c r="AB2" s="34"/>
      <c r="AC2" s="34"/>
      <c r="AD2" s="34"/>
      <c r="AE2" s="34"/>
      <c r="AF2" s="677"/>
      <c r="AG2" s="677"/>
      <c r="AH2" s="677"/>
      <c r="AI2" s="677"/>
      <c r="AJ2" s="34"/>
      <c r="AK2" s="34"/>
      <c r="AL2" s="326"/>
      <c r="AM2" s="326"/>
      <c r="AN2" s="326"/>
      <c r="AO2" s="326"/>
      <c r="AP2" s="326"/>
      <c r="AQ2" s="326"/>
      <c r="AR2" s="34"/>
    </row>
    <row r="3" spans="1:44" ht="18">
      <c r="A3" s="34"/>
      <c r="B3" s="678"/>
      <c r="C3" s="678"/>
      <c r="D3" s="678"/>
      <c r="E3" s="678"/>
      <c r="F3" s="678"/>
      <c r="G3" s="678"/>
      <c r="H3" s="678"/>
      <c r="I3" s="678"/>
      <c r="J3" s="678"/>
      <c r="K3" s="678"/>
      <c r="L3" s="678"/>
      <c r="M3" s="678"/>
      <c r="N3" s="678"/>
      <c r="O3" s="678"/>
      <c r="P3" s="678"/>
      <c r="Q3" s="678"/>
      <c r="R3" s="678"/>
      <c r="S3" s="678"/>
      <c r="T3" s="34"/>
      <c r="U3" s="34"/>
      <c r="V3" s="34"/>
      <c r="W3" s="34"/>
      <c r="X3" s="34"/>
      <c r="Y3" s="34"/>
      <c r="Z3" s="34"/>
      <c r="AA3" s="34"/>
      <c r="AB3" s="34"/>
      <c r="AC3" s="34"/>
      <c r="AD3" s="34"/>
      <c r="AE3" s="34"/>
      <c r="AF3" s="677"/>
      <c r="AG3" s="677"/>
      <c r="AH3" s="677"/>
      <c r="AI3" s="677"/>
      <c r="AJ3" s="34"/>
      <c r="AK3" s="34"/>
      <c r="AL3" s="326"/>
      <c r="AM3" s="326"/>
      <c r="AN3" s="326"/>
      <c r="AO3" s="326"/>
      <c r="AP3" s="326"/>
      <c r="AQ3" s="326"/>
      <c r="AR3" s="34"/>
    </row>
    <row r="4" spans="1:44" ht="15">
      <c r="A4" s="34"/>
      <c r="B4" s="1158" t="s">
        <v>1893</v>
      </c>
      <c r="C4" s="1102"/>
      <c r="D4" s="1102"/>
      <c r="E4" s="1102"/>
      <c r="F4" s="1102"/>
      <c r="G4" s="1102"/>
      <c r="H4" s="1102"/>
      <c r="I4" s="1102"/>
      <c r="J4" s="1102"/>
      <c r="K4" s="1102"/>
      <c r="L4" s="1102"/>
      <c r="M4" s="1030"/>
      <c r="T4" s="34"/>
      <c r="U4" s="34"/>
      <c r="V4" s="34"/>
      <c r="W4" s="34"/>
      <c r="X4" s="34"/>
      <c r="Y4" s="34"/>
      <c r="Z4" s="34"/>
      <c r="AA4" s="34"/>
      <c r="AB4" s="34"/>
      <c r="AC4" s="34"/>
      <c r="AD4" s="34"/>
      <c r="AE4" s="34"/>
      <c r="AF4" s="677"/>
      <c r="AG4" s="677"/>
      <c r="AH4" s="677"/>
      <c r="AI4" s="677"/>
      <c r="AJ4" s="34"/>
      <c r="AK4" s="326"/>
      <c r="AL4" s="679"/>
      <c r="AM4" s="680"/>
      <c r="AN4" s="679"/>
      <c r="AO4" s="680"/>
      <c r="AP4" s="679"/>
      <c r="AQ4" s="680"/>
      <c r="AR4" s="54"/>
    </row>
    <row r="5" spans="1:44" ht="12.75">
      <c r="A5" s="34"/>
      <c r="B5" s="1157" t="s">
        <v>77</v>
      </c>
      <c r="C5" s="1102"/>
      <c r="D5" s="1030"/>
      <c r="E5" s="1150" t="s">
        <v>1894</v>
      </c>
      <c r="F5" s="1102"/>
      <c r="G5" s="1030"/>
      <c r="H5" s="1152" t="s">
        <v>1895</v>
      </c>
      <c r="I5" s="1102"/>
      <c r="J5" s="1030"/>
      <c r="K5" s="1151" t="s">
        <v>1896</v>
      </c>
      <c r="L5" s="1102"/>
      <c r="M5" s="1030"/>
      <c r="T5" s="34"/>
      <c r="U5" s="34"/>
      <c r="V5" s="34"/>
      <c r="W5" s="34"/>
      <c r="X5" s="34"/>
      <c r="Y5" s="34"/>
      <c r="Z5" s="34"/>
      <c r="AA5" s="34"/>
      <c r="AB5" s="34"/>
      <c r="AC5" s="34"/>
      <c r="AD5" s="34"/>
      <c r="AE5" s="34"/>
      <c r="AF5" s="677"/>
      <c r="AG5" s="677"/>
      <c r="AH5" s="677"/>
      <c r="AI5" s="677"/>
      <c r="AJ5" s="34"/>
      <c r="AK5" s="326"/>
      <c r="AL5" s="679"/>
      <c r="AM5" s="680"/>
      <c r="AN5" s="679"/>
      <c r="AO5" s="680"/>
      <c r="AP5" s="679"/>
      <c r="AQ5" s="680"/>
      <c r="AR5" s="54"/>
    </row>
    <row r="6" spans="1:44" ht="12.75">
      <c r="A6" s="34"/>
      <c r="B6" s="681" t="s">
        <v>136</v>
      </c>
      <c r="C6" s="682" t="s">
        <v>1897</v>
      </c>
      <c r="D6" s="682" t="s">
        <v>1898</v>
      </c>
      <c r="E6" s="683" t="s">
        <v>136</v>
      </c>
      <c r="F6" s="684" t="s">
        <v>1897</v>
      </c>
      <c r="G6" s="684" t="s">
        <v>1898</v>
      </c>
      <c r="H6" s="685" t="s">
        <v>136</v>
      </c>
      <c r="I6" s="686" t="s">
        <v>1897</v>
      </c>
      <c r="J6" s="686" t="s">
        <v>1898</v>
      </c>
      <c r="K6" s="687" t="s">
        <v>136</v>
      </c>
      <c r="L6" s="688" t="s">
        <v>1897</v>
      </c>
      <c r="M6" s="688" t="s">
        <v>1898</v>
      </c>
      <c r="T6" s="34"/>
      <c r="U6" s="34"/>
      <c r="V6" s="34"/>
      <c r="W6" s="34"/>
      <c r="X6" s="34"/>
      <c r="Y6" s="34"/>
      <c r="Z6" s="34"/>
      <c r="AA6" s="34"/>
      <c r="AB6" s="34"/>
      <c r="AC6" s="34"/>
      <c r="AD6" s="34"/>
      <c r="AE6" s="34"/>
      <c r="AF6" s="677"/>
      <c r="AG6" s="677"/>
      <c r="AH6" s="677"/>
      <c r="AI6" s="677"/>
      <c r="AJ6" s="34"/>
      <c r="AK6" s="326"/>
      <c r="AL6" s="679"/>
      <c r="AM6" s="680"/>
      <c r="AN6" s="679"/>
      <c r="AO6" s="680"/>
      <c r="AP6" s="679"/>
      <c r="AQ6" s="680"/>
      <c r="AR6" s="54"/>
    </row>
    <row r="7" spans="1:44" ht="12.75">
      <c r="A7" s="34"/>
      <c r="B7" s="689">
        <f>Summary!U8</f>
        <v>2</v>
      </c>
      <c r="C7" s="690">
        <f t="shared" ref="C7:C10" si="0">B7/M36</f>
        <v>1.0638297872340425E-2</v>
      </c>
      <c r="D7" s="691">
        <f t="shared" ref="D7:D10" si="1">($M36-B7)/$M36*$L36+B7/$M36*$K36</f>
        <v>5.3723404255319149</v>
      </c>
      <c r="E7" s="692">
        <f>Summary!Y8</f>
        <v>1</v>
      </c>
      <c r="F7" s="693">
        <f t="shared" ref="F7:F10" si="2">E7/N36</f>
        <v>1.2500000000000001E-2</v>
      </c>
      <c r="G7" s="694">
        <f t="shared" ref="G7:G10" si="3">($N36-E7)/$N36*$L36+E7/$N36*$K36</f>
        <v>5.4375</v>
      </c>
      <c r="H7" s="695">
        <f>Summary!AB8</f>
        <v>0</v>
      </c>
      <c r="I7" s="696">
        <f t="shared" ref="I7:I10" si="4">H7/O36</f>
        <v>0</v>
      </c>
      <c r="J7" s="697">
        <f t="shared" ref="J7:J10" si="5">($O36-H7)/$O36*$L36+H7/$O36*$K36</f>
        <v>5</v>
      </c>
      <c r="K7" s="698">
        <f>Summary!U15</f>
        <v>1</v>
      </c>
      <c r="L7" s="699">
        <f t="shared" ref="L7:L10" si="6">K7/P36</f>
        <v>0.01</v>
      </c>
      <c r="M7" s="700">
        <f t="shared" ref="M7:M10" si="7">($O36-K7)/$O36*$L36+K7/$O36*$K36</f>
        <v>5.3571428571428568</v>
      </c>
      <c r="AE7" s="701"/>
      <c r="AF7" s="702"/>
      <c r="AG7" s="702"/>
      <c r="AH7" s="701"/>
      <c r="AI7" s="702"/>
      <c r="AJ7" s="34"/>
      <c r="AK7" s="34"/>
      <c r="AL7" s="703"/>
      <c r="AM7" s="54"/>
      <c r="AN7" s="703"/>
      <c r="AO7" s="54"/>
      <c r="AP7" s="703"/>
      <c r="AQ7" s="54"/>
      <c r="AR7" s="54"/>
    </row>
    <row r="8" spans="1:44" ht="12.75">
      <c r="A8" s="34"/>
      <c r="B8" s="689">
        <f>Summary!U9</f>
        <v>10</v>
      </c>
      <c r="C8" s="690">
        <f t="shared" si="0"/>
        <v>6.1728395061728392E-2</v>
      </c>
      <c r="D8" s="691">
        <f t="shared" si="1"/>
        <v>24.938271604938269</v>
      </c>
      <c r="E8" s="692">
        <f>Summary!Y9</f>
        <v>13</v>
      </c>
      <c r="F8" s="693">
        <f t="shared" si="2"/>
        <v>0.17567567567567569</v>
      </c>
      <c r="G8" s="694">
        <f t="shared" si="3"/>
        <v>34.054054054054056</v>
      </c>
      <c r="H8" s="695">
        <f>Summary!AB9</f>
        <v>1</v>
      </c>
      <c r="I8" s="696">
        <f t="shared" si="4"/>
        <v>1.3888888888888888E-2</v>
      </c>
      <c r="J8" s="697">
        <f t="shared" si="5"/>
        <v>21.111111111111111</v>
      </c>
      <c r="K8" s="698">
        <f>Summary!U16</f>
        <v>10</v>
      </c>
      <c r="L8" s="699">
        <f t="shared" si="6"/>
        <v>0.1388888888888889</v>
      </c>
      <c r="M8" s="700">
        <f t="shared" si="7"/>
        <v>31.111111111111111</v>
      </c>
      <c r="AE8" s="701"/>
      <c r="AF8" s="702"/>
      <c r="AG8" s="702"/>
      <c r="AH8" s="701"/>
      <c r="AI8" s="702"/>
      <c r="AJ8" s="34"/>
      <c r="AK8" s="34"/>
      <c r="AL8" s="703"/>
      <c r="AM8" s="54"/>
      <c r="AN8" s="703"/>
      <c r="AO8" s="54"/>
      <c r="AP8" s="703"/>
      <c r="AQ8" s="54"/>
      <c r="AR8" s="54"/>
    </row>
    <row r="9" spans="1:44" ht="12.75">
      <c r="A9" s="34"/>
      <c r="B9" s="689">
        <f>Summary!U10</f>
        <v>26</v>
      </c>
      <c r="C9" s="690">
        <f t="shared" si="0"/>
        <v>0.35135135135135137</v>
      </c>
      <c r="D9" s="691">
        <f t="shared" si="1"/>
        <v>205.40540540540542</v>
      </c>
      <c r="E9" s="692">
        <f>Summary!Y10</f>
        <v>28</v>
      </c>
      <c r="F9" s="693">
        <f t="shared" si="2"/>
        <v>0.53846153846153844</v>
      </c>
      <c r="G9" s="694">
        <f t="shared" si="3"/>
        <v>261.53846153846155</v>
      </c>
      <c r="H9" s="695">
        <f>Summary!AB10</f>
        <v>21</v>
      </c>
      <c r="I9" s="696">
        <f t="shared" si="4"/>
        <v>0.3888888888888889</v>
      </c>
      <c r="J9" s="697">
        <f t="shared" si="5"/>
        <v>216.66666666666669</v>
      </c>
      <c r="K9" s="698">
        <f>Summary!U17</f>
        <v>38</v>
      </c>
      <c r="L9" s="699">
        <f t="shared" si="6"/>
        <v>0.70370370370370372</v>
      </c>
      <c r="M9" s="700">
        <f t="shared" si="7"/>
        <v>311.11111111111109</v>
      </c>
      <c r="AE9" s="701"/>
      <c r="AF9" s="702"/>
      <c r="AG9" s="702"/>
      <c r="AH9" s="701"/>
      <c r="AI9" s="702"/>
      <c r="AJ9" s="34"/>
      <c r="AK9" s="34"/>
      <c r="AL9" s="703"/>
      <c r="AM9" s="54"/>
      <c r="AN9" s="703"/>
      <c r="AO9" s="54"/>
      <c r="AP9" s="703"/>
      <c r="AQ9" s="54"/>
      <c r="AR9" s="54"/>
    </row>
    <row r="10" spans="1:44" ht="12.75">
      <c r="A10" s="34"/>
      <c r="B10" s="689">
        <f>Summary!U11</f>
        <v>13</v>
      </c>
      <c r="C10" s="690">
        <f t="shared" si="0"/>
        <v>0.39393939393939392</v>
      </c>
      <c r="D10" s="691">
        <f t="shared" si="1"/>
        <v>872.72727272727275</v>
      </c>
      <c r="E10" s="692">
        <f>Summary!Y11</f>
        <v>15</v>
      </c>
      <c r="F10" s="704">
        <f t="shared" si="2"/>
        <v>0.75</v>
      </c>
      <c r="G10" s="705">
        <f t="shared" si="3"/>
        <v>1300</v>
      </c>
      <c r="H10" s="695">
        <f>Summary!AB11</f>
        <v>10</v>
      </c>
      <c r="I10" s="696">
        <f t="shared" si="4"/>
        <v>0.5</v>
      </c>
      <c r="J10" s="697">
        <f t="shared" si="5"/>
        <v>1000</v>
      </c>
      <c r="K10" s="698">
        <f>Summary!U18</f>
        <v>14</v>
      </c>
      <c r="L10" s="699">
        <f t="shared" si="6"/>
        <v>0.66666666666666663</v>
      </c>
      <c r="M10" s="700">
        <f t="shared" si="7"/>
        <v>1240</v>
      </c>
      <c r="AE10" s="701"/>
      <c r="AF10" s="702"/>
      <c r="AG10" s="702"/>
      <c r="AH10" s="701"/>
      <c r="AI10" s="702"/>
      <c r="AJ10" s="34"/>
      <c r="AK10" s="34"/>
      <c r="AL10" s="703"/>
      <c r="AM10" s="54"/>
      <c r="AN10" s="703"/>
      <c r="AO10" s="54"/>
      <c r="AP10" s="703"/>
      <c r="AQ10" s="54"/>
      <c r="AR10" s="54"/>
    </row>
    <row r="11" spans="1:44" ht="12.75">
      <c r="A11" s="34"/>
      <c r="B11" s="706" t="s">
        <v>1899</v>
      </c>
      <c r="C11" s="707">
        <f>SUMPRODUCT(C7:C10, J36:J39)</f>
        <v>4.1539597407345946E-2</v>
      </c>
      <c r="D11" s="708">
        <f>SUMPRODUCT(D7:D10, J36:J39)</f>
        <v>28.224130305345717</v>
      </c>
      <c r="E11" s="709" t="s">
        <v>1899</v>
      </c>
      <c r="F11" s="710">
        <f>SUMPRODUCT(F7:F10, J36:J39)</f>
        <v>8.1129107027576183E-2</v>
      </c>
      <c r="G11" s="711">
        <f>SUMPRODUCT(G7:G10, J36:J39)</f>
        <v>37.546193066529625</v>
      </c>
      <c r="H11" s="712" t="s">
        <v>1899</v>
      </c>
      <c r="I11" s="713">
        <f>SUMPRODUCT(I7:I10, J36:J39)</f>
        <v>2.5783430886987844E-2</v>
      </c>
      <c r="J11" s="714">
        <f>SUMPRODUCT(J7:J10, $J$36:$J$39)</f>
        <v>28.981830006503575</v>
      </c>
      <c r="K11" s="715" t="s">
        <v>1899</v>
      </c>
      <c r="L11" s="716">
        <f>SUMPRODUCT(L7:L10, J36:J39)</f>
        <v>7.7245738489502558E-2</v>
      </c>
      <c r="M11" s="717">
        <f>SUMPRODUCT(M7:M10, $J$36:$J$39)</f>
        <v>38.327941081880752</v>
      </c>
      <c r="AE11" s="718"/>
      <c r="AF11" s="719"/>
      <c r="AG11" s="34"/>
      <c r="AH11" s="718"/>
      <c r="AI11" s="719"/>
      <c r="AJ11" s="34"/>
      <c r="AK11" s="34"/>
      <c r="AL11" s="703"/>
      <c r="AM11" s="54"/>
      <c r="AN11" s="703"/>
      <c r="AO11" s="54"/>
      <c r="AP11" s="703"/>
      <c r="AQ11" s="54"/>
      <c r="AR11" s="54"/>
    </row>
    <row r="12" spans="1:44" ht="12.75">
      <c r="A12" s="34"/>
      <c r="B12" s="720" t="s">
        <v>1900</v>
      </c>
      <c r="C12" s="721">
        <f>1-(1-C11)^5</f>
        <v>0.19114462338467131</v>
      </c>
      <c r="D12" s="722">
        <f>D11*5</f>
        <v>141.12065152672858</v>
      </c>
      <c r="E12" s="723" t="s">
        <v>1900</v>
      </c>
      <c r="F12" s="724">
        <f>1-(1-F11)^5</f>
        <v>0.34495298324604484</v>
      </c>
      <c r="G12" s="725">
        <f>G11*5</f>
        <v>187.73096533264811</v>
      </c>
      <c r="H12" s="726" t="s">
        <v>1900</v>
      </c>
      <c r="I12" s="727">
        <f>1-(1-I11)^5</f>
        <v>0.12243850750959806</v>
      </c>
      <c r="J12" s="728">
        <f>J11*5</f>
        <v>144.90915003251789</v>
      </c>
      <c r="K12" s="729" t="s">
        <v>1900</v>
      </c>
      <c r="L12" s="730">
        <f>1-(1-L11)^5</f>
        <v>0.33099356097748278</v>
      </c>
      <c r="M12" s="731">
        <f>M11*5</f>
        <v>191.63970540940375</v>
      </c>
      <c r="AE12" s="718"/>
      <c r="AF12" s="719"/>
      <c r="AG12" s="34"/>
      <c r="AH12" s="718"/>
      <c r="AI12" s="719"/>
      <c r="AJ12" s="34"/>
      <c r="AK12" s="34"/>
      <c r="AL12" s="703"/>
      <c r="AM12" s="54"/>
      <c r="AN12" s="703"/>
      <c r="AO12" s="54"/>
      <c r="AP12" s="703"/>
      <c r="AQ12" s="54"/>
      <c r="AR12" s="54"/>
    </row>
    <row r="13" spans="1:44" ht="12.75">
      <c r="A13" s="34"/>
      <c r="Q13" s="719"/>
      <c r="R13" s="34"/>
      <c r="S13" s="718"/>
      <c r="T13" s="719"/>
      <c r="U13" s="34"/>
      <c r="V13" s="718"/>
      <c r="W13" s="719"/>
      <c r="X13" s="34"/>
      <c r="Y13" s="718"/>
      <c r="Z13" s="719"/>
      <c r="AE13" s="718"/>
      <c r="AF13" s="719"/>
      <c r="AG13" s="34"/>
      <c r="AH13" s="718"/>
      <c r="AI13" s="719"/>
      <c r="AJ13" s="34"/>
      <c r="AK13" s="34"/>
      <c r="AL13" s="703"/>
      <c r="AM13" s="54"/>
      <c r="AN13" s="703"/>
      <c r="AO13" s="54"/>
      <c r="AP13" s="703"/>
      <c r="AQ13" s="54"/>
      <c r="AR13" s="54"/>
    </row>
    <row r="14" spans="1:44" ht="15">
      <c r="B14" s="1158" t="s">
        <v>1901</v>
      </c>
      <c r="C14" s="1102"/>
      <c r="D14" s="1102"/>
      <c r="E14" s="1102"/>
      <c r="F14" s="1102"/>
      <c r="G14" s="1102"/>
      <c r="H14" s="1102"/>
      <c r="I14" s="1102"/>
      <c r="J14" s="1102"/>
      <c r="K14" s="1102"/>
      <c r="L14" s="1102"/>
      <c r="M14" s="1030"/>
      <c r="N14" s="719"/>
      <c r="O14" s="34"/>
      <c r="P14" s="718"/>
    </row>
    <row r="15" spans="1:44" ht="12.75">
      <c r="B15" s="1157" t="s">
        <v>77</v>
      </c>
      <c r="C15" s="1102"/>
      <c r="D15" s="1102"/>
      <c r="E15" s="1150" t="s">
        <v>1894</v>
      </c>
      <c r="F15" s="1102"/>
      <c r="G15" s="1102"/>
      <c r="H15" s="1152" t="s">
        <v>1895</v>
      </c>
      <c r="I15" s="1102"/>
      <c r="J15" s="1102"/>
      <c r="K15" s="1151" t="s">
        <v>1896</v>
      </c>
      <c r="L15" s="1102"/>
      <c r="M15" s="1102"/>
    </row>
    <row r="16" spans="1:44" ht="12.75">
      <c r="B16" s="681" t="s">
        <v>136</v>
      </c>
      <c r="C16" s="682" t="s">
        <v>1897</v>
      </c>
      <c r="D16" s="682" t="s">
        <v>1898</v>
      </c>
      <c r="E16" s="683" t="s">
        <v>136</v>
      </c>
      <c r="F16" s="684" t="s">
        <v>1897</v>
      </c>
      <c r="G16" s="684" t="s">
        <v>1898</v>
      </c>
      <c r="H16" s="685" t="s">
        <v>136</v>
      </c>
      <c r="I16" s="686" t="s">
        <v>1897</v>
      </c>
      <c r="J16" s="686" t="s">
        <v>1898</v>
      </c>
      <c r="K16" s="687" t="s">
        <v>136</v>
      </c>
      <c r="L16" s="688" t="s">
        <v>1897</v>
      </c>
      <c r="M16" s="688" t="s">
        <v>1898</v>
      </c>
    </row>
    <row r="17" spans="1:44" ht="12.75">
      <c r="B17" s="732">
        <f>M36-Cards!AM239</f>
        <v>0</v>
      </c>
      <c r="C17" s="690">
        <f t="shared" ref="C17:C20" si="8">B17/M36</f>
        <v>0</v>
      </c>
      <c r="D17" s="691">
        <f>(M36-B17)/$M36*$L36+B17/M36*$K36</f>
        <v>5</v>
      </c>
      <c r="E17" s="733">
        <f>$N36-Cards!AO239</f>
        <v>0.65999999999999659</v>
      </c>
      <c r="F17" s="693">
        <f t="shared" ref="F17:F20" si="9">E17/N36</f>
        <v>8.249999999999957E-3</v>
      </c>
      <c r="G17" s="694">
        <f t="shared" ref="G17:G20" si="10">($N36-E17)/$N36*$L36+E17/$N36*$K36</f>
        <v>5.2887499999999985</v>
      </c>
      <c r="H17" s="734">
        <f>$O36-Cards!AQ239</f>
        <v>0</v>
      </c>
      <c r="I17" s="696">
        <f t="shared" ref="I17:I20" si="11">H17/O36</f>
        <v>0</v>
      </c>
      <c r="J17" s="697">
        <f t="shared" ref="J17:J20" si="12">($O36-H17)/$O36*$L36+H17/$O36*$K36</f>
        <v>5</v>
      </c>
      <c r="K17" s="698">
        <f>$P36-Cards!AS239</f>
        <v>1</v>
      </c>
      <c r="L17" s="699">
        <f t="shared" ref="L17:L20" si="13">K17/P36</f>
        <v>0.01</v>
      </c>
      <c r="M17" s="700">
        <f t="shared" ref="M17:M20" si="14">($P36-K17)/$P36*$L36+K17/$P36*$K36</f>
        <v>5.3500000000000005</v>
      </c>
    </row>
    <row r="18" spans="1:44" ht="12.75">
      <c r="B18" s="732">
        <f>M37-Cards!AM240</f>
        <v>3.6599999999999966</v>
      </c>
      <c r="C18" s="690">
        <f t="shared" si="8"/>
        <v>2.259259259259257E-2</v>
      </c>
      <c r="D18" s="691">
        <f>(M37-B18)/$M37*$L37+B18/Summary!T9*$K37</f>
        <v>21.807407407407403</v>
      </c>
      <c r="E18" s="733">
        <f>$N37-Cards!AO240</f>
        <v>4.6200000000000045</v>
      </c>
      <c r="F18" s="693">
        <f t="shared" si="9"/>
        <v>6.2432432432432496E-2</v>
      </c>
      <c r="G18" s="694">
        <f t="shared" si="10"/>
        <v>24.994594594594599</v>
      </c>
      <c r="H18" s="734">
        <f>$O37-Cards!AQ240</f>
        <v>0.32999999999999829</v>
      </c>
      <c r="I18" s="696">
        <f t="shared" si="11"/>
        <v>4.5833333333333099E-3</v>
      </c>
      <c r="J18" s="697">
        <f t="shared" si="12"/>
        <v>20.366666666666667</v>
      </c>
      <c r="K18" s="698">
        <f>$P37-Cards!AS240</f>
        <v>10</v>
      </c>
      <c r="L18" s="699">
        <f t="shared" si="13"/>
        <v>0.1388888888888889</v>
      </c>
      <c r="M18" s="700">
        <f t="shared" si="14"/>
        <v>31.111111111111111</v>
      </c>
    </row>
    <row r="19" spans="1:44" ht="12.75">
      <c r="B19" s="732">
        <f>M38-Cards!AM241</f>
        <v>6.2699999999999818</v>
      </c>
      <c r="C19" s="690">
        <f t="shared" si="8"/>
        <v>8.4729729729729489E-2</v>
      </c>
      <c r="D19" s="691">
        <f>(M38-B19)/$M38*$L38+B19/Summary!T10*$K38</f>
        <v>125.41891891891885</v>
      </c>
      <c r="E19" s="733">
        <f>$N38-Cards!AO241</f>
        <v>7.6099999999999994</v>
      </c>
      <c r="F19" s="693">
        <f t="shared" si="9"/>
        <v>0.14634615384615385</v>
      </c>
      <c r="G19" s="694">
        <f t="shared" si="10"/>
        <v>143.90384615384616</v>
      </c>
      <c r="H19" s="734">
        <f>$O38-Cards!AQ241</f>
        <v>4.6300000000000026</v>
      </c>
      <c r="I19" s="696">
        <f t="shared" si="11"/>
        <v>8.5740740740740784E-2</v>
      </c>
      <c r="J19" s="697">
        <f t="shared" si="12"/>
        <v>125.72222222222223</v>
      </c>
      <c r="K19" s="698">
        <f>$P38-Cards!AS241</f>
        <v>38</v>
      </c>
      <c r="L19" s="699">
        <f t="shared" si="13"/>
        <v>0.70370370370370372</v>
      </c>
      <c r="M19" s="700">
        <f t="shared" si="14"/>
        <v>311.11111111111109</v>
      </c>
    </row>
    <row r="20" spans="1:44" ht="12.75">
      <c r="B20" s="735">
        <f>M39-Cards!AM242</f>
        <v>2.6500000000000021</v>
      </c>
      <c r="C20" s="736">
        <f t="shared" si="8"/>
        <v>8.0303030303030362E-2</v>
      </c>
      <c r="D20" s="737">
        <f>(M39-B20)/$M39*$L39+B20/Summary!T11*$K39</f>
        <v>496.36363636363649</v>
      </c>
      <c r="E20" s="733">
        <f>$N39-Cards!AO242</f>
        <v>4.3000000000000007</v>
      </c>
      <c r="F20" s="693">
        <f t="shared" si="9"/>
        <v>0.21500000000000002</v>
      </c>
      <c r="G20" s="694">
        <f t="shared" si="10"/>
        <v>658</v>
      </c>
      <c r="H20" s="734">
        <f>$O39-Cards!AQ242</f>
        <v>2.9699999999999989</v>
      </c>
      <c r="I20" s="738">
        <f t="shared" si="11"/>
        <v>0.14849999999999994</v>
      </c>
      <c r="J20" s="739">
        <f t="shared" si="12"/>
        <v>578.19999999999993</v>
      </c>
      <c r="K20" s="698">
        <f>$P39-Cards!AS242</f>
        <v>14</v>
      </c>
      <c r="L20" s="699">
        <f t="shared" si="13"/>
        <v>0.66666666666666663</v>
      </c>
      <c r="M20" s="700">
        <f t="shared" si="14"/>
        <v>1199.9999999999998</v>
      </c>
    </row>
    <row r="21" spans="1:44" ht="12.75">
      <c r="B21" s="706" t="s">
        <v>1899</v>
      </c>
      <c r="C21" s="707">
        <f t="shared" ref="C21:D21" si="15">SUMPRODUCT(C17:C20, $J$36:$J$39)</f>
        <v>9.7838945408508533E-3</v>
      </c>
      <c r="D21" s="708">
        <f t="shared" si="15"/>
        <v>19.568605831651304</v>
      </c>
      <c r="E21" s="709" t="s">
        <v>1899</v>
      </c>
      <c r="F21" s="710">
        <f t="shared" ref="F21:G21" si="16">SUMPRODUCT(F17:F20, $J$36:$J$39)</f>
        <v>2.9011976215816811E-2</v>
      </c>
      <c r="G21" s="711">
        <f t="shared" si="16"/>
        <v>23.103586390711357</v>
      </c>
      <c r="H21" s="712" t="s">
        <v>1899</v>
      </c>
      <c r="I21" s="713">
        <f t="shared" ref="I21:J21" si="17">SUMPRODUCT(I17:I20, $J$36:$J$39)</f>
        <v>6.4560109727016483E-3</v>
      </c>
      <c r="J21" s="714">
        <f t="shared" si="17"/>
        <v>20.156305768172498</v>
      </c>
      <c r="K21" s="715" t="s">
        <v>1899</v>
      </c>
      <c r="L21" s="716">
        <f t="shared" ref="L21:M21" si="18">SUMPRODUCT(L17:L20, $J$36:$J$39)</f>
        <v>7.7245738489502558E-2</v>
      </c>
      <c r="M21" s="717">
        <f t="shared" si="18"/>
        <v>37.880744109260093</v>
      </c>
    </row>
    <row r="22" spans="1:44" ht="12.75">
      <c r="B22" s="720" t="s">
        <v>1900</v>
      </c>
      <c r="C22" s="721">
        <f>1-(1-C21)^5</f>
        <v>4.7971546647221808E-2</v>
      </c>
      <c r="D22" s="722">
        <f>D21*5</f>
        <v>97.843029158256513</v>
      </c>
      <c r="E22" s="723" t="s">
        <v>1900</v>
      </c>
      <c r="F22" s="724">
        <f>1-(1-F21)^5</f>
        <v>0.13688360402749755</v>
      </c>
      <c r="G22" s="725">
        <f>G21*5</f>
        <v>115.51793195355678</v>
      </c>
      <c r="H22" s="726" t="s">
        <v>1900</v>
      </c>
      <c r="I22" s="727">
        <f>1-(1-I21)^5</f>
        <v>3.1865936282171381E-2</v>
      </c>
      <c r="J22" s="728">
        <f>J21*5</f>
        <v>100.78152884086249</v>
      </c>
      <c r="K22" s="729" t="s">
        <v>1900</v>
      </c>
      <c r="L22" s="730">
        <f>1-(1-L21)^5</f>
        <v>0.33099356097748278</v>
      </c>
      <c r="M22" s="731">
        <f>M21*5</f>
        <v>189.40372054630046</v>
      </c>
    </row>
    <row r="24" spans="1:44" ht="12.75">
      <c r="B24" s="1159" t="s">
        <v>1902</v>
      </c>
      <c r="C24" s="1102"/>
      <c r="E24" s="1155" t="s">
        <v>1903</v>
      </c>
      <c r="F24" s="1102"/>
      <c r="G24" s="1102"/>
      <c r="H24" s="1102"/>
      <c r="I24" s="1102"/>
      <c r="J24" s="1102"/>
      <c r="K24" s="1102"/>
      <c r="L24" s="1102"/>
      <c r="M24" s="1102"/>
      <c r="N24" s="1030"/>
      <c r="O24" s="677"/>
      <c r="P24" s="677"/>
    </row>
    <row r="25" spans="1:44" ht="12.75">
      <c r="B25" s="740" t="s">
        <v>77</v>
      </c>
      <c r="C25" s="741" t="b">
        <v>1</v>
      </c>
      <c r="E25" s="1154"/>
      <c r="F25" s="1102"/>
      <c r="G25" s="1153" t="s">
        <v>1904</v>
      </c>
      <c r="H25" s="1102"/>
      <c r="I25" s="1102"/>
      <c r="J25" s="1102"/>
      <c r="K25" s="1156" t="s">
        <v>1901</v>
      </c>
      <c r="L25" s="1102"/>
      <c r="M25" s="1102"/>
      <c r="N25" s="1030"/>
      <c r="O25" s="208"/>
      <c r="P25" s="208"/>
    </row>
    <row r="26" spans="1:44" ht="23.25">
      <c r="A26" s="34"/>
      <c r="B26" s="742" t="s">
        <v>80</v>
      </c>
      <c r="C26" s="743" t="b">
        <v>0</v>
      </c>
      <c r="E26" s="1161" t="s">
        <v>1905</v>
      </c>
      <c r="F26" s="1102"/>
      <c r="G26" s="744" t="str">
        <f>D47</f>
        <v>TOG</v>
      </c>
      <c r="H26" s="1153" t="str">
        <f>"by +" &amp; ROUND(D51,2) &amp; " over " &amp;D48  &amp; " (+" &amp; ROUND(D49/D50*100,2)-100 &amp; "%)"</f>
        <v>by +46.73 over TGT (+32.25%)</v>
      </c>
      <c r="I26" s="1102"/>
      <c r="J26" s="1102"/>
      <c r="K26" s="745" t="str">
        <f>F47</f>
        <v>TOG</v>
      </c>
      <c r="L26" s="1156" t="str">
        <f>"by +" &amp; ROUND(F51,2) &amp; " over " &amp;F48  &amp; " (+" &amp; ROUND(F49/F50*100,2)-100 &amp; "%)"</f>
        <v>by +88.62 over TGT (+87.93%)</v>
      </c>
      <c r="M26" s="1102"/>
      <c r="N26" s="1030"/>
      <c r="O26" s="746"/>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row>
    <row r="27" spans="1:44" ht="23.25">
      <c r="A27" s="34"/>
      <c r="B27" s="747" t="s">
        <v>82</v>
      </c>
      <c r="C27" s="748" t="b">
        <v>1</v>
      </c>
      <c r="E27" s="1161" t="s">
        <v>1906</v>
      </c>
      <c r="F27" s="1102"/>
      <c r="G27" s="744" t="str">
        <f>E47</f>
        <v>TOG</v>
      </c>
      <c r="H27" s="1153" t="str">
        <f>"by +" &amp; ROUND(E51*100,2) &amp; "% over " &amp; E48</f>
        <v>by +13.98% over Classic</v>
      </c>
      <c r="I27" s="1102"/>
      <c r="J27" s="1102"/>
      <c r="K27" s="745" t="str">
        <f>G47</f>
        <v>TOG</v>
      </c>
      <c r="L27" s="1156" t="str">
        <f>"by +" &amp; ROUND(G51*100,2) &amp; "% over " &amp; G48</f>
        <v>by +28.3% over Classic</v>
      </c>
      <c r="M27" s="1102"/>
      <c r="N27" s="1030"/>
      <c r="O27" s="746"/>
      <c r="P27" s="34"/>
      <c r="U27" s="677"/>
      <c r="V27" s="677"/>
      <c r="W27" s="677"/>
      <c r="X27" s="677"/>
      <c r="Y27" s="677"/>
      <c r="Z27" s="677"/>
      <c r="AA27" s="34"/>
      <c r="AD27" s="34"/>
      <c r="AE27" s="34"/>
      <c r="AF27" s="34"/>
      <c r="AG27" s="34"/>
      <c r="AH27" s="34"/>
      <c r="AI27" s="34"/>
      <c r="AJ27" s="34"/>
      <c r="AK27" s="326"/>
      <c r="AL27" s="326"/>
      <c r="AM27" s="326"/>
      <c r="AN27" s="326"/>
      <c r="AO27" s="326"/>
      <c r="AP27" s="326"/>
      <c r="AQ27" s="326"/>
      <c r="AR27" s="34"/>
    </row>
    <row r="28" spans="1:44" ht="12.75">
      <c r="A28" s="34"/>
      <c r="B28" s="749" t="s">
        <v>73</v>
      </c>
      <c r="C28" s="750" t="b">
        <v>1</v>
      </c>
      <c r="AA28" s="34"/>
      <c r="AD28" s="34"/>
      <c r="AE28" s="34"/>
      <c r="AF28" s="34"/>
      <c r="AG28" s="34"/>
      <c r="AH28" s="34"/>
      <c r="AI28" s="34"/>
      <c r="AJ28" s="34"/>
      <c r="AK28" s="326"/>
      <c r="AL28" s="326"/>
      <c r="AM28" s="326"/>
      <c r="AN28" s="326"/>
      <c r="AO28" s="326"/>
      <c r="AP28" s="326"/>
      <c r="AQ28" s="326"/>
      <c r="AR28" s="34"/>
    </row>
    <row r="29" spans="1:44">
      <c r="A29" s="34"/>
      <c r="Q29" s="751"/>
      <c r="R29" s="751"/>
      <c r="S29" s="751"/>
      <c r="AA29" s="34"/>
      <c r="AD29" s="34"/>
      <c r="AE29" s="34"/>
      <c r="AF29" s="34"/>
      <c r="AG29" s="34"/>
      <c r="AH29" s="34"/>
      <c r="AI29" s="34"/>
      <c r="AJ29" s="34"/>
      <c r="AK29" s="326"/>
      <c r="AL29" s="324"/>
      <c r="AM29" s="324"/>
      <c r="AN29" s="324"/>
      <c r="AO29" s="324"/>
      <c r="AP29" s="324"/>
      <c r="AQ29" s="324"/>
      <c r="AR29" s="34"/>
    </row>
    <row r="30" spans="1:44">
      <c r="A30" s="34"/>
      <c r="B30" s="1163" t="s">
        <v>1907</v>
      </c>
      <c r="C30" s="1007"/>
      <c r="D30" s="1007"/>
      <c r="E30" s="1007"/>
      <c r="F30" s="1007"/>
      <c r="G30" s="1007"/>
      <c r="H30" s="1007"/>
      <c r="I30" s="1007"/>
      <c r="J30" s="1007"/>
      <c r="K30" s="1007"/>
      <c r="L30" s="1007"/>
      <c r="M30" s="1007"/>
      <c r="N30" s="1007"/>
      <c r="O30" s="751"/>
      <c r="P30" s="751"/>
      <c r="Q30" s="751"/>
      <c r="R30" s="751"/>
      <c r="S30" s="751"/>
      <c r="AA30" s="34"/>
      <c r="AD30" s="34"/>
      <c r="AE30" s="34"/>
      <c r="AF30" s="34"/>
      <c r="AG30" s="34"/>
      <c r="AH30" s="34"/>
      <c r="AI30" s="34"/>
      <c r="AJ30" s="34"/>
      <c r="AK30" s="326"/>
      <c r="AL30" s="324"/>
      <c r="AM30" s="324"/>
      <c r="AN30" s="324"/>
      <c r="AO30" s="324"/>
      <c r="AP30" s="324"/>
      <c r="AQ30" s="324"/>
      <c r="AR30" s="34"/>
    </row>
    <row r="31" spans="1:44">
      <c r="A31" s="34"/>
      <c r="B31" s="751"/>
      <c r="C31" s="751"/>
      <c r="D31" s="751"/>
      <c r="E31" s="751"/>
      <c r="F31" s="751"/>
      <c r="G31" s="751"/>
      <c r="H31" s="751"/>
      <c r="I31" s="751"/>
      <c r="J31" s="751"/>
      <c r="K31" s="751"/>
      <c r="L31" s="751"/>
      <c r="M31" s="751"/>
      <c r="N31" s="751"/>
      <c r="O31" s="751"/>
      <c r="P31" s="751"/>
      <c r="Q31" s="751"/>
      <c r="R31" s="751"/>
      <c r="S31" s="751"/>
      <c r="T31" s="34"/>
      <c r="U31" s="34"/>
      <c r="V31" s="34"/>
      <c r="Y31" s="54"/>
      <c r="Z31" s="54"/>
      <c r="AA31" s="54"/>
      <c r="AB31" s="54"/>
      <c r="AC31" s="54"/>
      <c r="AD31" s="34"/>
      <c r="AE31" s="34"/>
      <c r="AF31" s="34"/>
      <c r="AG31" s="34"/>
      <c r="AH31" s="34"/>
      <c r="AI31" s="34"/>
      <c r="AJ31" s="34"/>
      <c r="AK31" s="326"/>
      <c r="AL31" s="679"/>
      <c r="AM31" s="680"/>
      <c r="AN31" s="679"/>
      <c r="AO31" s="680"/>
      <c r="AP31" s="679"/>
      <c r="AQ31" s="680"/>
      <c r="AR31" s="54"/>
    </row>
    <row r="32" spans="1:44" hidden="1">
      <c r="A32" s="746"/>
      <c r="B32" s="751"/>
      <c r="C32" s="751"/>
      <c r="D32" s="751"/>
      <c r="E32" s="751"/>
      <c r="F32" s="751"/>
      <c r="G32" s="751"/>
      <c r="H32" s="751"/>
      <c r="I32" s="751"/>
      <c r="J32" s="751"/>
      <c r="K32" s="751"/>
      <c r="L32" s="751"/>
      <c r="M32" s="751"/>
      <c r="N32" s="751"/>
      <c r="O32" s="751"/>
      <c r="P32" s="751"/>
      <c r="R32" s="34"/>
      <c r="S32" s="34"/>
      <c r="T32" s="34"/>
      <c r="U32" s="34"/>
      <c r="V32" s="34"/>
      <c r="W32" s="34"/>
      <c r="X32" s="34"/>
      <c r="Y32" s="34"/>
      <c r="Z32" s="34"/>
      <c r="AA32" s="34"/>
      <c r="AB32" s="34"/>
      <c r="AC32" s="34"/>
      <c r="AD32" s="34"/>
      <c r="AE32" s="34"/>
      <c r="AF32" s="34"/>
      <c r="AG32" s="34"/>
      <c r="AH32" s="34"/>
      <c r="AI32" s="34"/>
      <c r="AJ32" s="34"/>
      <c r="AK32" s="326"/>
      <c r="AL32" s="679"/>
      <c r="AM32" s="680"/>
      <c r="AN32" s="679"/>
      <c r="AO32" s="680"/>
      <c r="AP32" s="679"/>
      <c r="AQ32" s="680"/>
      <c r="AR32" s="54"/>
    </row>
    <row r="33" spans="1:44" ht="12.75" hidden="1">
      <c r="A33" s="746"/>
      <c r="B33" s="34"/>
      <c r="C33" s="34"/>
      <c r="D33" s="752" t="s">
        <v>1908</v>
      </c>
      <c r="E33" s="752" t="s">
        <v>1909</v>
      </c>
      <c r="F33" s="752" t="s">
        <v>1910</v>
      </c>
      <c r="G33" s="752" t="s">
        <v>1911</v>
      </c>
      <c r="I33" s="753"/>
      <c r="J33" s="1162" t="s">
        <v>1912</v>
      </c>
      <c r="K33" s="1007"/>
      <c r="L33" s="1007"/>
      <c r="M33" s="1164" t="s">
        <v>1913</v>
      </c>
      <c r="N33" s="1007"/>
      <c r="O33" s="1007"/>
      <c r="P33" s="1007"/>
      <c r="R33" s="34"/>
      <c r="S33" s="34"/>
      <c r="T33" s="34"/>
      <c r="U33" s="34"/>
      <c r="V33" s="34"/>
      <c r="W33" s="34"/>
      <c r="X33" s="34"/>
      <c r="Y33" s="34"/>
      <c r="Z33" s="34"/>
      <c r="AA33" s="34"/>
      <c r="AB33" s="34"/>
      <c r="AC33" s="34"/>
      <c r="AD33" s="34"/>
      <c r="AE33" s="34"/>
      <c r="AF33" s="34"/>
      <c r="AG33" s="34"/>
      <c r="AH33" s="34"/>
      <c r="AI33" s="34"/>
      <c r="AJ33" s="34"/>
      <c r="AK33" s="326"/>
      <c r="AL33" s="679"/>
      <c r="AM33" s="680"/>
      <c r="AN33" s="679"/>
      <c r="AO33" s="680"/>
      <c r="AP33" s="679"/>
      <c r="AQ33" s="680"/>
      <c r="AR33" s="54"/>
    </row>
    <row r="34" spans="1:44" ht="12.75" hidden="1">
      <c r="A34" s="746"/>
      <c r="C34" s="754" t="str">
        <f>IF($C25, "Classic", "")</f>
        <v>Classic</v>
      </c>
      <c r="D34" s="755">
        <f>IF($C25,$D12,"")</f>
        <v>141.12065152672858</v>
      </c>
      <c r="E34" s="756">
        <f>IF($C25,$C$12,"")</f>
        <v>0.19114462338467131</v>
      </c>
      <c r="F34" s="755">
        <f>IF($C25,$D$22,"")</f>
        <v>97.843029158256513</v>
      </c>
      <c r="G34" s="756">
        <f>IF($C25,$C$22,"")</f>
        <v>4.7971546647221808E-2</v>
      </c>
      <c r="I34" s="753"/>
      <c r="J34" s="1007"/>
      <c r="K34" s="1007"/>
      <c r="L34" s="1007"/>
      <c r="M34" s="1007"/>
      <c r="N34" s="1007"/>
      <c r="O34" s="1007"/>
      <c r="P34" s="1007"/>
      <c r="AE34" s="34"/>
      <c r="AF34" s="34"/>
      <c r="AG34" s="34"/>
      <c r="AH34" s="34"/>
      <c r="AI34" s="34"/>
      <c r="AJ34" s="34"/>
      <c r="AK34" s="34"/>
      <c r="AL34" s="703"/>
      <c r="AM34" s="54"/>
      <c r="AN34" s="703"/>
      <c r="AO34" s="54"/>
      <c r="AP34" s="703"/>
      <c r="AQ34" s="54"/>
      <c r="AR34" s="54"/>
    </row>
    <row r="35" spans="1:44" ht="12.75" hidden="1">
      <c r="C35" s="754" t="str">
        <f>IF($C26,"GvG","")</f>
        <v/>
      </c>
      <c r="D35" s="755" t="str">
        <f>IF($C26,$G12,"")</f>
        <v/>
      </c>
      <c r="E35" s="756" t="str">
        <f>IF($C26,$F$12,"")</f>
        <v/>
      </c>
      <c r="F35" s="755" t="str">
        <f>IF($C26,$G$22,"")</f>
        <v/>
      </c>
      <c r="G35" s="756" t="str">
        <f>IF($C26,$F$22,"")</f>
        <v/>
      </c>
      <c r="I35" s="757"/>
      <c r="J35" s="758" t="s">
        <v>64</v>
      </c>
      <c r="K35" s="758" t="s">
        <v>1914</v>
      </c>
      <c r="L35" s="759" t="s">
        <v>1915</v>
      </c>
      <c r="M35" s="760" t="s">
        <v>77</v>
      </c>
      <c r="N35" s="761" t="s">
        <v>80</v>
      </c>
      <c r="O35" s="762" t="s">
        <v>82</v>
      </c>
      <c r="P35" s="763" t="s">
        <v>73</v>
      </c>
    </row>
    <row r="36" spans="1:44" ht="12.75" hidden="1">
      <c r="C36" s="754" t="str">
        <f>IF(Summary!$P$33, "TGT", "")</f>
        <v>TGT</v>
      </c>
      <c r="D36" s="755">
        <f>IF($C27,$J$12,"")</f>
        <v>144.90915003251789</v>
      </c>
      <c r="E36" s="756">
        <f>IF($C27,$I$12,"")</f>
        <v>0.12243850750959806</v>
      </c>
      <c r="F36" s="755">
        <f>IF($C27,$J$22,"")</f>
        <v>100.78152884086249</v>
      </c>
      <c r="G36" s="756">
        <f>IF($C27,$I$22,"")</f>
        <v>3.1865936282171381E-2</v>
      </c>
      <c r="I36" s="764" t="s">
        <v>63</v>
      </c>
      <c r="J36" s="765">
        <f>Summary!O8</f>
        <v>0.71593576467056885</v>
      </c>
      <c r="K36" s="766">
        <f>Summary!Q8</f>
        <v>40</v>
      </c>
      <c r="L36" s="767">
        <f>Summary!R8</f>
        <v>5</v>
      </c>
      <c r="M36" s="768">
        <f>Cards!AN38</f>
        <v>188</v>
      </c>
      <c r="N36" s="769">
        <f>Cards!AT38</f>
        <v>80</v>
      </c>
      <c r="O36" s="770">
        <f>Cards!AX38</f>
        <v>98</v>
      </c>
      <c r="P36" s="771">
        <f>Cards!BB38</f>
        <v>100</v>
      </c>
    </row>
    <row r="37" spans="1:44" ht="12.75" hidden="1">
      <c r="C37" s="772" t="s">
        <v>73</v>
      </c>
      <c r="D37" s="755">
        <f>IF($C28,$M$12,"")</f>
        <v>191.63970540940375</v>
      </c>
      <c r="E37" s="756">
        <f>IF($C28,$L$12,"")</f>
        <v>0.33099356097748278</v>
      </c>
      <c r="F37" s="755">
        <f>IF($C28,$M$22,"")</f>
        <v>189.40372054630046</v>
      </c>
      <c r="G37" s="756">
        <f>IF($C28,$L$22,"")</f>
        <v>0.33099356097748278</v>
      </c>
      <c r="I37" s="764" t="s">
        <v>68</v>
      </c>
      <c r="J37" s="765">
        <f>Summary!O9</f>
        <v>0.22910400720396218</v>
      </c>
      <c r="K37" s="766">
        <f>Summary!Q9</f>
        <v>100</v>
      </c>
      <c r="L37" s="767">
        <f>Summary!R9</f>
        <v>20</v>
      </c>
      <c r="M37" s="768">
        <f>Cards!AN39</f>
        <v>162</v>
      </c>
      <c r="N37" s="769">
        <f>Cards!AT39</f>
        <v>74</v>
      </c>
      <c r="O37" s="770">
        <f>Cards!AX39</f>
        <v>72</v>
      </c>
      <c r="P37" s="771">
        <f>Cards!BB39</f>
        <v>72</v>
      </c>
    </row>
    <row r="38" spans="1:44" ht="12.75" hidden="1">
      <c r="C38" s="236"/>
      <c r="D38" s="773"/>
      <c r="E38" s="54"/>
      <c r="F38" s="773"/>
      <c r="G38" s="774"/>
      <c r="I38" s="764" t="s">
        <v>69</v>
      </c>
      <c r="J38" s="765">
        <f>Summary!O10</f>
        <v>4.390814948221522E-2</v>
      </c>
      <c r="K38" s="766">
        <f>Summary!Q10</f>
        <v>400</v>
      </c>
      <c r="L38" s="767">
        <f>Summary!R10</f>
        <v>100</v>
      </c>
      <c r="M38" s="768">
        <f>Cards!AN40</f>
        <v>74</v>
      </c>
      <c r="N38" s="769">
        <f>Cards!AT40</f>
        <v>52</v>
      </c>
      <c r="O38" s="770">
        <f>Cards!AX40</f>
        <v>54</v>
      </c>
      <c r="P38" s="771">
        <f>Cards!BB40</f>
        <v>54</v>
      </c>
      <c r="Q38" s="34"/>
    </row>
    <row r="39" spans="1:44" ht="12.75" hidden="1">
      <c r="C39" s="236"/>
      <c r="D39" s="773"/>
      <c r="E39" s="54"/>
      <c r="F39" s="773"/>
      <c r="G39" s="774"/>
      <c r="H39" s="34"/>
      <c r="I39" s="775" t="s">
        <v>70</v>
      </c>
      <c r="J39" s="765">
        <f>Summary!O11</f>
        <v>1.105207864325379E-2</v>
      </c>
      <c r="K39" s="766">
        <f>Summary!Q11</f>
        <v>1600</v>
      </c>
      <c r="L39" s="767">
        <f>Summary!R11</f>
        <v>400</v>
      </c>
      <c r="M39" s="768">
        <f>Cards!AN41</f>
        <v>33</v>
      </c>
      <c r="N39" s="769">
        <f>Cards!AT41</f>
        <v>20</v>
      </c>
      <c r="O39" s="770">
        <f>Cards!AX41</f>
        <v>20</v>
      </c>
      <c r="P39" s="771">
        <f>Cards!BB41</f>
        <v>21</v>
      </c>
    </row>
    <row r="40" spans="1:44" ht="12.75" hidden="1">
      <c r="C40" s="236"/>
      <c r="D40" s="773"/>
      <c r="E40" s="54"/>
      <c r="F40" s="773"/>
      <c r="G40" s="774"/>
      <c r="H40" s="34"/>
      <c r="I40" s="1165" t="s">
        <v>1916</v>
      </c>
      <c r="J40" s="1007"/>
      <c r="K40" s="776">
        <f>SUMPRODUCT(L36:L39, J36:J39)</f>
        <v>16.973405372955128</v>
      </c>
      <c r="M40" s="34"/>
      <c r="N40" s="34"/>
      <c r="O40" s="34"/>
    </row>
    <row r="41" spans="1:44" ht="12.75" hidden="1">
      <c r="C41" s="236"/>
      <c r="D41" s="773"/>
      <c r="E41" s="54"/>
      <c r="F41" s="773"/>
      <c r="G41" s="774"/>
      <c r="I41" s="1165" t="s">
        <v>1917</v>
      </c>
      <c r="J41" s="1007"/>
      <c r="K41" s="777">
        <f>K40*5</f>
        <v>84.867026864775639</v>
      </c>
      <c r="M41" s="34"/>
      <c r="N41" s="34"/>
      <c r="O41" s="34"/>
    </row>
    <row r="42" spans="1:44" ht="12.75" hidden="1">
      <c r="B42" s="778">
        <f>Summary!B39</f>
        <v>0</v>
      </c>
      <c r="C42" s="236"/>
      <c r="D42" s="773"/>
      <c r="E42" s="54"/>
      <c r="F42" s="773"/>
      <c r="G42" s="774"/>
      <c r="I42" s="1166" t="s">
        <v>1918</v>
      </c>
      <c r="J42" s="1034"/>
      <c r="K42" s="776">
        <f>L36*4+L37</f>
        <v>40</v>
      </c>
      <c r="M42" s="34"/>
      <c r="N42" s="34"/>
      <c r="O42" s="34"/>
      <c r="P42" s="173"/>
      <c r="Y42" s="173"/>
      <c r="Z42" s="173"/>
      <c r="AA42" s="173"/>
      <c r="AB42" s="173"/>
      <c r="AC42" s="173"/>
      <c r="AD42" s="173"/>
    </row>
    <row r="43" spans="1:44" ht="12.75" hidden="1">
      <c r="B43" s="173"/>
      <c r="C43" s="236"/>
      <c r="D43" s="773"/>
      <c r="E43" s="54"/>
      <c r="F43" s="773"/>
      <c r="G43" s="774"/>
      <c r="I43" s="173"/>
      <c r="J43" s="779"/>
      <c r="K43" s="779"/>
      <c r="L43" s="34"/>
      <c r="M43" s="173"/>
      <c r="N43" s="173"/>
      <c r="O43" s="173"/>
      <c r="P43" s="173"/>
      <c r="Y43" s="173"/>
      <c r="Z43" s="173"/>
      <c r="AA43" s="173"/>
      <c r="AB43" s="173"/>
      <c r="AC43" s="173"/>
      <c r="AD43" s="173"/>
    </row>
    <row r="44" spans="1:44" ht="12.75" hidden="1">
      <c r="B44" s="778">
        <f>Summary!B40</f>
        <v>0</v>
      </c>
      <c r="C44" s="780"/>
      <c r="D44" s="236"/>
      <c r="E44" s="34"/>
      <c r="F44" s="236"/>
      <c r="G44" s="781"/>
      <c r="Y44" s="173"/>
      <c r="Z44" s="173"/>
      <c r="AA44" s="173"/>
      <c r="AB44" s="173"/>
      <c r="AC44" s="173"/>
      <c r="AD44" s="173"/>
    </row>
    <row r="45" spans="1:44" ht="12.75" hidden="1">
      <c r="B45" s="173"/>
      <c r="C45" s="782" t="s">
        <v>1919</v>
      </c>
      <c r="D45" s="783">
        <f t="shared" ref="D45:G45" si="19">MATCH(LARGE(D34:D43,1),D$34:D$43,0)</f>
        <v>4</v>
      </c>
      <c r="E45" s="784">
        <f t="shared" si="19"/>
        <v>4</v>
      </c>
      <c r="F45" s="783">
        <f t="shared" si="19"/>
        <v>4</v>
      </c>
      <c r="G45" s="785">
        <f t="shared" si="19"/>
        <v>4</v>
      </c>
      <c r="Y45" s="173"/>
      <c r="Z45" s="173"/>
      <c r="AA45" s="173"/>
      <c r="AB45" s="173"/>
      <c r="AC45" s="173"/>
      <c r="AD45" s="173"/>
    </row>
    <row r="46" spans="1:44" ht="12.75" hidden="1">
      <c r="B46" s="173"/>
      <c r="C46" s="786" t="s">
        <v>1920</v>
      </c>
      <c r="D46" s="787">
        <f t="shared" ref="D46:G46" si="20">MATCH(LARGE(D$34:D$43,2),D$34:D$43,0)</f>
        <v>3</v>
      </c>
      <c r="E46" s="326">
        <f t="shared" si="20"/>
        <v>1</v>
      </c>
      <c r="F46" s="787">
        <f t="shared" si="20"/>
        <v>3</v>
      </c>
      <c r="G46" s="788">
        <f t="shared" si="20"/>
        <v>1</v>
      </c>
      <c r="Y46" s="173"/>
      <c r="Z46" s="173"/>
      <c r="AA46" s="173"/>
      <c r="AB46" s="173"/>
      <c r="AC46" s="173"/>
      <c r="AD46" s="173"/>
    </row>
    <row r="47" spans="1:44" ht="12.75" hidden="1">
      <c r="B47" s="34"/>
      <c r="C47" s="786" t="s">
        <v>1921</v>
      </c>
      <c r="D47" s="336" t="str">
        <f t="shared" ref="D47:G47" si="21">INDEX($C$34:$C$43,D45)</f>
        <v>TOG</v>
      </c>
      <c r="E47" s="324" t="str">
        <f t="shared" si="21"/>
        <v>TOG</v>
      </c>
      <c r="F47" s="336" t="str">
        <f t="shared" si="21"/>
        <v>TOG</v>
      </c>
      <c r="G47" s="789" t="str">
        <f t="shared" si="21"/>
        <v>TOG</v>
      </c>
      <c r="Y47" s="173"/>
      <c r="Z47" s="173"/>
      <c r="AA47" s="173"/>
      <c r="AB47" s="173"/>
      <c r="AC47" s="173"/>
      <c r="AD47" s="173"/>
    </row>
    <row r="48" spans="1:44" ht="12.75" hidden="1">
      <c r="B48" s="34"/>
      <c r="C48" s="786" t="s">
        <v>1922</v>
      </c>
      <c r="D48" s="336" t="str">
        <f t="shared" ref="D48:G48" si="22">INDEX($C$34:$C$43,D46)</f>
        <v>TGT</v>
      </c>
      <c r="E48" s="324" t="str">
        <f t="shared" si="22"/>
        <v>Classic</v>
      </c>
      <c r="F48" s="336" t="str">
        <f t="shared" si="22"/>
        <v>TGT</v>
      </c>
      <c r="G48" s="789" t="str">
        <f t="shared" si="22"/>
        <v>Classic</v>
      </c>
      <c r="Y48" s="173"/>
      <c r="Z48" s="173"/>
      <c r="AA48" s="173"/>
      <c r="AB48" s="173"/>
      <c r="AC48" s="173"/>
      <c r="AD48" s="173"/>
    </row>
    <row r="49" spans="2:30" ht="12.75" hidden="1">
      <c r="B49" s="34"/>
      <c r="C49" s="786" t="s">
        <v>1923</v>
      </c>
      <c r="D49" s="790">
        <f t="shared" ref="D49:G49" si="23">INDEX(D34:D43,D45)</f>
        <v>191.63970540940375</v>
      </c>
      <c r="E49" s="680">
        <f t="shared" si="23"/>
        <v>0.33099356097748278</v>
      </c>
      <c r="F49" s="790">
        <f t="shared" si="23"/>
        <v>189.40372054630046</v>
      </c>
      <c r="G49" s="791">
        <f t="shared" si="23"/>
        <v>0.33099356097748278</v>
      </c>
      <c r="H49" s="173"/>
      <c r="Y49" s="173"/>
      <c r="Z49" s="173"/>
      <c r="AA49" s="173"/>
      <c r="AB49" s="173"/>
      <c r="AC49" s="173"/>
      <c r="AD49" s="173"/>
    </row>
    <row r="50" spans="2:30" ht="12.75" hidden="1">
      <c r="B50" s="173"/>
      <c r="C50" s="786" t="s">
        <v>1924</v>
      </c>
      <c r="D50" s="790">
        <f t="shared" ref="D50:G50" si="24">INDEX(D34:D43,D46)</f>
        <v>144.90915003251789</v>
      </c>
      <c r="E50" s="680">
        <f t="shared" si="24"/>
        <v>0.19114462338467131</v>
      </c>
      <c r="F50" s="790">
        <f t="shared" si="24"/>
        <v>100.78152884086249</v>
      </c>
      <c r="G50" s="791">
        <f t="shared" si="24"/>
        <v>4.7971546647221808E-2</v>
      </c>
      <c r="H50" s="173"/>
      <c r="I50" s="34"/>
      <c r="J50" s="34"/>
      <c r="K50" s="34"/>
      <c r="L50" s="34"/>
      <c r="M50" s="34"/>
      <c r="N50" s="34"/>
      <c r="O50" s="34"/>
      <c r="P50" s="173"/>
      <c r="Q50" s="173"/>
      <c r="R50" s="173"/>
      <c r="S50" s="173"/>
      <c r="T50" s="34"/>
      <c r="U50" s="34"/>
      <c r="V50" s="173"/>
      <c r="W50" s="173"/>
      <c r="X50" s="173"/>
      <c r="Y50" s="173"/>
      <c r="Z50" s="173"/>
      <c r="AA50" s="173"/>
      <c r="AB50" s="173"/>
      <c r="AC50" s="173"/>
      <c r="AD50" s="173"/>
    </row>
    <row r="51" spans="2:30" ht="1.5" hidden="1" customHeight="1">
      <c r="B51" s="173"/>
      <c r="C51" s="792" t="s">
        <v>1925</v>
      </c>
      <c r="D51" s="793">
        <f t="shared" ref="D51:G51" si="25">ABS(D49-D50)</f>
        <v>46.73055537688586</v>
      </c>
      <c r="E51" s="794">
        <f t="shared" si="25"/>
        <v>0.13984893759281147</v>
      </c>
      <c r="F51" s="793">
        <f t="shared" si="25"/>
        <v>88.62219170543797</v>
      </c>
      <c r="G51" s="795">
        <f t="shared" si="25"/>
        <v>0.28302201433026097</v>
      </c>
      <c r="H51" s="173"/>
      <c r="I51" s="34"/>
      <c r="J51" s="34"/>
      <c r="K51" s="34"/>
      <c r="L51" s="34"/>
      <c r="M51" s="34"/>
      <c r="N51" s="34"/>
      <c r="O51" s="781"/>
      <c r="P51" s="173"/>
      <c r="Q51" s="173"/>
      <c r="R51" s="173"/>
      <c r="S51" s="173"/>
      <c r="T51" s="34"/>
      <c r="U51" s="34"/>
      <c r="V51" s="173"/>
      <c r="W51" s="173"/>
      <c r="X51" s="173"/>
      <c r="Y51" s="173"/>
      <c r="Z51" s="173"/>
      <c r="AA51" s="173"/>
      <c r="AB51" s="173"/>
      <c r="AC51" s="173"/>
      <c r="AD51" s="173"/>
    </row>
    <row r="52" spans="2:30" ht="12.75" hidden="1">
      <c r="H52" s="173"/>
      <c r="I52" s="173"/>
      <c r="J52" s="173"/>
      <c r="K52" s="173"/>
      <c r="L52" s="173"/>
      <c r="M52" s="173"/>
      <c r="N52" s="173"/>
      <c r="O52" s="173"/>
      <c r="P52" s="173"/>
      <c r="Q52" s="173"/>
      <c r="R52" s="173"/>
      <c r="S52" s="173"/>
      <c r="T52" s="100"/>
      <c r="U52" s="34"/>
      <c r="V52" s="173"/>
      <c r="W52" s="173"/>
      <c r="X52" s="173"/>
      <c r="Y52" s="173"/>
      <c r="Z52" s="173"/>
      <c r="AA52" s="173"/>
      <c r="AB52" s="173"/>
      <c r="AC52" s="173"/>
      <c r="AD52" s="173"/>
    </row>
    <row r="53" spans="2:30" ht="12.75">
      <c r="H53" s="173"/>
      <c r="I53" s="173"/>
      <c r="J53" s="173"/>
      <c r="K53" s="173"/>
      <c r="L53" s="173"/>
      <c r="M53" s="173"/>
      <c r="N53" s="173"/>
      <c r="O53" s="173"/>
      <c r="P53" s="173"/>
      <c r="Q53" s="173"/>
      <c r="R53" s="173"/>
      <c r="S53" s="173"/>
      <c r="T53" s="100"/>
      <c r="U53" s="34"/>
      <c r="V53" s="173"/>
      <c r="W53" s="173"/>
      <c r="X53" s="173"/>
      <c r="Y53" s="173"/>
      <c r="Z53" s="173"/>
      <c r="AA53" s="173"/>
      <c r="AB53" s="173"/>
      <c r="AC53" s="173"/>
      <c r="AD53" s="173"/>
    </row>
  </sheetData>
  <mergeCells count="28">
    <mergeCell ref="I42:J42"/>
    <mergeCell ref="J33:L34"/>
    <mergeCell ref="B30:N30"/>
    <mergeCell ref="M33:P34"/>
    <mergeCell ref="I40:J40"/>
    <mergeCell ref="I41:J41"/>
    <mergeCell ref="B4:M4"/>
    <mergeCell ref="B2:M2"/>
    <mergeCell ref="H27:J27"/>
    <mergeCell ref="L27:N27"/>
    <mergeCell ref="L26:N26"/>
    <mergeCell ref="E26:F26"/>
    <mergeCell ref="H26:J26"/>
    <mergeCell ref="E27:F27"/>
    <mergeCell ref="G25:J25"/>
    <mergeCell ref="E25:F25"/>
    <mergeCell ref="E24:N24"/>
    <mergeCell ref="K25:N25"/>
    <mergeCell ref="B15:D15"/>
    <mergeCell ref="K15:M15"/>
    <mergeCell ref="B24:C24"/>
    <mergeCell ref="E5:G5"/>
    <mergeCell ref="K5:M5"/>
    <mergeCell ref="H5:J5"/>
    <mergeCell ref="H15:J15"/>
    <mergeCell ref="E15:G15"/>
    <mergeCell ref="B14:M14"/>
    <mergeCell ref="B5:D5"/>
  </mergeCells>
  <dataValidations count="1">
    <dataValidation type="list" allowBlank="1" sqref="C25:C28">
      <formula1>"TRUE,FALSE"</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FF"/>
  </sheetPr>
  <dimension ref="A1:M33"/>
  <sheetViews>
    <sheetView workbookViewId="0"/>
  </sheetViews>
  <sheetFormatPr defaultColWidth="14.42578125" defaultRowHeight="15.75" customHeight="1"/>
  <cols>
    <col min="1" max="1" width="4.7109375" customWidth="1"/>
    <col min="2" max="2" width="23.42578125" customWidth="1"/>
    <col min="3" max="3" width="20" customWidth="1"/>
    <col min="4" max="6" width="10.85546875" customWidth="1"/>
  </cols>
  <sheetData>
    <row r="1" spans="1:13" ht="33" customHeight="1">
      <c r="A1" s="796"/>
      <c r="B1" s="1167" t="s">
        <v>1926</v>
      </c>
      <c r="C1" s="1007"/>
      <c r="D1" s="1007"/>
      <c r="E1" s="1007"/>
      <c r="F1" s="1007"/>
      <c r="G1" s="1007"/>
      <c r="H1" s="1007"/>
      <c r="J1" s="1168" t="s">
        <v>1927</v>
      </c>
      <c r="K1" s="1007"/>
      <c r="L1" s="1007"/>
      <c r="M1" s="32"/>
    </row>
    <row r="2" spans="1:13" ht="24.75" customHeight="1">
      <c r="A2" s="796"/>
      <c r="B2" s="797" t="s">
        <v>1928</v>
      </c>
      <c r="C2" s="798" t="s">
        <v>1929</v>
      </c>
      <c r="D2" s="799" t="s">
        <v>1930</v>
      </c>
      <c r="E2" s="799" t="s">
        <v>1931</v>
      </c>
      <c r="F2" s="800" t="s">
        <v>136</v>
      </c>
      <c r="G2" s="801" t="s">
        <v>53</v>
      </c>
      <c r="H2" s="801" t="s">
        <v>1932</v>
      </c>
      <c r="I2" s="32"/>
      <c r="J2" s="1007"/>
      <c r="K2" s="1007"/>
      <c r="L2" s="1007"/>
      <c r="M2" s="32"/>
    </row>
    <row r="3" spans="1:13" ht="15">
      <c r="A3" s="802"/>
      <c r="B3" s="803" t="s">
        <v>1933</v>
      </c>
      <c r="C3" s="28" t="str">
        <f t="shared" ref="C3:C32" si="0">IF(ISBLANK(B3),"",RIGHT(B3,LEN(B3)-2))</f>
        <v>Sylvanas Windrunner</v>
      </c>
      <c r="D3" s="804">
        <f t="shared" ref="D3:D32" si="1">IF(ISBLANK(B3),"",INT(LEFT(B3,1)))</f>
        <v>1</v>
      </c>
      <c r="E3" s="805">
        <f>IF(ISBLANK(B3),"",VLOOKUP(C3,Cards!$C$2:$W$878,21,))</f>
        <v>1</v>
      </c>
      <c r="F3" s="804" t="str">
        <f t="shared" ref="F3:F32" si="2">IF(ISBLANK(B3),"",IF(MAX(D3-E3,0)=0,"",MAX(D3-E3,0)))</f>
        <v/>
      </c>
      <c r="G3" s="806" t="str">
        <f>IF(ISBLANK(B3),"",VLOOKUP(C3,Cards!$C$2:$W$744,2,))</f>
        <v>Legendary</v>
      </c>
      <c r="H3" s="807" t="e">
        <f>IF(ISBLANK(B3),"",IF(VLOOKUP(G3,Reference!$J$5:$K$9,2,)*F3=0,"",VLOOKUP(G3,Reference!$J$5:$K$9,2,)*F3))</f>
        <v>#VALUE!</v>
      </c>
      <c r="I3" s="32"/>
      <c r="J3" s="1007"/>
      <c r="K3" s="1007"/>
      <c r="L3" s="1007"/>
      <c r="M3" s="32"/>
    </row>
    <row r="4" spans="1:13" ht="15">
      <c r="A4" s="802"/>
      <c r="B4" s="803" t="s">
        <v>1934</v>
      </c>
      <c r="C4" s="28" t="str">
        <f t="shared" si="0"/>
        <v>Frothing Berserker</v>
      </c>
      <c r="D4" s="804">
        <f t="shared" si="1"/>
        <v>2</v>
      </c>
      <c r="E4" s="805">
        <f>IF(ISBLANK(B4),"",VLOOKUP(C4,Cards!$C$2:$W$878,21,))</f>
        <v>2</v>
      </c>
      <c r="F4" s="804" t="str">
        <f t="shared" si="2"/>
        <v/>
      </c>
      <c r="G4" s="806" t="str">
        <f>IF(ISBLANK(B4),"",VLOOKUP(C4,Cards!$C$2:$W$744,2,))</f>
        <v>Rare</v>
      </c>
      <c r="H4" s="807" t="e">
        <f>IF(ISBLANK(B4),"",IF(VLOOKUP(G4,Reference!$J$5:$K$9,2,)*F4=0,"",VLOOKUP(G4,Reference!$J$5:$K$9,2,)*F4))</f>
        <v>#VALUE!</v>
      </c>
      <c r="I4" s="32"/>
      <c r="J4" s="1007"/>
      <c r="K4" s="1007"/>
      <c r="L4" s="1007"/>
      <c r="M4" s="32"/>
    </row>
    <row r="5" spans="1:13" ht="15">
      <c r="A5" s="802"/>
      <c r="B5" s="803" t="s">
        <v>1935</v>
      </c>
      <c r="C5" s="28" t="str">
        <f t="shared" si="0"/>
        <v>Big Game Hunter</v>
      </c>
      <c r="D5" s="804">
        <f t="shared" si="1"/>
        <v>1</v>
      </c>
      <c r="E5" s="805">
        <f>IF(ISBLANK(B5),"",VLOOKUP(C5,Cards!$C$2:$W$878,21,))</f>
        <v>2</v>
      </c>
      <c r="F5" s="804" t="str">
        <f t="shared" si="2"/>
        <v/>
      </c>
      <c r="G5" s="806" t="str">
        <f>IF(ISBLANK(B5),"",VLOOKUP(C5,Cards!$C$2:$W$744,2,))</f>
        <v>Epic</v>
      </c>
      <c r="H5" s="807" t="e">
        <f>IF(ISBLANK(B5),"",IF(VLOOKUP(G5,Reference!$J$5:$K$9,2,)*F5=0,"",VLOOKUP(G5,Reference!$J$5:$K$9,2,)*F5))</f>
        <v>#VALUE!</v>
      </c>
      <c r="I5" s="32"/>
      <c r="J5" s="1007"/>
      <c r="K5" s="1007"/>
      <c r="L5" s="1007"/>
      <c r="M5" s="32"/>
    </row>
    <row r="6" spans="1:13" ht="15">
      <c r="A6" s="802"/>
      <c r="B6" s="803" t="s">
        <v>1936</v>
      </c>
      <c r="C6" s="28" t="str">
        <f t="shared" si="0"/>
        <v>Slam</v>
      </c>
      <c r="D6" s="804">
        <f t="shared" si="1"/>
        <v>2</v>
      </c>
      <c r="E6" s="805">
        <f>IF(ISBLANK(B6),"",VLOOKUP(C6,Cards!$C$2:$W$878,21,))</f>
        <v>2</v>
      </c>
      <c r="F6" s="804" t="str">
        <f t="shared" si="2"/>
        <v/>
      </c>
      <c r="G6" s="806" t="str">
        <f>IF(ISBLANK(B6),"",VLOOKUP(C6,Cards!$C$2:$W$744,2,))</f>
        <v>Common</v>
      </c>
      <c r="H6" s="807" t="e">
        <f>IF(ISBLANK(B6),"",IF(VLOOKUP(G6,Reference!$J$5:$K$9,2,)*F6=0,"",VLOOKUP(G6,Reference!$J$5:$K$9,2,)*F6))</f>
        <v>#VALUE!</v>
      </c>
      <c r="I6" s="32"/>
      <c r="J6" s="1007"/>
      <c r="K6" s="1007"/>
      <c r="L6" s="1007"/>
      <c r="M6" s="32"/>
    </row>
    <row r="7" spans="1:13" ht="15">
      <c r="A7" s="802"/>
      <c r="B7" s="803" t="s">
        <v>1937</v>
      </c>
      <c r="C7" s="28" t="str">
        <f t="shared" si="0"/>
        <v>Execute</v>
      </c>
      <c r="D7" s="804">
        <f t="shared" si="1"/>
        <v>2</v>
      </c>
      <c r="E7" s="805">
        <f>IF(ISBLANK(B7),"",VLOOKUP(C7,Cards!$C$2:$W$878,21,))</f>
        <v>2</v>
      </c>
      <c r="F7" s="804" t="str">
        <f t="shared" si="2"/>
        <v/>
      </c>
      <c r="G7" s="806" t="str">
        <f>IF(ISBLANK(B7),"",VLOOKUP(C7,Cards!$C$2:$W$744,2,))</f>
        <v>Basic</v>
      </c>
      <c r="H7" s="807" t="e">
        <f>IF(ISBLANK(B7),"",IF(VLOOKUP(G7,Reference!$J$5:$K$9,2,)*F7=0,"",VLOOKUP(G7,Reference!$J$5:$K$9,2,)*F7))</f>
        <v>#VALUE!</v>
      </c>
      <c r="I7" s="32"/>
      <c r="J7" s="1007"/>
      <c r="K7" s="1007"/>
      <c r="L7" s="1007"/>
      <c r="M7" s="32"/>
    </row>
    <row r="8" spans="1:13" ht="15">
      <c r="A8" s="802"/>
      <c r="B8" s="803" t="s">
        <v>1938</v>
      </c>
      <c r="C8" s="28" t="str">
        <f t="shared" si="0"/>
        <v>Brawl</v>
      </c>
      <c r="D8" s="804">
        <f t="shared" si="1"/>
        <v>1</v>
      </c>
      <c r="E8" s="805">
        <f>IF(ISBLANK(B8),"",VLOOKUP(C8,Cards!$C$2:$W$878,21,))</f>
        <v>2</v>
      </c>
      <c r="F8" s="804" t="str">
        <f t="shared" si="2"/>
        <v/>
      </c>
      <c r="G8" s="806" t="str">
        <f>IF(ISBLANK(B8),"",VLOOKUP(C8,Cards!$C$2:$W$744,2,))</f>
        <v>Epic</v>
      </c>
      <c r="H8" s="807" t="e">
        <f>IF(ISBLANK(B8),"",IF(VLOOKUP(G8,Reference!$J$5:$K$9,2,)*F8=0,"",VLOOKUP(G8,Reference!$J$5:$K$9,2,)*F8))</f>
        <v>#VALUE!</v>
      </c>
      <c r="I8" s="32"/>
      <c r="J8" s="1007"/>
      <c r="K8" s="1007"/>
      <c r="L8" s="1007"/>
      <c r="M8" s="32"/>
    </row>
    <row r="9" spans="1:13" ht="15">
      <c r="A9" s="802"/>
      <c r="B9" s="803" t="s">
        <v>1939</v>
      </c>
      <c r="C9" s="28" t="str">
        <f t="shared" si="0"/>
        <v>Cruel Taskmaster</v>
      </c>
      <c r="D9" s="804">
        <f t="shared" si="1"/>
        <v>2</v>
      </c>
      <c r="E9" s="805">
        <f>IF(ISBLANK(B9),"",VLOOKUP(C9,Cards!$C$2:$W$878,21,))</f>
        <v>2</v>
      </c>
      <c r="F9" s="804" t="str">
        <f t="shared" si="2"/>
        <v/>
      </c>
      <c r="G9" s="806" t="str">
        <f>IF(ISBLANK(B9),"",VLOOKUP(C9,Cards!$C$2:$W$744,2,))</f>
        <v>Common</v>
      </c>
      <c r="H9" s="807" t="e">
        <f>IF(ISBLANK(B9),"",IF(VLOOKUP(G9,Reference!$J$5:$K$9,2,)*F9=0,"",VLOOKUP(G9,Reference!$J$5:$K$9,2,)*F9))</f>
        <v>#VALUE!</v>
      </c>
      <c r="I9" s="32"/>
      <c r="J9" s="1007"/>
      <c r="K9" s="1007"/>
      <c r="L9" s="1007"/>
      <c r="M9" s="32"/>
    </row>
    <row r="10" spans="1:13" ht="15">
      <c r="A10" s="802"/>
      <c r="B10" s="803" t="s">
        <v>1940</v>
      </c>
      <c r="C10" s="28" t="str">
        <f t="shared" si="0"/>
        <v>Cairne Bloodhoof</v>
      </c>
      <c r="D10" s="804">
        <f t="shared" si="1"/>
        <v>1</v>
      </c>
      <c r="E10" s="805">
        <f>IF(ISBLANK(B10),"",VLOOKUP(C10,Cards!$C$2:$W$878,21,))</f>
        <v>1</v>
      </c>
      <c r="F10" s="804" t="str">
        <f t="shared" si="2"/>
        <v/>
      </c>
      <c r="G10" s="806" t="str">
        <f>IF(ISBLANK(B10),"",VLOOKUP(C10,Cards!$C$2:$W$744,2,))</f>
        <v>Legendary</v>
      </c>
      <c r="H10" s="807" t="e">
        <f>IF(ISBLANK(B10),"",IF(VLOOKUP(G10,Reference!$J$5:$K$9,2,)*F10=0,"",VLOOKUP(G10,Reference!$J$5:$K$9,2,)*F10))</f>
        <v>#VALUE!</v>
      </c>
      <c r="I10" s="32"/>
      <c r="J10" s="1007"/>
      <c r="K10" s="1007"/>
      <c r="L10" s="1007"/>
      <c r="M10" s="32"/>
    </row>
    <row r="11" spans="1:13" ht="15">
      <c r="A11" s="802"/>
      <c r="B11" s="803" t="s">
        <v>1941</v>
      </c>
      <c r="C11" s="28" t="str">
        <f t="shared" si="0"/>
        <v>Ragnaros the Firelord</v>
      </c>
      <c r="D11" s="804">
        <f t="shared" si="1"/>
        <v>1</v>
      </c>
      <c r="E11" s="805">
        <f>IF(ISBLANK(B11),"",VLOOKUP(C11,Cards!$C$2:$W$878,21,))</f>
        <v>1</v>
      </c>
      <c r="F11" s="804" t="str">
        <f t="shared" si="2"/>
        <v/>
      </c>
      <c r="G11" s="806" t="str">
        <f>IF(ISBLANK(B11),"",VLOOKUP(C11,Cards!$C$2:$W$744,2,))</f>
        <v>Legendary</v>
      </c>
      <c r="H11" s="807" t="e">
        <f>IF(ISBLANK(B11),"",IF(VLOOKUP(G11,Reference!$J$5:$K$9,2,)*F11=0,"",VLOOKUP(G11,Reference!$J$5:$K$9,2,)*F11))</f>
        <v>#VALUE!</v>
      </c>
      <c r="I11" s="32"/>
      <c r="J11" s="1007"/>
      <c r="K11" s="1007"/>
      <c r="L11" s="1007"/>
      <c r="M11" s="32"/>
    </row>
    <row r="12" spans="1:13" ht="15">
      <c r="A12" s="802"/>
      <c r="B12" s="803" t="s">
        <v>1942</v>
      </c>
      <c r="C12" s="28" t="str">
        <f t="shared" si="0"/>
        <v>Harrison Jones</v>
      </c>
      <c r="D12" s="804">
        <f t="shared" si="1"/>
        <v>1</v>
      </c>
      <c r="E12" s="805">
        <f>IF(ISBLANK(B12),"",VLOOKUP(C12,Cards!$C$2:$W$878,21,))</f>
        <v>1</v>
      </c>
      <c r="F12" s="804" t="str">
        <f t="shared" si="2"/>
        <v/>
      </c>
      <c r="G12" s="806" t="str">
        <f>IF(ISBLANK(B12),"",VLOOKUP(C12,Cards!$C$2:$W$744,2,))</f>
        <v>Legendary</v>
      </c>
      <c r="H12" s="807" t="e">
        <f>IF(ISBLANK(B12),"",IF(VLOOKUP(G12,Reference!$J$5:$K$9,2,)*F12=0,"",VLOOKUP(G12,Reference!$J$5:$K$9,2,)*F12))</f>
        <v>#VALUE!</v>
      </c>
      <c r="I12" s="32"/>
      <c r="J12" s="1007"/>
      <c r="K12" s="1007"/>
      <c r="L12" s="1007"/>
      <c r="M12" s="32"/>
    </row>
    <row r="13" spans="1:13" ht="15">
      <c r="A13" s="802"/>
      <c r="B13" s="803" t="s">
        <v>1943</v>
      </c>
      <c r="C13" s="28" t="str">
        <f t="shared" si="0"/>
        <v>Fiery War Axe</v>
      </c>
      <c r="D13" s="804">
        <f t="shared" si="1"/>
        <v>2</v>
      </c>
      <c r="E13" s="805">
        <f>IF(ISBLANK(B13),"",VLOOKUP(C13,Cards!$C$2:$W$878,21,))</f>
        <v>2</v>
      </c>
      <c r="F13" s="804" t="str">
        <f t="shared" si="2"/>
        <v/>
      </c>
      <c r="G13" s="806" t="str">
        <f>IF(ISBLANK(B13),"",VLOOKUP(C13,Cards!$C$2:$W$744,2,))</f>
        <v>Basic</v>
      </c>
      <c r="H13" s="807" t="e">
        <f>IF(ISBLANK(B13),"",IF(VLOOKUP(G13,Reference!$J$5:$K$9,2,)*F13=0,"",VLOOKUP(G13,Reference!$J$5:$K$9,2,)*F13))</f>
        <v>#VALUE!</v>
      </c>
      <c r="I13" s="32"/>
      <c r="J13" s="1007"/>
      <c r="K13" s="1007"/>
      <c r="L13" s="1007"/>
      <c r="M13" s="32"/>
    </row>
    <row r="14" spans="1:13" ht="15">
      <c r="A14" s="802"/>
      <c r="B14" s="803" t="s">
        <v>1944</v>
      </c>
      <c r="C14" s="28" t="str">
        <f t="shared" si="0"/>
        <v>Grommash Hellscream</v>
      </c>
      <c r="D14" s="804">
        <f t="shared" si="1"/>
        <v>1</v>
      </c>
      <c r="E14" s="805">
        <f>IF(ISBLANK(B14),"",VLOOKUP(C14,Cards!$C$2:$W$878,21,))</f>
        <v>1</v>
      </c>
      <c r="F14" s="804" t="str">
        <f t="shared" si="2"/>
        <v/>
      </c>
      <c r="G14" s="806" t="str">
        <f>IF(ISBLANK(B14),"",VLOOKUP(C14,Cards!$C$2:$W$744,2,))</f>
        <v>Legendary</v>
      </c>
      <c r="H14" s="807" t="e">
        <f>IF(ISBLANK(B14),"",IF(VLOOKUP(G14,Reference!$J$5:$K$9,2,)*F14=0,"",VLOOKUP(G14,Reference!$J$5:$K$9,2,)*F14))</f>
        <v>#VALUE!</v>
      </c>
      <c r="I14" s="32"/>
      <c r="J14" s="1007"/>
      <c r="K14" s="1007"/>
      <c r="L14" s="1007"/>
      <c r="M14" s="32"/>
    </row>
    <row r="15" spans="1:13" ht="15">
      <c r="A15" s="802"/>
      <c r="B15" s="803" t="s">
        <v>1945</v>
      </c>
      <c r="C15" s="28" t="str">
        <f t="shared" si="0"/>
        <v>Armorsmith</v>
      </c>
      <c r="D15" s="804">
        <f t="shared" si="1"/>
        <v>2</v>
      </c>
      <c r="E15" s="805">
        <f>IF(ISBLANK(B15),"",VLOOKUP(C15,Cards!$C$2:$W$878,21,))</f>
        <v>2</v>
      </c>
      <c r="F15" s="804" t="str">
        <f t="shared" si="2"/>
        <v/>
      </c>
      <c r="G15" s="806" t="str">
        <f>IF(ISBLANK(B15),"",VLOOKUP(C15,Cards!$C$2:$W$744,2,))</f>
        <v>Rare</v>
      </c>
      <c r="H15" s="807" t="e">
        <f>IF(ISBLANK(B15),"",IF(VLOOKUP(G15,Reference!$J$5:$K$9,2,)*F15=0,"",VLOOKUP(G15,Reference!$J$5:$K$9,2,)*F15))</f>
        <v>#VALUE!</v>
      </c>
      <c r="I15" s="32"/>
      <c r="J15" s="1007"/>
      <c r="K15" s="1007"/>
      <c r="L15" s="1007"/>
      <c r="M15" s="32"/>
    </row>
    <row r="16" spans="1:13" ht="15">
      <c r="A16" s="802"/>
      <c r="B16" s="803" t="s">
        <v>1946</v>
      </c>
      <c r="C16" s="28" t="str">
        <f t="shared" si="0"/>
        <v>Death's Bite</v>
      </c>
      <c r="D16" s="804">
        <f t="shared" si="1"/>
        <v>2</v>
      </c>
      <c r="E16" s="805">
        <f>IF(ISBLANK(B16),"",VLOOKUP(C16,Cards!$C$2:$W$878,21,))</f>
        <v>2</v>
      </c>
      <c r="F16" s="804" t="str">
        <f t="shared" si="2"/>
        <v/>
      </c>
      <c r="G16" s="806" t="str">
        <f>IF(ISBLANK(B16),"",VLOOKUP(C16,Cards!$C$2:$W$744,2,))</f>
        <v>Common</v>
      </c>
      <c r="H16" s="807" t="e">
        <f>IF(ISBLANK(B16),"",IF(VLOOKUP(G16,Reference!$J$5:$K$9,2,)*F16=0,"",VLOOKUP(G16,Reference!$J$5:$K$9,2,)*F16))</f>
        <v>#VALUE!</v>
      </c>
      <c r="I16" s="32"/>
      <c r="J16" s="1007"/>
      <c r="K16" s="1007"/>
      <c r="L16" s="1007"/>
      <c r="M16" s="32"/>
    </row>
    <row r="17" spans="1:13" ht="15">
      <c r="A17" s="802"/>
      <c r="B17" s="803" t="s">
        <v>1947</v>
      </c>
      <c r="C17" s="28" t="str">
        <f t="shared" si="0"/>
        <v>Sludge Belcher</v>
      </c>
      <c r="D17" s="804">
        <f t="shared" si="1"/>
        <v>2</v>
      </c>
      <c r="E17" s="805">
        <f>IF(ISBLANK(B17),"",VLOOKUP(C17,Cards!$C$2:$W$878,21,))</f>
        <v>2</v>
      </c>
      <c r="F17" s="804" t="str">
        <f t="shared" si="2"/>
        <v/>
      </c>
      <c r="G17" s="806" t="str">
        <f>IF(ISBLANK(B17),"",VLOOKUP(C17,Cards!$C$2:$W$744,2,))</f>
        <v>Rare</v>
      </c>
      <c r="H17" s="807" t="e">
        <f>IF(ISBLANK(B17),"",IF(VLOOKUP(G17,Reference!$J$5:$K$9,2,)*F17=0,"",VLOOKUP(G17,Reference!$J$5:$K$9,2,)*F17))</f>
        <v>#VALUE!</v>
      </c>
      <c r="I17" s="32"/>
      <c r="J17" s="1007"/>
      <c r="K17" s="1007"/>
      <c r="L17" s="1007"/>
      <c r="M17" s="32"/>
    </row>
    <row r="18" spans="1:13" ht="15">
      <c r="A18" s="802"/>
      <c r="B18" s="803" t="s">
        <v>1948</v>
      </c>
      <c r="C18" s="28" t="str">
        <f t="shared" si="0"/>
        <v>Dr. Boom</v>
      </c>
      <c r="D18" s="804">
        <f t="shared" si="1"/>
        <v>1</v>
      </c>
      <c r="E18" s="805">
        <f>IF(ISBLANK(B18),"",VLOOKUP(C18,Cards!$C$2:$W$878,21,))</f>
        <v>1</v>
      </c>
      <c r="F18" s="804" t="str">
        <f t="shared" si="2"/>
        <v/>
      </c>
      <c r="G18" s="806" t="str">
        <f>IF(ISBLANK(B18),"",VLOOKUP(C18,Cards!$C$2:$W$744,2,))</f>
        <v>Legendary</v>
      </c>
      <c r="H18" s="807" t="e">
        <f>IF(ISBLANK(B18),"",IF(VLOOKUP(G18,Reference!$J$5:$K$9,2,)*F18=0,"",VLOOKUP(G18,Reference!$J$5:$K$9,2,)*F18))</f>
        <v>#VALUE!</v>
      </c>
      <c r="I18" s="32"/>
      <c r="J18" s="1007"/>
      <c r="K18" s="1007"/>
      <c r="L18" s="1007"/>
      <c r="M18" s="32"/>
    </row>
    <row r="19" spans="1:13" ht="15">
      <c r="A19" s="802"/>
      <c r="B19" s="803" t="s">
        <v>1949</v>
      </c>
      <c r="C19" s="28" t="str">
        <f t="shared" si="0"/>
        <v>Piloted Shredder</v>
      </c>
      <c r="D19" s="804">
        <f t="shared" si="1"/>
        <v>2</v>
      </c>
      <c r="E19" s="805">
        <f>IF(ISBLANK(B19),"",VLOOKUP(C19,Cards!$C$2:$W$878,21,))</f>
        <v>2</v>
      </c>
      <c r="F19" s="804" t="str">
        <f t="shared" si="2"/>
        <v/>
      </c>
      <c r="G19" s="806" t="str">
        <f>IF(ISBLANK(B19),"",VLOOKUP(C19,Cards!$C$2:$W$744,2,))</f>
        <v>Common</v>
      </c>
      <c r="H19" s="807" t="e">
        <f>IF(ISBLANK(B19),"",IF(VLOOKUP(G19,Reference!$J$5:$K$9,2,)*F19=0,"",VLOOKUP(G19,Reference!$J$5:$K$9,2,)*F19))</f>
        <v>#VALUE!</v>
      </c>
      <c r="I19" s="32"/>
      <c r="J19" s="1007"/>
      <c r="K19" s="1007"/>
      <c r="L19" s="1007"/>
      <c r="M19" s="32"/>
    </row>
    <row r="20" spans="1:13" ht="15">
      <c r="A20" s="802"/>
      <c r="B20" s="803" t="s">
        <v>1950</v>
      </c>
      <c r="C20" s="28" t="str">
        <f t="shared" si="0"/>
        <v>Bash</v>
      </c>
      <c r="D20" s="804">
        <f t="shared" si="1"/>
        <v>1</v>
      </c>
      <c r="E20" s="805">
        <f>IF(ISBLANK(B20),"",VLOOKUP(C20,Cards!$C$2:$W$878,21,))</f>
        <v>2</v>
      </c>
      <c r="F20" s="804" t="str">
        <f t="shared" si="2"/>
        <v/>
      </c>
      <c r="G20" s="806" t="str">
        <f>IF(ISBLANK(B20),"",VLOOKUP(C20,Cards!$C$2:$W$744,2,))</f>
        <v>Common</v>
      </c>
      <c r="H20" s="807" t="e">
        <f>IF(ISBLANK(B20),"",IF(VLOOKUP(G20,Reference!$J$5:$K$9,2,)*F20=0,"",VLOOKUP(G20,Reference!$J$5:$K$9,2,)*F20))</f>
        <v>#VALUE!</v>
      </c>
      <c r="I20" s="32"/>
      <c r="J20" s="1007"/>
      <c r="K20" s="1007"/>
      <c r="L20" s="1007"/>
      <c r="M20" s="32"/>
    </row>
    <row r="21" spans="1:13" ht="15">
      <c r="A21" s="802"/>
      <c r="B21" s="803" t="s">
        <v>1951</v>
      </c>
      <c r="C21" s="28" t="str">
        <f t="shared" si="0"/>
        <v>Varian Wrynn</v>
      </c>
      <c r="D21" s="804">
        <f t="shared" si="1"/>
        <v>1</v>
      </c>
      <c r="E21" s="805">
        <f>IF(ISBLANK(B21),"",VLOOKUP(C21,Cards!$C$2:$W$878,21,))</f>
        <v>1</v>
      </c>
      <c r="F21" s="804" t="str">
        <f t="shared" si="2"/>
        <v/>
      </c>
      <c r="G21" s="806" t="str">
        <f>IF(ISBLANK(B21),"",VLOOKUP(C21,Cards!$C$2:$W$744,2,))</f>
        <v>Legendary</v>
      </c>
      <c r="H21" s="807" t="e">
        <f>IF(ISBLANK(B21),"",IF(VLOOKUP(G21,Reference!$J$5:$K$9,2,)*F21=0,"",VLOOKUP(G21,Reference!$J$5:$K$9,2,)*F21))</f>
        <v>#VALUE!</v>
      </c>
      <c r="I21" s="32"/>
      <c r="J21" s="1007"/>
      <c r="K21" s="1007"/>
      <c r="L21" s="1007"/>
      <c r="M21" s="32"/>
    </row>
    <row r="22" spans="1:13" ht="15">
      <c r="A22" s="802"/>
      <c r="B22" s="803" t="s">
        <v>1952</v>
      </c>
      <c r="C22" s="28" t="str">
        <f t="shared" si="0"/>
        <v>Fierce Monkey</v>
      </c>
      <c r="D22" s="804">
        <f t="shared" si="1"/>
        <v>2</v>
      </c>
      <c r="E22" s="805">
        <f>IF(ISBLANK(B22),"",VLOOKUP(C22,Cards!$C$2:$W$878,21,))</f>
        <v>2</v>
      </c>
      <c r="F22" s="804" t="str">
        <f t="shared" si="2"/>
        <v/>
      </c>
      <c r="G22" s="806" t="str">
        <f>IF(ISBLANK(B22),"",VLOOKUP(C22,Cards!$C$2:$W$744,2,))</f>
        <v>Common</v>
      </c>
      <c r="H22" s="807" t="e">
        <f>IF(ISBLANK(B22),"",IF(VLOOKUP(G22,Reference!$J$5:$K$9,2,)*F22=0,"",VLOOKUP(G22,Reference!$J$5:$K$9,2,)*F22))</f>
        <v>#VALUE!</v>
      </c>
      <c r="I22" s="32"/>
      <c r="J22" s="1007"/>
      <c r="K22" s="1007"/>
      <c r="L22" s="1007"/>
      <c r="M22" s="32"/>
    </row>
    <row r="23" spans="1:13" ht="15">
      <c r="A23" s="802"/>
      <c r="B23" s="803"/>
      <c r="C23" s="28" t="str">
        <f t="shared" si="0"/>
        <v/>
      </c>
      <c r="D23" s="804" t="str">
        <f t="shared" si="1"/>
        <v/>
      </c>
      <c r="E23" s="804" t="str">
        <f>IF(ISBLANK(B23),"",VLOOKUP(C23,Cards!$C$2:$W$878,21,))</f>
        <v/>
      </c>
      <c r="F23" s="804" t="str">
        <f t="shared" si="2"/>
        <v/>
      </c>
      <c r="G23" s="807" t="str">
        <f>IF(ISBLANK(B23),"",VLOOKUP(C23,Cards!$C$2:$W$744,2,))</f>
        <v/>
      </c>
      <c r="H23" s="807" t="str">
        <f>IF(ISBLANK(B23),"",IF(VLOOKUP(G23,Reference!$J$5:$K$9,2,)*F23=0,"",VLOOKUP(G23,Reference!$J$5:$K$9,2,)*F23))</f>
        <v/>
      </c>
      <c r="I23" s="32"/>
      <c r="J23" s="1007"/>
      <c r="K23" s="1007"/>
      <c r="L23" s="1007"/>
      <c r="M23" s="32"/>
    </row>
    <row r="24" spans="1:13" ht="15">
      <c r="A24" s="802"/>
      <c r="B24" s="803"/>
      <c r="C24" s="28" t="str">
        <f t="shared" si="0"/>
        <v/>
      </c>
      <c r="D24" s="804" t="str">
        <f t="shared" si="1"/>
        <v/>
      </c>
      <c r="E24" s="804" t="str">
        <f>IF(ISBLANK(B24),"",VLOOKUP(C24,Cards!$C$2:$W$878,21,))</f>
        <v/>
      </c>
      <c r="F24" s="804" t="str">
        <f t="shared" si="2"/>
        <v/>
      </c>
      <c r="G24" s="807" t="str">
        <f>IF(ISBLANK(B24),"",VLOOKUP(C24,Cards!$C$2:$W$744,2,))</f>
        <v/>
      </c>
      <c r="H24" s="807" t="str">
        <f>IF(ISBLANK(B24),"",IF(VLOOKUP(G24,Reference!$J$5:$K$9,2,)*F24=0,"",VLOOKUP(G24,Reference!$J$5:$K$9,2,)*F24))</f>
        <v/>
      </c>
      <c r="I24" s="32"/>
      <c r="J24" s="1007"/>
      <c r="K24" s="1007"/>
      <c r="L24" s="1007"/>
      <c r="M24" s="32"/>
    </row>
    <row r="25" spans="1:13" ht="15">
      <c r="A25" s="802"/>
      <c r="B25" s="803"/>
      <c r="C25" s="28" t="str">
        <f t="shared" si="0"/>
        <v/>
      </c>
      <c r="D25" s="804" t="str">
        <f t="shared" si="1"/>
        <v/>
      </c>
      <c r="E25" s="804" t="str">
        <f>IF(ISBLANK(B25),"",VLOOKUP(C25,Cards!$C$2:$W$878,21,))</f>
        <v/>
      </c>
      <c r="F25" s="804" t="str">
        <f t="shared" si="2"/>
        <v/>
      </c>
      <c r="G25" s="807" t="str">
        <f>IF(ISBLANK(B25),"",VLOOKUP(C25,Cards!$C$2:$W$744,2,))</f>
        <v/>
      </c>
      <c r="H25" s="807" t="str">
        <f>IF(ISBLANK(B25),"",IF(VLOOKUP(G25,Reference!$J$5:$K$9,2,)*F25=0,"",VLOOKUP(G25,Reference!$J$5:$K$9,2,)*F25))</f>
        <v/>
      </c>
      <c r="I25" s="32"/>
      <c r="J25" s="1007"/>
      <c r="K25" s="1007"/>
      <c r="L25" s="1007"/>
      <c r="M25" s="32"/>
    </row>
    <row r="26" spans="1:13" ht="15">
      <c r="A26" s="802"/>
      <c r="B26" s="803"/>
      <c r="C26" s="28" t="str">
        <f t="shared" si="0"/>
        <v/>
      </c>
      <c r="D26" s="804" t="str">
        <f t="shared" si="1"/>
        <v/>
      </c>
      <c r="E26" s="804" t="str">
        <f>IF(ISBLANK(B26),"",VLOOKUP(C26,Cards!$C$2:$W$878,21,))</f>
        <v/>
      </c>
      <c r="F26" s="804" t="str">
        <f t="shared" si="2"/>
        <v/>
      </c>
      <c r="G26" s="807" t="str">
        <f>IF(ISBLANK(B26),"",VLOOKUP(C26,Cards!$C$2:$W$744,2,))</f>
        <v/>
      </c>
      <c r="H26" s="807" t="str">
        <f>IF(ISBLANK(B26),"",IF(VLOOKUP(G26,Reference!$J$5:$K$9,2,)*F26=0,"",VLOOKUP(G26,Reference!$J$5:$K$9,2,)*F26))</f>
        <v/>
      </c>
      <c r="I26" s="32"/>
      <c r="J26" s="1007"/>
      <c r="K26" s="1007"/>
      <c r="L26" s="1007"/>
      <c r="M26" s="32"/>
    </row>
    <row r="27" spans="1:13" ht="15">
      <c r="A27" s="802"/>
      <c r="B27" s="803"/>
      <c r="C27" s="28" t="str">
        <f t="shared" si="0"/>
        <v/>
      </c>
      <c r="D27" s="804" t="str">
        <f t="shared" si="1"/>
        <v/>
      </c>
      <c r="E27" s="804" t="str">
        <f>IF(ISBLANK(B27),"",VLOOKUP(C27,Cards!$C$2:$W$878,21,))</f>
        <v/>
      </c>
      <c r="F27" s="804" t="str">
        <f t="shared" si="2"/>
        <v/>
      </c>
      <c r="G27" s="807" t="str">
        <f>IF(ISBLANK(B27),"",VLOOKUP(C27,Cards!$C$2:$W$744,2,))</f>
        <v/>
      </c>
      <c r="H27" s="807" t="str">
        <f>IF(ISBLANK(B27),"",IF(VLOOKUP(G27,Reference!$J$5:$K$9,2,)*F27=0,"",VLOOKUP(G27,Reference!$J$5:$K$9,2,)*F27))</f>
        <v/>
      </c>
      <c r="I27" s="32"/>
      <c r="J27" s="1007"/>
      <c r="K27" s="1007"/>
      <c r="L27" s="1007"/>
      <c r="M27" s="32"/>
    </row>
    <row r="28" spans="1:13" ht="15">
      <c r="A28" s="802"/>
      <c r="B28" s="803"/>
      <c r="C28" s="28" t="str">
        <f t="shared" si="0"/>
        <v/>
      </c>
      <c r="D28" s="804" t="str">
        <f t="shared" si="1"/>
        <v/>
      </c>
      <c r="E28" s="804" t="str">
        <f>IF(ISBLANK(B28),"",VLOOKUP(C28,Cards!$C$2:$W$878,21,))</f>
        <v/>
      </c>
      <c r="F28" s="804" t="str">
        <f t="shared" si="2"/>
        <v/>
      </c>
      <c r="G28" s="807" t="str">
        <f>IF(ISBLANK(B28),"",VLOOKUP(C28,Cards!$C$2:$W$744,2,))</f>
        <v/>
      </c>
      <c r="H28" s="807" t="str">
        <f>IF(ISBLANK(B28),"",IF(VLOOKUP(G28,Reference!$J$5:$K$9,2,)*F28=0,"",VLOOKUP(G28,Reference!$J$5:$K$9,2,)*F28))</f>
        <v/>
      </c>
      <c r="I28" s="32"/>
      <c r="J28" s="1007"/>
      <c r="K28" s="1007"/>
      <c r="L28" s="1007"/>
      <c r="M28" s="32"/>
    </row>
    <row r="29" spans="1:13" ht="15">
      <c r="A29" s="802"/>
      <c r="B29" s="803"/>
      <c r="C29" s="28" t="str">
        <f t="shared" si="0"/>
        <v/>
      </c>
      <c r="D29" s="804" t="str">
        <f t="shared" si="1"/>
        <v/>
      </c>
      <c r="E29" s="804" t="str">
        <f>IF(ISBLANK(B29),"",VLOOKUP(C29,Cards!$C$2:$W$878,21,))</f>
        <v/>
      </c>
      <c r="F29" s="804" t="str">
        <f t="shared" si="2"/>
        <v/>
      </c>
      <c r="G29" s="807" t="str">
        <f>IF(ISBLANK(B29),"",VLOOKUP(C29,Cards!$C$2:$W$744,2,))</f>
        <v/>
      </c>
      <c r="H29" s="807" t="str">
        <f>IF(ISBLANK(B29),"",IF(VLOOKUP(G29,Reference!$J$5:$K$9,2,)*F29=0,"",VLOOKUP(G29,Reference!$J$5:$K$9,2,)*F29))</f>
        <v/>
      </c>
      <c r="I29" s="32"/>
      <c r="J29" s="1007"/>
      <c r="K29" s="1007"/>
      <c r="L29" s="1007"/>
      <c r="M29" s="32"/>
    </row>
    <row r="30" spans="1:13" ht="15">
      <c r="A30" s="802"/>
      <c r="B30" s="803"/>
      <c r="C30" s="28" t="str">
        <f t="shared" si="0"/>
        <v/>
      </c>
      <c r="D30" s="804" t="str">
        <f t="shared" si="1"/>
        <v/>
      </c>
      <c r="E30" s="804" t="str">
        <f>IF(ISBLANK(B30),"",VLOOKUP(C30,Cards!$C$2:$W$878,21,))</f>
        <v/>
      </c>
      <c r="F30" s="804" t="str">
        <f t="shared" si="2"/>
        <v/>
      </c>
      <c r="G30" s="807" t="str">
        <f>IF(ISBLANK(B30),"",VLOOKUP(C30,Cards!$C$2:$W$744,2,))</f>
        <v/>
      </c>
      <c r="H30" s="807" t="str">
        <f>IF(ISBLANK(B30),"",IF(VLOOKUP(G30,Reference!$J$5:$K$9,2,)*F30=0,"",VLOOKUP(G30,Reference!$J$5:$K$9,2,)*F30))</f>
        <v/>
      </c>
      <c r="I30" s="32"/>
      <c r="J30" s="1007"/>
      <c r="K30" s="1007"/>
      <c r="L30" s="1007"/>
      <c r="M30" s="32"/>
    </row>
    <row r="31" spans="1:13" ht="15">
      <c r="A31" s="802"/>
      <c r="B31" s="803"/>
      <c r="C31" s="28" t="str">
        <f t="shared" si="0"/>
        <v/>
      </c>
      <c r="D31" s="804" t="str">
        <f t="shared" si="1"/>
        <v/>
      </c>
      <c r="E31" s="804" t="str">
        <f>IF(ISBLANK(B31),"",VLOOKUP(C31,Cards!$C$2:$W$878,21,))</f>
        <v/>
      </c>
      <c r="F31" s="804" t="str">
        <f t="shared" si="2"/>
        <v/>
      </c>
      <c r="G31" s="807" t="str">
        <f>IF(ISBLANK(B31),"",VLOOKUP(C31,Cards!$C$2:$W$744,2,))</f>
        <v/>
      </c>
      <c r="H31" s="807" t="str">
        <f>IF(ISBLANK(B31),"",IF(VLOOKUP(G31,Reference!$J$5:$K$9,2,)*F31=0,"",VLOOKUP(G31,Reference!$J$5:$K$9,2,)*F31))</f>
        <v/>
      </c>
      <c r="I31" s="32"/>
      <c r="J31" s="1007"/>
      <c r="K31" s="1007"/>
      <c r="L31" s="1007"/>
      <c r="M31" s="32"/>
    </row>
    <row r="32" spans="1:13" ht="15">
      <c r="A32" s="802"/>
      <c r="B32" s="803"/>
      <c r="C32" s="28" t="str">
        <f t="shared" si="0"/>
        <v/>
      </c>
      <c r="D32" s="804" t="str">
        <f t="shared" si="1"/>
        <v/>
      </c>
      <c r="E32" s="804" t="str">
        <f>IF(ISBLANK(B32),"",VLOOKUP(C32,Cards!$C$2:$W$878,21,))</f>
        <v/>
      </c>
      <c r="F32" s="804" t="str">
        <f t="shared" si="2"/>
        <v/>
      </c>
      <c r="G32" s="807" t="str">
        <f>IF(ISBLANK(B32),"",VLOOKUP(C32,Cards!$C$2:$W$744,2,))</f>
        <v/>
      </c>
      <c r="H32" s="807" t="str">
        <f>IF(ISBLANK(B32),"",IF(VLOOKUP(G32,Reference!$J$5:$K$9,2,)*F32=0,"",VLOOKUP(G32,Reference!$J$5:$K$9,2,)*F32))</f>
        <v/>
      </c>
      <c r="I32" s="32"/>
      <c r="J32" s="1007"/>
      <c r="K32" s="1007"/>
      <c r="L32" s="1007"/>
      <c r="M32" s="32"/>
    </row>
    <row r="33" spans="2:13" ht="15">
      <c r="B33" s="808"/>
      <c r="C33" s="4"/>
      <c r="D33" s="809">
        <f>SUM(D3:D32)</f>
        <v>30</v>
      </c>
      <c r="E33" s="810"/>
      <c r="F33" s="809">
        <f>SUM(F3:F32)</f>
        <v>0</v>
      </c>
      <c r="G33" s="811"/>
      <c r="H33" s="812" t="e">
        <f>SUM(H3:H32)</f>
        <v>#VALUE!</v>
      </c>
      <c r="I33" s="32"/>
      <c r="J33" s="1007"/>
      <c r="K33" s="1007"/>
      <c r="L33" s="1007"/>
      <c r="M33" s="32"/>
    </row>
  </sheetData>
  <mergeCells count="2">
    <mergeCell ref="B1:H1"/>
    <mergeCell ref="J1:L3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3C47D"/>
  </sheetPr>
  <dimension ref="A1:AB47"/>
  <sheetViews>
    <sheetView workbookViewId="0"/>
  </sheetViews>
  <sheetFormatPr defaultColWidth="14.42578125" defaultRowHeight="15.75" customHeight="1"/>
  <cols>
    <col min="1" max="1" width="2.5703125" customWidth="1"/>
  </cols>
  <sheetData>
    <row r="1" spans="1:28" ht="9.75" customHeight="1">
      <c r="A1" s="703"/>
      <c r="B1" s="703"/>
      <c r="C1" s="813"/>
      <c r="D1" s="278"/>
      <c r="E1" s="278"/>
      <c r="F1" s="278"/>
      <c r="G1" s="278"/>
      <c r="H1" s="278"/>
      <c r="I1" s="278"/>
      <c r="J1" s="278"/>
      <c r="K1" s="278"/>
      <c r="L1" s="278"/>
    </row>
    <row r="2" spans="1:28" ht="30">
      <c r="A2" s="703"/>
      <c r="B2" s="703"/>
      <c r="C2" s="1182" t="str">
        <f>HYPERLINK("https://www.reddit.com/r/hearthstone/comments/4gezzw/hearthstone_master_collection_710_the_old_gods/","Click Here To Submit Feedback")</f>
        <v>Click Here To Submit Feedback</v>
      </c>
      <c r="D2" s="1102"/>
      <c r="E2" s="1102"/>
      <c r="F2" s="1102"/>
      <c r="G2" s="1102"/>
      <c r="H2" s="1102"/>
      <c r="I2" s="1102"/>
      <c r="J2" s="1030"/>
      <c r="K2" s="278"/>
      <c r="L2" s="278"/>
    </row>
    <row r="3" spans="1:28" ht="11.25" customHeight="1">
      <c r="A3" s="703"/>
      <c r="B3" s="703"/>
      <c r="C3" s="814"/>
      <c r="D3" s="814"/>
      <c r="E3" s="814"/>
      <c r="F3" s="814"/>
      <c r="G3" s="814"/>
      <c r="H3" s="814"/>
      <c r="I3" s="814"/>
      <c r="J3" s="814"/>
      <c r="K3" s="814"/>
      <c r="L3" s="278"/>
    </row>
    <row r="4" spans="1:28" ht="13.5" customHeight="1">
      <c r="A4" s="703"/>
      <c r="B4" s="1184" t="s">
        <v>1953</v>
      </c>
      <c r="C4" s="1169" t="s">
        <v>1954</v>
      </c>
      <c r="D4" s="1176" t="s">
        <v>1955</v>
      </c>
      <c r="E4" s="1014"/>
      <c r="F4" s="1014"/>
      <c r="G4" s="1014"/>
      <c r="H4" s="1014"/>
      <c r="I4" s="1014"/>
      <c r="J4" s="1014"/>
      <c r="K4" s="1014"/>
      <c r="L4" s="1016"/>
      <c r="M4" s="34"/>
      <c r="N4" s="34"/>
      <c r="O4" s="34"/>
      <c r="P4" s="34"/>
      <c r="Q4" s="34"/>
      <c r="R4" s="34"/>
      <c r="S4" s="34"/>
      <c r="T4" s="34"/>
      <c r="U4" s="34"/>
      <c r="V4" s="34"/>
      <c r="W4" s="34"/>
      <c r="X4" s="34"/>
      <c r="Y4" s="34"/>
      <c r="Z4" s="34"/>
      <c r="AA4" s="34"/>
      <c r="AB4" s="34"/>
    </row>
    <row r="5" spans="1:28" ht="13.5" customHeight="1">
      <c r="A5" s="703"/>
      <c r="B5" s="1175"/>
      <c r="C5" s="1170"/>
      <c r="D5" s="1017"/>
      <c r="E5" s="1034"/>
      <c r="F5" s="1034"/>
      <c r="G5" s="1034"/>
      <c r="H5" s="1034"/>
      <c r="I5" s="1034"/>
      <c r="J5" s="1034"/>
      <c r="K5" s="1034"/>
      <c r="L5" s="1018"/>
      <c r="M5" s="34"/>
      <c r="N5" s="173"/>
      <c r="O5" s="173"/>
      <c r="P5" s="173"/>
      <c r="Q5" s="173"/>
      <c r="R5" s="173"/>
      <c r="S5" s="173"/>
      <c r="T5" s="173"/>
      <c r="U5" s="173"/>
      <c r="V5" s="173"/>
      <c r="W5" s="173"/>
      <c r="X5" s="173"/>
      <c r="Y5" s="173"/>
      <c r="Z5" s="173"/>
      <c r="AA5" s="173"/>
      <c r="AB5" s="173"/>
    </row>
    <row r="6" spans="1:28" ht="13.5" customHeight="1">
      <c r="A6" s="703"/>
      <c r="B6" s="1175"/>
      <c r="C6" s="1169" t="s">
        <v>1956</v>
      </c>
      <c r="D6" s="1176" t="s">
        <v>1957</v>
      </c>
      <c r="E6" s="1014"/>
      <c r="F6" s="1014"/>
      <c r="G6" s="1014"/>
      <c r="H6" s="1014"/>
      <c r="I6" s="1014"/>
      <c r="J6" s="1014"/>
      <c r="K6" s="1014"/>
      <c r="L6" s="1016"/>
      <c r="M6" s="34"/>
      <c r="N6" s="173"/>
      <c r="O6" s="173"/>
      <c r="P6" s="173"/>
      <c r="Q6" s="173"/>
      <c r="R6" s="173"/>
      <c r="S6" s="173"/>
      <c r="T6" s="173"/>
      <c r="U6" s="173"/>
      <c r="V6" s="173"/>
      <c r="W6" s="173"/>
      <c r="X6" s="173"/>
      <c r="Y6" s="173"/>
      <c r="Z6" s="173"/>
      <c r="AA6" s="173"/>
      <c r="AB6" s="173"/>
    </row>
    <row r="7" spans="1:28" ht="13.5" customHeight="1">
      <c r="A7" s="703"/>
      <c r="B7" s="1175"/>
      <c r="C7" s="1170"/>
      <c r="D7" s="1017"/>
      <c r="E7" s="1034"/>
      <c r="F7" s="1034"/>
      <c r="G7" s="1034"/>
      <c r="H7" s="1034"/>
      <c r="I7" s="1034"/>
      <c r="J7" s="1034"/>
      <c r="K7" s="1034"/>
      <c r="L7" s="1018"/>
      <c r="M7" s="34"/>
      <c r="N7" s="173"/>
      <c r="O7" s="173"/>
      <c r="P7" s="173"/>
      <c r="Q7" s="173"/>
      <c r="R7" s="173"/>
      <c r="S7" s="173"/>
      <c r="T7" s="173"/>
      <c r="U7" s="173"/>
      <c r="V7" s="173"/>
      <c r="W7" s="173"/>
      <c r="X7" s="173"/>
      <c r="Y7" s="173"/>
      <c r="Z7" s="173"/>
      <c r="AA7" s="173"/>
      <c r="AB7" s="173"/>
    </row>
    <row r="8" spans="1:28" ht="13.5" customHeight="1">
      <c r="A8" s="703"/>
      <c r="B8" s="1175"/>
      <c r="C8" s="1169" t="s">
        <v>1958</v>
      </c>
      <c r="D8" s="1176" t="s">
        <v>1959</v>
      </c>
      <c r="E8" s="1014"/>
      <c r="F8" s="1014"/>
      <c r="G8" s="1014"/>
      <c r="H8" s="1014"/>
      <c r="I8" s="1014"/>
      <c r="J8" s="1014"/>
      <c r="K8" s="1014"/>
      <c r="L8" s="1016"/>
      <c r="M8" s="34"/>
      <c r="N8" s="173"/>
      <c r="O8" s="173"/>
      <c r="P8" s="173"/>
      <c r="Q8" s="173"/>
      <c r="R8" s="173"/>
      <c r="S8" s="173"/>
      <c r="T8" s="173"/>
      <c r="U8" s="173"/>
      <c r="V8" s="173"/>
      <c r="W8" s="173"/>
      <c r="X8" s="173"/>
      <c r="Y8" s="173"/>
      <c r="Z8" s="173"/>
      <c r="AA8" s="173"/>
      <c r="AB8" s="173"/>
    </row>
    <row r="9" spans="1:28" ht="13.5" customHeight="1">
      <c r="A9" s="703"/>
      <c r="B9" s="1170"/>
      <c r="C9" s="1170"/>
      <c r="D9" s="1017"/>
      <c r="E9" s="1034"/>
      <c r="F9" s="1034"/>
      <c r="G9" s="1034"/>
      <c r="H9" s="1034"/>
      <c r="I9" s="1034"/>
      <c r="J9" s="1034"/>
      <c r="K9" s="1034"/>
      <c r="L9" s="1018"/>
      <c r="M9" s="34"/>
      <c r="N9" s="173"/>
      <c r="O9" s="173"/>
      <c r="P9" s="173"/>
      <c r="Q9" s="173"/>
      <c r="R9" s="173"/>
      <c r="S9" s="173"/>
      <c r="T9" s="173"/>
      <c r="U9" s="173"/>
      <c r="V9" s="173"/>
      <c r="W9" s="173"/>
      <c r="X9" s="173"/>
      <c r="Y9" s="173"/>
      <c r="Z9" s="173"/>
      <c r="AA9" s="173"/>
      <c r="AB9" s="173"/>
    </row>
    <row r="10" spans="1:28" ht="10.5" customHeight="1">
      <c r="A10" s="703"/>
      <c r="B10" s="703"/>
      <c r="C10" s="815"/>
      <c r="D10" s="816"/>
      <c r="E10" s="816"/>
      <c r="F10" s="816"/>
      <c r="G10" s="816"/>
      <c r="H10" s="816"/>
      <c r="I10" s="816"/>
      <c r="J10" s="816"/>
      <c r="K10" s="816"/>
      <c r="L10" s="816"/>
      <c r="M10" s="34"/>
      <c r="N10" s="173"/>
      <c r="O10" s="173"/>
      <c r="P10" s="173"/>
      <c r="Q10" s="173"/>
      <c r="R10" s="173"/>
      <c r="S10" s="173"/>
      <c r="T10" s="173"/>
      <c r="U10" s="173"/>
      <c r="V10" s="173"/>
      <c r="W10" s="173"/>
      <c r="X10" s="173"/>
      <c r="Y10" s="173"/>
      <c r="Z10" s="173"/>
      <c r="AA10" s="173"/>
      <c r="AB10" s="173"/>
    </row>
    <row r="11" spans="1:28" ht="23.25">
      <c r="A11" s="817"/>
      <c r="B11" s="1177" t="s">
        <v>1960</v>
      </c>
      <c r="C11" s="1102"/>
      <c r="D11" s="1102"/>
      <c r="E11" s="1102"/>
      <c r="F11" s="1102"/>
      <c r="G11" s="1102"/>
      <c r="H11" s="1102"/>
      <c r="I11" s="1102"/>
      <c r="J11" s="1102"/>
      <c r="K11" s="1102"/>
      <c r="L11" s="1030"/>
    </row>
    <row r="12" spans="1:28" ht="15">
      <c r="A12" s="818"/>
      <c r="B12" s="819" t="s">
        <v>1961</v>
      </c>
      <c r="C12" s="820" t="s">
        <v>1962</v>
      </c>
      <c r="D12" s="1183" t="s">
        <v>1963</v>
      </c>
      <c r="E12" s="1102"/>
      <c r="F12" s="1102"/>
      <c r="G12" s="1102"/>
      <c r="H12" s="1102"/>
      <c r="I12" s="1102"/>
      <c r="J12" s="1102"/>
      <c r="K12" s="1102"/>
      <c r="L12" s="1030"/>
    </row>
    <row r="13" spans="1:28" ht="16.5">
      <c r="A13" s="821"/>
      <c r="B13" s="1174">
        <v>1</v>
      </c>
      <c r="C13" s="1169" t="s">
        <v>1956</v>
      </c>
      <c r="D13" s="1172" t="s">
        <v>1964</v>
      </c>
      <c r="E13" s="1102"/>
      <c r="F13" s="1102"/>
      <c r="G13" s="1102"/>
      <c r="H13" s="1102"/>
      <c r="I13" s="1102"/>
      <c r="J13" s="1102"/>
      <c r="K13" s="1102"/>
      <c r="L13" s="1030"/>
    </row>
    <row r="14" spans="1:28" ht="16.5">
      <c r="A14" s="821"/>
      <c r="B14" s="1175"/>
      <c r="C14" s="1170"/>
      <c r="D14" s="1171" t="s">
        <v>1965</v>
      </c>
      <c r="E14" s="1034"/>
      <c r="F14" s="1034"/>
      <c r="G14" s="1034"/>
      <c r="H14" s="1034"/>
      <c r="I14" s="1034"/>
      <c r="J14" s="1034"/>
      <c r="K14" s="1034"/>
      <c r="L14" s="1018"/>
    </row>
    <row r="15" spans="1:28" ht="16.5">
      <c r="A15" s="821"/>
      <c r="B15" s="1174">
        <v>2</v>
      </c>
      <c r="C15" s="1169" t="s">
        <v>1956</v>
      </c>
      <c r="D15" s="1172" t="s">
        <v>1966</v>
      </c>
      <c r="E15" s="1102"/>
      <c r="F15" s="1102"/>
      <c r="G15" s="1102"/>
      <c r="H15" s="1102"/>
      <c r="I15" s="1102"/>
      <c r="J15" s="1102"/>
      <c r="K15" s="1102"/>
      <c r="L15" s="1030"/>
    </row>
    <row r="16" spans="1:28" ht="16.5">
      <c r="A16" s="821"/>
      <c r="B16" s="1175"/>
      <c r="C16" s="1170"/>
      <c r="D16" s="1171" t="s">
        <v>1967</v>
      </c>
      <c r="E16" s="1034"/>
      <c r="F16" s="1034"/>
      <c r="G16" s="1034"/>
      <c r="H16" s="1034"/>
      <c r="I16" s="1034"/>
      <c r="J16" s="1034"/>
      <c r="K16" s="1034"/>
      <c r="L16" s="1018"/>
    </row>
    <row r="17" spans="1:12" ht="16.5">
      <c r="A17" s="821"/>
      <c r="B17" s="1174">
        <v>3</v>
      </c>
      <c r="C17" s="1169" t="s">
        <v>1958</v>
      </c>
      <c r="D17" s="1172" t="s">
        <v>1968</v>
      </c>
      <c r="E17" s="1102"/>
      <c r="F17" s="1102"/>
      <c r="G17" s="1102"/>
      <c r="H17" s="1102"/>
      <c r="I17" s="1102"/>
      <c r="J17" s="1102"/>
      <c r="K17" s="1102"/>
      <c r="L17" s="1030"/>
    </row>
    <row r="18" spans="1:12" ht="16.5">
      <c r="A18" s="821"/>
      <c r="B18" s="1175"/>
      <c r="C18" s="1170"/>
      <c r="D18" s="1171" t="s">
        <v>1969</v>
      </c>
      <c r="E18" s="1034"/>
      <c r="F18" s="1034"/>
      <c r="G18" s="1034"/>
      <c r="H18" s="1034"/>
      <c r="I18" s="1034"/>
      <c r="J18" s="1034"/>
      <c r="K18" s="1034"/>
      <c r="L18" s="1018"/>
    </row>
    <row r="19" spans="1:12" ht="16.5">
      <c r="A19" s="821"/>
      <c r="B19" s="1174">
        <v>4</v>
      </c>
      <c r="C19" s="1169" t="s">
        <v>1958</v>
      </c>
      <c r="D19" s="1172" t="s">
        <v>1970</v>
      </c>
      <c r="E19" s="1102"/>
      <c r="F19" s="1102"/>
      <c r="G19" s="1102"/>
      <c r="H19" s="1102"/>
      <c r="I19" s="1102"/>
      <c r="J19" s="1102"/>
      <c r="K19" s="1102"/>
      <c r="L19" s="1030"/>
    </row>
    <row r="20" spans="1:12" ht="9.75" customHeight="1">
      <c r="A20" s="821"/>
      <c r="B20" s="1175"/>
      <c r="C20" s="1170"/>
      <c r="D20" s="1173" t="s">
        <v>1971</v>
      </c>
      <c r="E20" s="1007"/>
      <c r="F20" s="1007"/>
      <c r="G20" s="1007"/>
      <c r="H20" s="1007"/>
      <c r="I20" s="1007"/>
      <c r="J20" s="1007"/>
      <c r="K20" s="1007"/>
      <c r="L20" s="1038"/>
    </row>
    <row r="21" spans="1:12" ht="16.5">
      <c r="A21" s="821"/>
      <c r="B21" s="1174">
        <v>5</v>
      </c>
      <c r="C21" s="1169" t="s">
        <v>1956</v>
      </c>
      <c r="D21" s="1172" t="s">
        <v>1972</v>
      </c>
      <c r="E21" s="1102"/>
      <c r="F21" s="1102"/>
      <c r="G21" s="1102"/>
      <c r="H21" s="1102"/>
      <c r="I21" s="1102"/>
      <c r="J21" s="1102"/>
      <c r="K21" s="1102"/>
      <c r="L21" s="1030"/>
    </row>
    <row r="22" spans="1:12" ht="16.5">
      <c r="A22" s="821"/>
      <c r="B22" s="1175"/>
      <c r="C22" s="1170"/>
      <c r="D22" s="1171" t="s">
        <v>1973</v>
      </c>
      <c r="E22" s="1034"/>
      <c r="F22" s="1034"/>
      <c r="G22" s="1034"/>
      <c r="H22" s="1034"/>
      <c r="I22" s="1034"/>
      <c r="J22" s="1034"/>
      <c r="K22" s="1034"/>
      <c r="L22" s="1018"/>
    </row>
    <row r="23" spans="1:12" ht="16.5">
      <c r="A23" s="821"/>
      <c r="B23" s="822">
        <v>6</v>
      </c>
      <c r="C23" s="823" t="s">
        <v>1958</v>
      </c>
      <c r="D23" s="1172" t="s">
        <v>1974</v>
      </c>
      <c r="E23" s="1102"/>
      <c r="F23" s="1102"/>
      <c r="G23" s="1102"/>
      <c r="H23" s="1102"/>
      <c r="I23" s="1102"/>
      <c r="J23" s="1102"/>
      <c r="K23" s="1102"/>
      <c r="L23" s="1030"/>
    </row>
    <row r="24" spans="1:12" ht="16.5">
      <c r="A24" s="821"/>
      <c r="B24" s="1174">
        <v>7</v>
      </c>
      <c r="C24" s="1169" t="s">
        <v>1958</v>
      </c>
      <c r="D24" s="1172" t="s">
        <v>1975</v>
      </c>
      <c r="E24" s="1102"/>
      <c r="F24" s="1102"/>
      <c r="G24" s="1102"/>
      <c r="H24" s="1102"/>
      <c r="I24" s="1102"/>
      <c r="J24" s="1102"/>
      <c r="K24" s="1102"/>
      <c r="L24" s="1030"/>
    </row>
    <row r="25" spans="1:12" ht="16.5">
      <c r="A25" s="821"/>
      <c r="B25" s="1175"/>
      <c r="C25" s="1170"/>
      <c r="D25" s="1171" t="s">
        <v>1976</v>
      </c>
      <c r="E25" s="1034"/>
      <c r="F25" s="1034"/>
      <c r="G25" s="1034"/>
      <c r="H25" s="1034"/>
      <c r="I25" s="1034"/>
      <c r="J25" s="1034"/>
      <c r="K25" s="1034"/>
      <c r="L25" s="1018"/>
    </row>
    <row r="26" spans="1:12" ht="16.5">
      <c r="A26" s="821"/>
      <c r="B26" s="1174">
        <v>8</v>
      </c>
      <c r="C26" s="1169" t="s">
        <v>1958</v>
      </c>
      <c r="D26" s="1172" t="s">
        <v>1977</v>
      </c>
      <c r="E26" s="1102"/>
      <c r="F26" s="1102"/>
      <c r="G26" s="1102"/>
      <c r="H26" s="1102"/>
      <c r="I26" s="1102"/>
      <c r="J26" s="1102"/>
      <c r="K26" s="1102"/>
      <c r="L26" s="1030"/>
    </row>
    <row r="27" spans="1:12" ht="16.5">
      <c r="A27" s="821"/>
      <c r="B27" s="1175"/>
      <c r="C27" s="1170"/>
      <c r="D27" s="1171" t="s">
        <v>1978</v>
      </c>
      <c r="E27" s="1034"/>
      <c r="F27" s="1034"/>
      <c r="G27" s="1034"/>
      <c r="H27" s="1034"/>
      <c r="I27" s="1034"/>
      <c r="J27" s="1034"/>
      <c r="K27" s="1034"/>
      <c r="L27" s="1018"/>
    </row>
    <row r="28" spans="1:12" ht="12.75">
      <c r="B28" s="1174">
        <v>9</v>
      </c>
    </row>
    <row r="29" spans="1:12" ht="12.75">
      <c r="B29" s="1175"/>
    </row>
    <row r="30" spans="1:12" ht="16.5">
      <c r="A30" s="821"/>
      <c r="B30" s="1174">
        <v>10</v>
      </c>
    </row>
    <row r="31" spans="1:12" ht="16.5">
      <c r="A31" s="821"/>
      <c r="B31" s="1175"/>
    </row>
    <row r="32" spans="1:12" ht="16.5">
      <c r="A32" s="821"/>
      <c r="B32" s="1174">
        <v>11</v>
      </c>
    </row>
    <row r="33" spans="1:12" ht="16.5">
      <c r="A33" s="821"/>
      <c r="B33" s="1175"/>
    </row>
    <row r="34" spans="1:12" ht="16.5">
      <c r="A34" s="821"/>
      <c r="B34" s="1174">
        <v>12</v>
      </c>
    </row>
    <row r="35" spans="1:12" ht="16.5">
      <c r="A35" s="821"/>
      <c r="B35" s="1175"/>
    </row>
    <row r="36" spans="1:12" ht="16.5">
      <c r="A36" s="821"/>
      <c r="B36" s="1174">
        <v>13</v>
      </c>
    </row>
    <row r="37" spans="1:12" ht="16.5">
      <c r="A37" s="821"/>
      <c r="B37" s="1175"/>
    </row>
    <row r="38" spans="1:12" ht="16.5">
      <c r="A38" s="821"/>
      <c r="B38" s="1174">
        <v>14</v>
      </c>
    </row>
    <row r="39" spans="1:12" ht="16.5">
      <c r="A39" s="821"/>
      <c r="B39" s="1175"/>
    </row>
    <row r="40" spans="1:12" ht="16.5">
      <c r="A40" s="821"/>
      <c r="B40" s="1174">
        <v>15</v>
      </c>
    </row>
    <row r="41" spans="1:12" ht="16.5">
      <c r="A41" s="821"/>
      <c r="B41" s="1175"/>
    </row>
    <row r="42" spans="1:12" ht="16.5">
      <c r="A42" s="821"/>
      <c r="B42" s="1181">
        <v>16</v>
      </c>
    </row>
    <row r="43" spans="1:12" ht="16.5">
      <c r="A43" s="821"/>
      <c r="B43" s="1017"/>
    </row>
    <row r="44" spans="1:12" ht="12.75">
      <c r="B44" s="1180"/>
      <c r="C44" s="1173"/>
      <c r="D44" s="1178"/>
      <c r="E44" s="1007"/>
      <c r="F44" s="1007"/>
      <c r="G44" s="1007"/>
      <c r="H44" s="1007"/>
      <c r="I44" s="1007"/>
      <c r="J44" s="1007"/>
      <c r="K44" s="1007"/>
      <c r="L44" s="1007"/>
    </row>
    <row r="45" spans="1:12" ht="12.75">
      <c r="B45" s="1007"/>
      <c r="C45" s="1007"/>
      <c r="D45" s="1179"/>
      <c r="E45" s="1007"/>
      <c r="F45" s="1007"/>
      <c r="G45" s="1007"/>
      <c r="H45" s="1007"/>
      <c r="I45" s="1007"/>
      <c r="J45" s="1007"/>
      <c r="K45" s="1007"/>
      <c r="L45" s="1007"/>
    </row>
    <row r="46" spans="1:12" ht="12.75">
      <c r="B46" s="1180"/>
      <c r="C46" s="1173"/>
      <c r="D46" s="1178"/>
      <c r="E46" s="1007"/>
      <c r="F46" s="1007"/>
      <c r="G46" s="1007"/>
      <c r="H46" s="1007"/>
      <c r="I46" s="1007"/>
      <c r="J46" s="1007"/>
      <c r="K46" s="1007"/>
      <c r="L46" s="1007"/>
    </row>
    <row r="47" spans="1:12" ht="12.75">
      <c r="B47" s="1007"/>
      <c r="C47" s="1007"/>
      <c r="D47" s="1179"/>
      <c r="E47" s="1007"/>
      <c r="F47" s="1007"/>
      <c r="G47" s="1007"/>
      <c r="H47" s="1007"/>
      <c r="I47" s="1007"/>
      <c r="J47" s="1007"/>
      <c r="K47" s="1007"/>
      <c r="L47" s="1007"/>
    </row>
  </sheetData>
  <mergeCells count="55">
    <mergeCell ref="D4:L5"/>
    <mergeCell ref="C4:C5"/>
    <mergeCell ref="C2:J2"/>
    <mergeCell ref="D12:L12"/>
    <mergeCell ref="D14:L14"/>
    <mergeCell ref="D13:L13"/>
    <mergeCell ref="D46:L46"/>
    <mergeCell ref="D45:L45"/>
    <mergeCell ref="B44:B45"/>
    <mergeCell ref="B46:B47"/>
    <mergeCell ref="B34:B35"/>
    <mergeCell ref="D44:L44"/>
    <mergeCell ref="D47:L47"/>
    <mergeCell ref="B42:B43"/>
    <mergeCell ref="B36:B37"/>
    <mergeCell ref="B38:B39"/>
    <mergeCell ref="B40:B41"/>
    <mergeCell ref="C44:C45"/>
    <mergeCell ref="C46:C47"/>
    <mergeCell ref="B32:B33"/>
    <mergeCell ref="D6:L7"/>
    <mergeCell ref="D8:L9"/>
    <mergeCell ref="B17:B18"/>
    <mergeCell ref="B15:B16"/>
    <mergeCell ref="B11:L11"/>
    <mergeCell ref="D15:L15"/>
    <mergeCell ref="D17:L17"/>
    <mergeCell ref="D16:L16"/>
    <mergeCell ref="D19:L19"/>
    <mergeCell ref="D18:L18"/>
    <mergeCell ref="B13:B14"/>
    <mergeCell ref="B4:B9"/>
    <mergeCell ref="D23:L23"/>
    <mergeCell ref="D27:L27"/>
    <mergeCell ref="D26:L26"/>
    <mergeCell ref="D24:L24"/>
    <mergeCell ref="D25:L25"/>
    <mergeCell ref="B21:B22"/>
    <mergeCell ref="B19:B20"/>
    <mergeCell ref="C6:C7"/>
    <mergeCell ref="C8:C9"/>
    <mergeCell ref="B30:B31"/>
    <mergeCell ref="C24:C25"/>
    <mergeCell ref="C26:C27"/>
    <mergeCell ref="B28:B29"/>
    <mergeCell ref="B24:B25"/>
    <mergeCell ref="B26:B27"/>
    <mergeCell ref="C15:C16"/>
    <mergeCell ref="C13:C14"/>
    <mergeCell ref="C17:C18"/>
    <mergeCell ref="D22:L22"/>
    <mergeCell ref="D21:L21"/>
    <mergeCell ref="C19:C20"/>
    <mergeCell ref="D20:L20"/>
    <mergeCell ref="C21:C22"/>
  </mergeCells>
  <conditionalFormatting sqref="C4:C9 C13:C27">
    <cfRule type="cellIs" dxfId="6" priority="1" operator="equal">
      <formula>"Likely"</formula>
    </cfRule>
  </conditionalFormatting>
  <conditionalFormatting sqref="C4:C9 C13:C27">
    <cfRule type="cellIs" dxfId="5" priority="2" operator="equal">
      <formula>"Maybe"</formula>
    </cfRule>
  </conditionalFormatting>
  <conditionalFormatting sqref="C4:C9 C13:C27">
    <cfRule type="cellIs" dxfId="4" priority="3" operator="equal">
      <formula>"Unlikely"</formula>
    </cfRule>
  </conditionalFormatting>
  <conditionalFormatting sqref="C4:C9 C13:C27">
    <cfRule type="cellIs" dxfId="3" priority="4" operator="equal">
      <formula>"Done"</formula>
    </cfRule>
  </conditionalFormatting>
  <hyperlinks>
    <hyperlink ref="C2" r:id="rId1" display="https://www.reddit.com/r/hearthstone/comments/4gezzw/hearthstone_master_collection_710_the_old_god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00"/>
  </sheetPr>
  <dimension ref="A1:AA1048"/>
  <sheetViews>
    <sheetView workbookViewId="0"/>
  </sheetViews>
  <sheetFormatPr defaultColWidth="14.42578125" defaultRowHeight="15.75" customHeight="1"/>
  <cols>
    <col min="1" max="1" width="1.28515625" customWidth="1"/>
  </cols>
  <sheetData>
    <row r="1" spans="1:27" ht="6.75" customHeight="1">
      <c r="A1" s="703"/>
      <c r="B1" s="815"/>
      <c r="C1" s="824"/>
      <c r="D1" s="816"/>
      <c r="E1" s="816"/>
      <c r="F1" s="816"/>
      <c r="G1" s="816"/>
      <c r="H1" s="816"/>
      <c r="I1" s="816"/>
      <c r="J1" s="816"/>
      <c r="K1" s="816"/>
      <c r="L1" s="816"/>
      <c r="M1" s="34"/>
      <c r="N1" s="34"/>
      <c r="O1" s="34"/>
      <c r="P1" s="34"/>
      <c r="Q1" s="34"/>
      <c r="R1" s="34"/>
      <c r="S1" s="34"/>
      <c r="T1" s="34"/>
      <c r="U1" s="34"/>
      <c r="V1" s="34"/>
      <c r="W1" s="34"/>
      <c r="X1" s="34"/>
      <c r="Y1" s="34"/>
      <c r="Z1" s="34"/>
      <c r="AA1" s="34"/>
    </row>
    <row r="2" spans="1:27" ht="27.75" customHeight="1">
      <c r="A2" s="825"/>
      <c r="B2" s="826" t="s">
        <v>1979</v>
      </c>
      <c r="C2" s="827" t="s">
        <v>1980</v>
      </c>
      <c r="D2" s="1196" t="s">
        <v>1981</v>
      </c>
      <c r="E2" s="1102"/>
      <c r="F2" s="1102"/>
      <c r="G2" s="1102"/>
      <c r="H2" s="1102"/>
      <c r="I2" s="1102"/>
      <c r="J2" s="1102"/>
      <c r="K2" s="1102"/>
      <c r="L2" s="1030"/>
      <c r="M2" s="173"/>
      <c r="N2" s="173"/>
      <c r="O2" s="173"/>
      <c r="P2" s="173"/>
      <c r="Q2" s="173"/>
      <c r="R2" s="173"/>
      <c r="S2" s="173"/>
      <c r="T2" s="173"/>
      <c r="U2" s="173"/>
      <c r="V2" s="173"/>
      <c r="W2" s="173"/>
      <c r="X2" s="173"/>
      <c r="Y2" s="173"/>
      <c r="Z2" s="173"/>
      <c r="AA2" s="173"/>
    </row>
    <row r="3" spans="1:27" ht="22.5" customHeight="1">
      <c r="A3" s="825"/>
      <c r="B3" s="1186"/>
      <c r="C3" s="1194"/>
      <c r="D3" s="1190"/>
      <c r="E3" s="1014"/>
      <c r="F3" s="1014"/>
      <c r="G3" s="1014"/>
      <c r="H3" s="1014"/>
      <c r="I3" s="1014"/>
      <c r="J3" s="1014"/>
      <c r="K3" s="1014"/>
      <c r="L3" s="1016"/>
      <c r="M3" s="173"/>
      <c r="N3" s="173"/>
      <c r="O3" s="173"/>
      <c r="P3" s="173"/>
      <c r="Q3" s="173"/>
      <c r="R3" s="173"/>
      <c r="S3" s="173"/>
      <c r="T3" s="173"/>
      <c r="U3" s="173"/>
      <c r="V3" s="173"/>
      <c r="W3" s="173"/>
      <c r="X3" s="173"/>
      <c r="Y3" s="173"/>
      <c r="Z3" s="173"/>
      <c r="AA3" s="173"/>
    </row>
    <row r="4" spans="1:27" ht="22.5" customHeight="1">
      <c r="A4" s="825"/>
      <c r="B4" s="1175"/>
      <c r="C4" s="1175"/>
      <c r="D4" s="1017"/>
      <c r="E4" s="1034"/>
      <c r="F4" s="1034"/>
      <c r="G4" s="1034"/>
      <c r="H4" s="1034"/>
      <c r="I4" s="1034"/>
      <c r="J4" s="1034"/>
      <c r="K4" s="1034"/>
      <c r="L4" s="1018"/>
      <c r="M4" s="173"/>
      <c r="N4" s="173"/>
      <c r="O4" s="173"/>
      <c r="P4" s="173"/>
      <c r="Q4" s="173"/>
      <c r="R4" s="173"/>
      <c r="S4" s="173"/>
      <c r="T4" s="173"/>
      <c r="U4" s="173"/>
      <c r="V4" s="173"/>
      <c r="W4" s="173"/>
      <c r="X4" s="173"/>
      <c r="Y4" s="173"/>
      <c r="Z4" s="173"/>
      <c r="AA4" s="173"/>
    </row>
    <row r="5" spans="1:27" ht="22.5" customHeight="1">
      <c r="A5" s="825"/>
      <c r="B5" s="1186"/>
      <c r="C5" s="1194"/>
      <c r="D5" s="1190"/>
      <c r="E5" s="1014"/>
      <c r="F5" s="1014"/>
      <c r="G5" s="1014"/>
      <c r="H5" s="1014"/>
      <c r="I5" s="1014"/>
      <c r="J5" s="1014"/>
      <c r="K5" s="1014"/>
      <c r="L5" s="1016"/>
      <c r="M5" s="173"/>
      <c r="N5" s="173"/>
      <c r="O5" s="173"/>
      <c r="P5" s="173"/>
      <c r="Q5" s="173"/>
      <c r="R5" s="173"/>
      <c r="S5" s="173"/>
      <c r="T5" s="173"/>
      <c r="U5" s="173"/>
      <c r="V5" s="173"/>
      <c r="W5" s="173"/>
      <c r="X5" s="173"/>
      <c r="Y5" s="173"/>
      <c r="Z5" s="173"/>
      <c r="AA5" s="173"/>
    </row>
    <row r="6" spans="1:27" ht="22.5" customHeight="1">
      <c r="A6" s="825"/>
      <c r="B6" s="1175"/>
      <c r="C6" s="1175"/>
      <c r="D6" s="1037"/>
      <c r="E6" s="1007"/>
      <c r="F6" s="1007"/>
      <c r="G6" s="1007"/>
      <c r="H6" s="1007"/>
      <c r="I6" s="1007"/>
      <c r="J6" s="1007"/>
      <c r="K6" s="1007"/>
      <c r="L6" s="1038"/>
      <c r="M6" s="173"/>
      <c r="N6" s="173"/>
      <c r="O6" s="173"/>
      <c r="P6" s="173"/>
      <c r="Q6" s="173"/>
      <c r="R6" s="173"/>
      <c r="S6" s="173"/>
      <c r="T6" s="173"/>
      <c r="U6" s="173"/>
      <c r="V6" s="173"/>
      <c r="W6" s="173"/>
      <c r="X6" s="173"/>
      <c r="Y6" s="173"/>
      <c r="Z6" s="173"/>
      <c r="AA6" s="173"/>
    </row>
    <row r="7" spans="1:27" ht="22.5" customHeight="1">
      <c r="A7" s="825"/>
      <c r="B7" s="1186"/>
      <c r="C7" s="1194"/>
      <c r="D7" s="1190"/>
      <c r="E7" s="1014"/>
      <c r="F7" s="1014"/>
      <c r="G7" s="1014"/>
      <c r="H7" s="1014"/>
      <c r="I7" s="1014"/>
      <c r="J7" s="1014"/>
      <c r="K7" s="1014"/>
      <c r="L7" s="1016"/>
      <c r="M7" s="173"/>
      <c r="N7" s="173"/>
      <c r="O7" s="173"/>
      <c r="P7" s="173"/>
      <c r="Q7" s="173"/>
      <c r="R7" s="173"/>
      <c r="S7" s="173"/>
      <c r="T7" s="173"/>
      <c r="U7" s="173"/>
      <c r="V7" s="173"/>
      <c r="W7" s="173"/>
      <c r="X7" s="173"/>
      <c r="Y7" s="173"/>
      <c r="Z7" s="173"/>
      <c r="AA7" s="173"/>
    </row>
    <row r="8" spans="1:27" ht="22.5" customHeight="1">
      <c r="A8" s="825"/>
      <c r="B8" s="1175"/>
      <c r="C8" s="1175"/>
      <c r="D8" s="1037"/>
      <c r="E8" s="1007"/>
      <c r="F8" s="1007"/>
      <c r="G8" s="1007"/>
      <c r="H8" s="1007"/>
      <c r="I8" s="1007"/>
      <c r="J8" s="1007"/>
      <c r="K8" s="1007"/>
      <c r="L8" s="1038"/>
      <c r="M8" s="173"/>
      <c r="N8" s="173"/>
      <c r="O8" s="173"/>
      <c r="P8" s="173"/>
      <c r="Q8" s="173"/>
      <c r="R8" s="173"/>
      <c r="S8" s="173"/>
      <c r="T8" s="173"/>
      <c r="U8" s="173"/>
      <c r="V8" s="173"/>
      <c r="W8" s="173"/>
      <c r="X8" s="173"/>
      <c r="Y8" s="173"/>
      <c r="Z8" s="173"/>
      <c r="AA8" s="173"/>
    </row>
    <row r="9" spans="1:27" ht="66.75" customHeight="1">
      <c r="A9" s="825"/>
      <c r="B9" s="1186">
        <v>7.21</v>
      </c>
      <c r="C9" s="1194" t="s">
        <v>1982</v>
      </c>
      <c r="D9" s="1190" t="s">
        <v>1983</v>
      </c>
      <c r="E9" s="1014"/>
      <c r="F9" s="1014"/>
      <c r="G9" s="1014"/>
      <c r="H9" s="1014"/>
      <c r="I9" s="1014"/>
      <c r="J9" s="1014"/>
      <c r="K9" s="1014"/>
      <c r="L9" s="1016"/>
      <c r="M9" s="173"/>
      <c r="N9" s="173"/>
      <c r="O9" s="173"/>
      <c r="P9" s="173"/>
      <c r="Q9" s="173"/>
      <c r="R9" s="173"/>
      <c r="S9" s="173"/>
      <c r="T9" s="173"/>
      <c r="U9" s="173"/>
      <c r="V9" s="173"/>
      <c r="W9" s="173"/>
      <c r="X9" s="173"/>
      <c r="Y9" s="173"/>
      <c r="Z9" s="173"/>
      <c r="AA9" s="173"/>
    </row>
    <row r="10" spans="1:27" ht="66.75" customHeight="1">
      <c r="A10" s="825"/>
      <c r="B10" s="1175"/>
      <c r="C10" s="1175"/>
      <c r="D10" s="1037"/>
      <c r="E10" s="1007"/>
      <c r="F10" s="1007"/>
      <c r="G10" s="1007"/>
      <c r="H10" s="1007"/>
      <c r="I10" s="1007"/>
      <c r="J10" s="1007"/>
      <c r="K10" s="1007"/>
      <c r="L10" s="1038"/>
      <c r="M10" s="173"/>
      <c r="N10" s="173"/>
      <c r="O10" s="173"/>
      <c r="P10" s="173"/>
      <c r="Q10" s="173"/>
      <c r="R10" s="173"/>
      <c r="S10" s="173"/>
      <c r="T10" s="173"/>
      <c r="U10" s="173"/>
      <c r="V10" s="173"/>
      <c r="W10" s="173"/>
      <c r="X10" s="173"/>
      <c r="Y10" s="173"/>
      <c r="Z10" s="173"/>
      <c r="AA10" s="173"/>
    </row>
    <row r="11" spans="1:27" ht="22.5" customHeight="1">
      <c r="A11" s="825"/>
      <c r="B11" s="1186">
        <v>7.2</v>
      </c>
      <c r="C11" s="1187">
        <v>42486</v>
      </c>
      <c r="D11" s="1190" t="s">
        <v>1984</v>
      </c>
      <c r="E11" s="1014"/>
      <c r="F11" s="1014"/>
      <c r="G11" s="1014"/>
      <c r="H11" s="1014"/>
      <c r="I11" s="1014"/>
      <c r="J11" s="1014"/>
      <c r="K11" s="1014"/>
      <c r="L11" s="1016"/>
      <c r="M11" s="173"/>
      <c r="N11" s="173"/>
      <c r="O11" s="173"/>
      <c r="P11" s="173"/>
      <c r="Q11" s="173"/>
      <c r="R11" s="173"/>
      <c r="S11" s="173"/>
      <c r="T11" s="173"/>
      <c r="U11" s="173"/>
      <c r="V11" s="173"/>
      <c r="W11" s="173"/>
      <c r="X11" s="173"/>
      <c r="Y11" s="173"/>
      <c r="Z11" s="173"/>
      <c r="AA11" s="173"/>
    </row>
    <row r="12" spans="1:27" ht="22.5" customHeight="1">
      <c r="A12" s="825"/>
      <c r="B12" s="1175"/>
      <c r="C12" s="1175"/>
      <c r="D12" s="1037"/>
      <c r="E12" s="1007"/>
      <c r="F12" s="1007"/>
      <c r="G12" s="1007"/>
      <c r="H12" s="1007"/>
      <c r="I12" s="1007"/>
      <c r="J12" s="1007"/>
      <c r="K12" s="1007"/>
      <c r="L12" s="1038"/>
      <c r="M12" s="173"/>
      <c r="N12" s="173"/>
      <c r="O12" s="173"/>
      <c r="P12" s="173"/>
      <c r="Q12" s="173"/>
      <c r="R12" s="173"/>
      <c r="S12" s="173"/>
      <c r="T12" s="173"/>
      <c r="U12" s="173"/>
      <c r="V12" s="173"/>
      <c r="W12" s="173"/>
      <c r="X12" s="173"/>
      <c r="Y12" s="173"/>
      <c r="Z12" s="173"/>
      <c r="AA12" s="173"/>
    </row>
    <row r="13" spans="1:27" ht="22.5" customHeight="1">
      <c r="A13" s="825"/>
      <c r="B13" s="1186">
        <v>7.11</v>
      </c>
      <c r="C13" s="1187">
        <v>42486</v>
      </c>
      <c r="D13" s="1190" t="s">
        <v>1985</v>
      </c>
      <c r="E13" s="1014"/>
      <c r="F13" s="1014"/>
      <c r="G13" s="1014"/>
      <c r="H13" s="1014"/>
      <c r="I13" s="1014"/>
      <c r="J13" s="1014"/>
      <c r="K13" s="1014"/>
      <c r="L13" s="1016"/>
      <c r="M13" s="173"/>
      <c r="N13" s="173"/>
      <c r="O13" s="173"/>
      <c r="P13" s="173"/>
      <c r="Q13" s="173"/>
      <c r="R13" s="173"/>
      <c r="S13" s="173"/>
      <c r="T13" s="173"/>
      <c r="U13" s="173"/>
      <c r="V13" s="173"/>
      <c r="W13" s="173"/>
      <c r="X13" s="173"/>
      <c r="Y13" s="173"/>
      <c r="Z13" s="173"/>
      <c r="AA13" s="173"/>
    </row>
    <row r="14" spans="1:27" ht="22.5" customHeight="1">
      <c r="A14" s="825"/>
      <c r="B14" s="1175"/>
      <c r="C14" s="1175"/>
      <c r="D14" s="1037"/>
      <c r="E14" s="1007"/>
      <c r="F14" s="1007"/>
      <c r="G14" s="1007"/>
      <c r="H14" s="1007"/>
      <c r="I14" s="1007"/>
      <c r="J14" s="1007"/>
      <c r="K14" s="1007"/>
      <c r="L14" s="1038"/>
      <c r="M14" s="173"/>
      <c r="N14" s="173"/>
      <c r="O14" s="173"/>
      <c r="P14" s="173"/>
      <c r="Q14" s="173"/>
      <c r="R14" s="173"/>
      <c r="S14" s="173"/>
      <c r="T14" s="173"/>
      <c r="U14" s="173"/>
      <c r="V14" s="173"/>
      <c r="W14" s="173"/>
      <c r="X14" s="173"/>
      <c r="Y14" s="173"/>
      <c r="Z14" s="173"/>
      <c r="AA14" s="173"/>
    </row>
    <row r="15" spans="1:27" ht="48.75" customHeight="1">
      <c r="A15" s="825"/>
      <c r="B15" s="1186">
        <v>7.1</v>
      </c>
      <c r="C15" s="1187">
        <v>42485</v>
      </c>
      <c r="D15" s="1190" t="s">
        <v>1986</v>
      </c>
      <c r="E15" s="1014"/>
      <c r="F15" s="1014"/>
      <c r="G15" s="1014"/>
      <c r="H15" s="1014"/>
      <c r="I15" s="1014"/>
      <c r="J15" s="1014"/>
      <c r="K15" s="1014"/>
      <c r="L15" s="1016"/>
      <c r="M15" s="173"/>
      <c r="N15" s="173"/>
      <c r="O15" s="173"/>
      <c r="P15" s="173"/>
      <c r="Q15" s="173"/>
      <c r="R15" s="173"/>
      <c r="S15" s="173"/>
      <c r="T15" s="173"/>
      <c r="U15" s="173"/>
      <c r="V15" s="173"/>
      <c r="W15" s="173"/>
      <c r="X15" s="173"/>
      <c r="Y15" s="173"/>
      <c r="Z15" s="173"/>
      <c r="AA15" s="173"/>
    </row>
    <row r="16" spans="1:27" ht="48.75" customHeight="1">
      <c r="A16" s="825"/>
      <c r="B16" s="1175"/>
      <c r="C16" s="1175"/>
      <c r="D16" s="1037"/>
      <c r="E16" s="1007"/>
      <c r="F16" s="1007"/>
      <c r="G16" s="1007"/>
      <c r="H16" s="1007"/>
      <c r="I16" s="1007"/>
      <c r="J16" s="1007"/>
      <c r="K16" s="1007"/>
      <c r="L16" s="1038"/>
      <c r="M16" s="173"/>
      <c r="N16" s="173"/>
      <c r="O16" s="173"/>
      <c r="P16" s="173"/>
      <c r="Q16" s="173"/>
      <c r="R16" s="173"/>
      <c r="S16" s="173"/>
      <c r="T16" s="173"/>
      <c r="U16" s="173"/>
      <c r="V16" s="173"/>
      <c r="W16" s="173"/>
      <c r="X16" s="173"/>
      <c r="Y16" s="173"/>
      <c r="Z16" s="173"/>
      <c r="AA16" s="173"/>
    </row>
    <row r="17" spans="1:27" ht="22.5" customHeight="1">
      <c r="A17" s="825"/>
      <c r="B17" s="1186">
        <v>7</v>
      </c>
      <c r="C17" s="1187">
        <v>42481</v>
      </c>
      <c r="D17" s="1190" t="s">
        <v>1987</v>
      </c>
      <c r="E17" s="1014"/>
      <c r="F17" s="1014"/>
      <c r="G17" s="1014"/>
      <c r="H17" s="1014"/>
      <c r="I17" s="1014"/>
      <c r="J17" s="1014"/>
      <c r="K17" s="1014"/>
      <c r="L17" s="1016"/>
      <c r="M17" s="173"/>
      <c r="N17" s="173"/>
      <c r="O17" s="173"/>
      <c r="P17" s="173"/>
      <c r="Q17" s="173"/>
      <c r="R17" s="173"/>
      <c r="S17" s="173"/>
      <c r="T17" s="173"/>
      <c r="U17" s="173"/>
      <c r="V17" s="173"/>
      <c r="W17" s="173"/>
      <c r="X17" s="173"/>
      <c r="Y17" s="173"/>
      <c r="Z17" s="173"/>
      <c r="AA17" s="173"/>
    </row>
    <row r="18" spans="1:27" ht="22.5" customHeight="1">
      <c r="A18" s="825"/>
      <c r="B18" s="1175"/>
      <c r="C18" s="1175"/>
      <c r="D18" s="1037"/>
      <c r="E18" s="1007"/>
      <c r="F18" s="1007"/>
      <c r="G18" s="1007"/>
      <c r="H18" s="1007"/>
      <c r="I18" s="1007"/>
      <c r="J18" s="1007"/>
      <c r="K18" s="1007"/>
      <c r="L18" s="1038"/>
      <c r="M18" s="173"/>
      <c r="N18" s="173"/>
      <c r="O18" s="173"/>
      <c r="P18" s="173"/>
      <c r="Q18" s="173"/>
      <c r="R18" s="173"/>
      <c r="S18" s="173"/>
      <c r="T18" s="173"/>
      <c r="U18" s="173"/>
      <c r="V18" s="173"/>
      <c r="W18" s="173"/>
      <c r="X18" s="173"/>
      <c r="Y18" s="173"/>
      <c r="Z18" s="173"/>
      <c r="AA18" s="173"/>
    </row>
    <row r="19" spans="1:27" ht="22.5" customHeight="1">
      <c r="A19" s="825"/>
      <c r="B19" s="1186">
        <v>6.32</v>
      </c>
      <c r="C19" s="1187">
        <v>42480</v>
      </c>
      <c r="D19" s="1190" t="s">
        <v>1988</v>
      </c>
      <c r="E19" s="1014"/>
      <c r="F19" s="1014"/>
      <c r="G19" s="1014"/>
      <c r="H19" s="1014"/>
      <c r="I19" s="1014"/>
      <c r="J19" s="1014"/>
      <c r="K19" s="1014"/>
      <c r="L19" s="1016"/>
      <c r="M19" s="173"/>
      <c r="N19" s="173"/>
      <c r="O19" s="173"/>
      <c r="P19" s="173"/>
      <c r="Q19" s="173"/>
      <c r="R19" s="173"/>
      <c r="S19" s="173"/>
      <c r="T19" s="173"/>
      <c r="U19" s="173"/>
      <c r="V19" s="173"/>
      <c r="W19" s="173"/>
      <c r="X19" s="173"/>
      <c r="Y19" s="173"/>
      <c r="Z19" s="173"/>
      <c r="AA19" s="173"/>
    </row>
    <row r="20" spans="1:27" ht="17.25" customHeight="1">
      <c r="A20" s="825"/>
      <c r="B20" s="1175"/>
      <c r="C20" s="1175"/>
      <c r="D20" s="1037"/>
      <c r="E20" s="1007"/>
      <c r="F20" s="1007"/>
      <c r="G20" s="1007"/>
      <c r="H20" s="1007"/>
      <c r="I20" s="1007"/>
      <c r="J20" s="1007"/>
      <c r="K20" s="1007"/>
      <c r="L20" s="1038"/>
      <c r="M20" s="173"/>
      <c r="N20" s="173"/>
      <c r="O20" s="173"/>
      <c r="P20" s="173"/>
      <c r="Q20" s="173"/>
      <c r="R20" s="173"/>
      <c r="S20" s="173"/>
      <c r="T20" s="173"/>
      <c r="U20" s="173"/>
      <c r="V20" s="173"/>
      <c r="W20" s="173"/>
      <c r="X20" s="173"/>
      <c r="Y20" s="173"/>
      <c r="Z20" s="173"/>
      <c r="AA20" s="173"/>
    </row>
    <row r="21" spans="1:27" ht="33.75" customHeight="1">
      <c r="A21" s="825"/>
      <c r="B21" s="1186">
        <v>6.31</v>
      </c>
      <c r="C21" s="1187">
        <v>42459</v>
      </c>
      <c r="D21" s="1190" t="s">
        <v>1989</v>
      </c>
      <c r="E21" s="1014"/>
      <c r="F21" s="1014"/>
      <c r="G21" s="1014"/>
      <c r="H21" s="1014"/>
      <c r="I21" s="1014"/>
      <c r="J21" s="1014"/>
      <c r="K21" s="1014"/>
      <c r="L21" s="1016"/>
      <c r="M21" s="173"/>
      <c r="N21" s="173"/>
      <c r="O21" s="173"/>
      <c r="P21" s="173"/>
      <c r="Q21" s="173"/>
      <c r="R21" s="173"/>
      <c r="S21" s="173"/>
      <c r="T21" s="173"/>
      <c r="U21" s="173"/>
      <c r="V21" s="173"/>
      <c r="W21" s="173"/>
      <c r="X21" s="173"/>
      <c r="Y21" s="173"/>
      <c r="Z21" s="173"/>
      <c r="AA21" s="173"/>
    </row>
    <row r="22" spans="1:27" ht="33.75" customHeight="1">
      <c r="A22" s="825"/>
      <c r="B22" s="1175"/>
      <c r="C22" s="1175"/>
      <c r="D22" s="1037"/>
      <c r="E22" s="1007"/>
      <c r="F22" s="1007"/>
      <c r="G22" s="1007"/>
      <c r="H22" s="1007"/>
      <c r="I22" s="1007"/>
      <c r="J22" s="1007"/>
      <c r="K22" s="1007"/>
      <c r="L22" s="1038"/>
      <c r="M22" s="173"/>
      <c r="N22" s="173"/>
      <c r="O22" s="173"/>
      <c r="P22" s="173"/>
      <c r="Q22" s="173"/>
      <c r="R22" s="173"/>
      <c r="S22" s="173"/>
      <c r="T22" s="173"/>
      <c r="U22" s="173"/>
      <c r="V22" s="173"/>
      <c r="W22" s="173"/>
      <c r="X22" s="173"/>
      <c r="Y22" s="173"/>
      <c r="Z22" s="173"/>
      <c r="AA22" s="173"/>
    </row>
    <row r="23" spans="1:27" ht="29.25" customHeight="1">
      <c r="A23" s="825"/>
      <c r="B23" s="1186">
        <v>6.3</v>
      </c>
      <c r="C23" s="1187">
        <v>42457</v>
      </c>
      <c r="D23" s="1190" t="s">
        <v>1990</v>
      </c>
      <c r="E23" s="1014"/>
      <c r="F23" s="1014"/>
      <c r="G23" s="1014"/>
      <c r="H23" s="1014"/>
      <c r="I23" s="1014"/>
      <c r="J23" s="1014"/>
      <c r="K23" s="1014"/>
      <c r="L23" s="1016"/>
      <c r="M23" s="173"/>
      <c r="N23" s="173"/>
      <c r="O23" s="173"/>
      <c r="P23" s="173"/>
      <c r="Q23" s="173"/>
      <c r="R23" s="173"/>
      <c r="S23" s="173"/>
      <c r="T23" s="173"/>
      <c r="U23" s="173"/>
      <c r="V23" s="173"/>
      <c r="W23" s="173"/>
      <c r="X23" s="173"/>
      <c r="Y23" s="173"/>
      <c r="Z23" s="173"/>
      <c r="AA23" s="173"/>
    </row>
    <row r="24" spans="1:27" ht="29.25" customHeight="1">
      <c r="A24" s="825"/>
      <c r="B24" s="1175"/>
      <c r="C24" s="1175"/>
      <c r="D24" s="1037"/>
      <c r="E24" s="1007"/>
      <c r="F24" s="1007"/>
      <c r="G24" s="1007"/>
      <c r="H24" s="1007"/>
      <c r="I24" s="1007"/>
      <c r="J24" s="1007"/>
      <c r="K24" s="1007"/>
      <c r="L24" s="1038"/>
      <c r="M24" s="173"/>
      <c r="N24" s="173"/>
      <c r="O24" s="173"/>
      <c r="P24" s="173"/>
      <c r="Q24" s="173"/>
      <c r="R24" s="173"/>
      <c r="S24" s="173"/>
      <c r="T24" s="173"/>
      <c r="U24" s="173"/>
      <c r="V24" s="173"/>
      <c r="W24" s="173"/>
      <c r="X24" s="173"/>
      <c r="Y24" s="173"/>
      <c r="Z24" s="173"/>
      <c r="AA24" s="173"/>
    </row>
    <row r="25" spans="1:27" ht="12.75" customHeight="1">
      <c r="A25" s="825"/>
      <c r="B25" s="1186">
        <v>6.22</v>
      </c>
      <c r="C25" s="1187">
        <v>42450</v>
      </c>
      <c r="D25" s="1190" t="s">
        <v>1991</v>
      </c>
      <c r="E25" s="1014"/>
      <c r="F25" s="1014"/>
      <c r="G25" s="1014"/>
      <c r="H25" s="1014"/>
      <c r="I25" s="1014"/>
      <c r="J25" s="1014"/>
      <c r="K25" s="1014"/>
      <c r="L25" s="1016"/>
      <c r="M25" s="173"/>
      <c r="N25" s="173"/>
      <c r="O25" s="173"/>
      <c r="P25" s="173"/>
      <c r="Q25" s="173"/>
      <c r="R25" s="173"/>
      <c r="S25" s="173"/>
      <c r="T25" s="173"/>
      <c r="U25" s="173"/>
      <c r="V25" s="173"/>
      <c r="W25" s="173"/>
      <c r="X25" s="173"/>
      <c r="Y25" s="173"/>
      <c r="Z25" s="173"/>
      <c r="AA25" s="173"/>
    </row>
    <row r="26" spans="1:27" ht="12.75" customHeight="1">
      <c r="A26" s="825"/>
      <c r="B26" s="1175"/>
      <c r="C26" s="1175"/>
      <c r="D26" s="1037"/>
      <c r="E26" s="1007"/>
      <c r="F26" s="1007"/>
      <c r="G26" s="1007"/>
      <c r="H26" s="1007"/>
      <c r="I26" s="1007"/>
      <c r="J26" s="1007"/>
      <c r="K26" s="1007"/>
      <c r="L26" s="1038"/>
      <c r="M26" s="173"/>
      <c r="N26" s="173"/>
      <c r="O26" s="173"/>
      <c r="P26" s="173"/>
      <c r="Q26" s="173"/>
      <c r="R26" s="173"/>
      <c r="S26" s="173"/>
      <c r="T26" s="173"/>
      <c r="U26" s="173"/>
      <c r="V26" s="173"/>
      <c r="W26" s="173"/>
      <c r="X26" s="173"/>
      <c r="Y26" s="173"/>
      <c r="Z26" s="173"/>
      <c r="AA26" s="173"/>
    </row>
    <row r="27" spans="1:27" ht="14.25" customHeight="1">
      <c r="A27" s="825"/>
      <c r="B27" s="1186">
        <v>6.21</v>
      </c>
      <c r="C27" s="1187">
        <v>42424</v>
      </c>
      <c r="D27" s="1190" t="s">
        <v>1992</v>
      </c>
      <c r="E27" s="1014"/>
      <c r="F27" s="1014"/>
      <c r="G27" s="1014"/>
      <c r="H27" s="1014"/>
      <c r="I27" s="1014"/>
      <c r="J27" s="1014"/>
      <c r="K27" s="1014"/>
      <c r="L27" s="1016"/>
      <c r="M27" s="173"/>
      <c r="N27" s="173"/>
      <c r="O27" s="173"/>
      <c r="P27" s="173"/>
      <c r="Q27" s="173"/>
      <c r="R27" s="173"/>
      <c r="S27" s="173"/>
      <c r="T27" s="173"/>
      <c r="U27" s="173"/>
      <c r="V27" s="173"/>
      <c r="W27" s="173"/>
      <c r="X27" s="173"/>
      <c r="Y27" s="173"/>
      <c r="Z27" s="173"/>
      <c r="AA27" s="173"/>
    </row>
    <row r="28" spans="1:27" ht="14.25" customHeight="1">
      <c r="A28" s="825"/>
      <c r="B28" s="1175"/>
      <c r="C28" s="1175"/>
      <c r="D28" s="1037"/>
      <c r="E28" s="1007"/>
      <c r="F28" s="1007"/>
      <c r="G28" s="1007"/>
      <c r="H28" s="1007"/>
      <c r="I28" s="1007"/>
      <c r="J28" s="1007"/>
      <c r="K28" s="1007"/>
      <c r="L28" s="1038"/>
      <c r="M28" s="173"/>
      <c r="N28" s="173"/>
      <c r="O28" s="173"/>
      <c r="P28" s="173"/>
      <c r="Q28" s="173"/>
      <c r="R28" s="173"/>
      <c r="S28" s="173"/>
      <c r="T28" s="173"/>
      <c r="U28" s="173"/>
      <c r="V28" s="173"/>
      <c r="W28" s="173"/>
      <c r="X28" s="173"/>
      <c r="Y28" s="173"/>
      <c r="Z28" s="173"/>
      <c r="AA28" s="173"/>
    </row>
    <row r="29" spans="1:27" ht="18" customHeight="1">
      <c r="A29" s="825"/>
      <c r="B29" s="1186">
        <v>6.2</v>
      </c>
      <c r="C29" s="1187">
        <v>42423</v>
      </c>
      <c r="D29" s="1190" t="s">
        <v>1993</v>
      </c>
      <c r="E29" s="1014"/>
      <c r="F29" s="1014"/>
      <c r="G29" s="1014"/>
      <c r="H29" s="1014"/>
      <c r="I29" s="1014"/>
      <c r="J29" s="1014"/>
      <c r="K29" s="1014"/>
      <c r="L29" s="1016"/>
      <c r="M29" s="173"/>
      <c r="N29" s="173"/>
      <c r="O29" s="173"/>
      <c r="P29" s="173"/>
      <c r="Q29" s="173"/>
      <c r="R29" s="173"/>
      <c r="S29" s="173"/>
      <c r="T29" s="173"/>
      <c r="U29" s="173"/>
      <c r="V29" s="173"/>
      <c r="W29" s="173"/>
      <c r="X29" s="173"/>
      <c r="Y29" s="173"/>
      <c r="Z29" s="173"/>
      <c r="AA29" s="173"/>
    </row>
    <row r="30" spans="1:27" ht="18" customHeight="1">
      <c r="A30" s="825"/>
      <c r="B30" s="1175"/>
      <c r="C30" s="1175"/>
      <c r="D30" s="1037"/>
      <c r="E30" s="1007"/>
      <c r="F30" s="1007"/>
      <c r="G30" s="1007"/>
      <c r="H30" s="1007"/>
      <c r="I30" s="1007"/>
      <c r="J30" s="1007"/>
      <c r="K30" s="1007"/>
      <c r="L30" s="1038"/>
      <c r="M30" s="173"/>
      <c r="N30" s="173"/>
      <c r="O30" s="173"/>
      <c r="P30" s="173"/>
      <c r="Q30" s="173"/>
      <c r="R30" s="173"/>
      <c r="S30" s="173"/>
      <c r="T30" s="173"/>
      <c r="U30" s="173"/>
      <c r="V30" s="173"/>
      <c r="W30" s="173"/>
      <c r="X30" s="173"/>
      <c r="Y30" s="173"/>
      <c r="Z30" s="173"/>
      <c r="AA30" s="173"/>
    </row>
    <row r="31" spans="1:27" ht="12.75" customHeight="1">
      <c r="A31" s="825"/>
      <c r="B31" s="1186">
        <v>6.13</v>
      </c>
      <c r="C31" s="1187">
        <v>42370</v>
      </c>
      <c r="D31" s="1190" t="s">
        <v>1994</v>
      </c>
      <c r="E31" s="1014"/>
      <c r="F31" s="1014"/>
      <c r="G31" s="1014"/>
      <c r="H31" s="1014"/>
      <c r="I31" s="1014"/>
      <c r="J31" s="1014"/>
      <c r="K31" s="1014"/>
      <c r="L31" s="1016"/>
      <c r="M31" s="173"/>
      <c r="N31" s="173"/>
      <c r="O31" s="173"/>
      <c r="P31" s="173"/>
      <c r="Q31" s="173"/>
      <c r="R31" s="173"/>
      <c r="S31" s="173"/>
      <c r="T31" s="173"/>
      <c r="U31" s="173"/>
      <c r="V31" s="173"/>
      <c r="W31" s="173"/>
      <c r="X31" s="173"/>
      <c r="Y31" s="173"/>
      <c r="Z31" s="173"/>
      <c r="AA31" s="173"/>
    </row>
    <row r="32" spans="1:27" ht="12.75" customHeight="1">
      <c r="A32" s="825"/>
      <c r="B32" s="1175"/>
      <c r="C32" s="1175"/>
      <c r="D32" s="1037"/>
      <c r="E32" s="1007"/>
      <c r="F32" s="1007"/>
      <c r="G32" s="1007"/>
      <c r="H32" s="1007"/>
      <c r="I32" s="1007"/>
      <c r="J32" s="1007"/>
      <c r="K32" s="1007"/>
      <c r="L32" s="1038"/>
      <c r="M32" s="173"/>
      <c r="N32" s="173"/>
      <c r="O32" s="173"/>
      <c r="P32" s="173"/>
      <c r="Q32" s="173"/>
      <c r="R32" s="173"/>
      <c r="S32" s="173"/>
      <c r="T32" s="173"/>
      <c r="U32" s="173"/>
      <c r="V32" s="173"/>
      <c r="W32" s="173"/>
      <c r="X32" s="173"/>
      <c r="Y32" s="173"/>
      <c r="Z32" s="173"/>
      <c r="AA32" s="173"/>
    </row>
    <row r="33" spans="1:27" ht="19.5" customHeight="1">
      <c r="A33" s="825"/>
      <c r="B33" s="1186">
        <v>6.12</v>
      </c>
      <c r="C33" s="1187">
        <v>42357</v>
      </c>
      <c r="D33" s="1190" t="s">
        <v>1995</v>
      </c>
      <c r="E33" s="1014"/>
      <c r="F33" s="1014"/>
      <c r="G33" s="1014"/>
      <c r="H33" s="1014"/>
      <c r="I33" s="1014"/>
      <c r="J33" s="1014"/>
      <c r="K33" s="1014"/>
      <c r="L33" s="1016"/>
      <c r="M33" s="173"/>
      <c r="N33" s="173"/>
      <c r="O33" s="173"/>
      <c r="P33" s="173"/>
      <c r="Q33" s="173"/>
      <c r="R33" s="173"/>
      <c r="S33" s="173"/>
      <c r="T33" s="173"/>
      <c r="U33" s="173"/>
      <c r="V33" s="173"/>
      <c r="W33" s="173"/>
      <c r="X33" s="173"/>
      <c r="Y33" s="173"/>
      <c r="Z33" s="173"/>
      <c r="AA33" s="173"/>
    </row>
    <row r="34" spans="1:27" ht="19.5" customHeight="1">
      <c r="A34" s="825"/>
      <c r="B34" s="1175"/>
      <c r="C34" s="1175"/>
      <c r="D34" s="1037"/>
      <c r="E34" s="1007"/>
      <c r="F34" s="1007"/>
      <c r="G34" s="1007"/>
      <c r="H34" s="1007"/>
      <c r="I34" s="1007"/>
      <c r="J34" s="1007"/>
      <c r="K34" s="1007"/>
      <c r="L34" s="1038"/>
      <c r="M34" s="173"/>
      <c r="N34" s="173"/>
      <c r="O34" s="173"/>
      <c r="P34" s="173"/>
      <c r="Q34" s="173"/>
      <c r="R34" s="173"/>
      <c r="S34" s="173"/>
      <c r="T34" s="173"/>
      <c r="U34" s="173"/>
      <c r="V34" s="173"/>
      <c r="W34" s="173"/>
      <c r="X34" s="173"/>
      <c r="Y34" s="173"/>
      <c r="Z34" s="173"/>
      <c r="AA34" s="173"/>
    </row>
    <row r="35" spans="1:27" ht="9" customHeight="1">
      <c r="A35" s="825"/>
      <c r="B35" s="1186">
        <v>6.11</v>
      </c>
      <c r="C35" s="1187">
        <v>42327</v>
      </c>
      <c r="D35" s="1190" t="s">
        <v>1996</v>
      </c>
      <c r="E35" s="1014"/>
      <c r="F35" s="1014"/>
      <c r="G35" s="1014"/>
      <c r="H35" s="1014"/>
      <c r="I35" s="1014"/>
      <c r="J35" s="1014"/>
      <c r="K35" s="1014"/>
      <c r="L35" s="1016"/>
      <c r="M35" s="173"/>
      <c r="N35" s="173"/>
      <c r="O35" s="173"/>
      <c r="P35" s="173"/>
      <c r="Q35" s="173"/>
      <c r="R35" s="173"/>
      <c r="S35" s="173"/>
      <c r="T35" s="173"/>
      <c r="U35" s="173"/>
      <c r="V35" s="173"/>
      <c r="W35" s="173"/>
      <c r="X35" s="173"/>
      <c r="Y35" s="173"/>
      <c r="Z35" s="173"/>
      <c r="AA35" s="173"/>
    </row>
    <row r="36" spans="1:27" ht="9" customHeight="1">
      <c r="A36" s="825"/>
      <c r="B36" s="1175"/>
      <c r="C36" s="1175"/>
      <c r="D36" s="1037"/>
      <c r="E36" s="1007"/>
      <c r="F36" s="1007"/>
      <c r="G36" s="1007"/>
      <c r="H36" s="1007"/>
      <c r="I36" s="1007"/>
      <c r="J36" s="1007"/>
      <c r="K36" s="1007"/>
      <c r="L36" s="1038"/>
      <c r="M36" s="173"/>
      <c r="N36" s="173"/>
      <c r="O36" s="173"/>
      <c r="P36" s="173"/>
      <c r="Q36" s="173"/>
      <c r="R36" s="173"/>
      <c r="S36" s="173"/>
      <c r="T36" s="173"/>
      <c r="U36" s="173"/>
      <c r="V36" s="173"/>
      <c r="W36" s="173"/>
      <c r="X36" s="173"/>
      <c r="Y36" s="173"/>
      <c r="Z36" s="173"/>
      <c r="AA36" s="173"/>
    </row>
    <row r="37" spans="1:27" ht="30.75" customHeight="1">
      <c r="A37" s="825"/>
      <c r="B37" s="1186">
        <v>6.1</v>
      </c>
      <c r="C37" s="1187">
        <v>42326</v>
      </c>
      <c r="D37" s="1190" t="s">
        <v>1997</v>
      </c>
      <c r="E37" s="1014"/>
      <c r="F37" s="1014"/>
      <c r="G37" s="1014"/>
      <c r="H37" s="1014"/>
      <c r="I37" s="1014"/>
      <c r="J37" s="1014"/>
      <c r="K37" s="1014"/>
      <c r="L37" s="1016"/>
      <c r="M37" s="173"/>
      <c r="N37" s="173"/>
      <c r="O37" s="173"/>
      <c r="P37" s="173"/>
      <c r="Q37" s="173"/>
      <c r="R37" s="173"/>
      <c r="S37" s="173"/>
      <c r="T37" s="173"/>
      <c r="U37" s="173"/>
      <c r="V37" s="173"/>
      <c r="W37" s="173"/>
      <c r="X37" s="173"/>
      <c r="Y37" s="173"/>
      <c r="Z37" s="173"/>
      <c r="AA37" s="173"/>
    </row>
    <row r="38" spans="1:27" ht="30.75" customHeight="1">
      <c r="A38" s="825"/>
      <c r="B38" s="1175"/>
      <c r="C38" s="1175"/>
      <c r="D38" s="1037"/>
      <c r="E38" s="1007"/>
      <c r="F38" s="1007"/>
      <c r="G38" s="1007"/>
      <c r="H38" s="1007"/>
      <c r="I38" s="1007"/>
      <c r="J38" s="1007"/>
      <c r="K38" s="1007"/>
      <c r="L38" s="1038"/>
      <c r="M38" s="173"/>
      <c r="N38" s="173"/>
      <c r="O38" s="173"/>
      <c r="P38" s="173"/>
      <c r="Q38" s="173"/>
      <c r="R38" s="173"/>
      <c r="S38" s="173"/>
      <c r="T38" s="173"/>
      <c r="U38" s="173"/>
      <c r="V38" s="173"/>
      <c r="W38" s="173"/>
      <c r="X38" s="173"/>
      <c r="Y38" s="173"/>
      <c r="Z38" s="173"/>
      <c r="AA38" s="173"/>
    </row>
    <row r="39" spans="1:27" ht="18" customHeight="1">
      <c r="A39" s="825"/>
      <c r="B39" s="1186">
        <v>6.01</v>
      </c>
      <c r="C39" s="1187">
        <v>42317</v>
      </c>
      <c r="D39" s="1190" t="s">
        <v>1998</v>
      </c>
      <c r="E39" s="1014"/>
      <c r="F39" s="1014"/>
      <c r="G39" s="1014"/>
      <c r="H39" s="1014"/>
      <c r="I39" s="1014"/>
      <c r="J39" s="1014"/>
      <c r="K39" s="1014"/>
      <c r="L39" s="1016"/>
      <c r="M39" s="173"/>
      <c r="N39" s="173"/>
      <c r="O39" s="173"/>
      <c r="P39" s="173"/>
      <c r="Q39" s="173"/>
      <c r="R39" s="173"/>
      <c r="S39" s="173"/>
      <c r="T39" s="173"/>
      <c r="U39" s="173"/>
      <c r="V39" s="173"/>
      <c r="W39" s="173"/>
      <c r="X39" s="173"/>
      <c r="Y39" s="173"/>
      <c r="Z39" s="173"/>
      <c r="AA39" s="173"/>
    </row>
    <row r="40" spans="1:27" ht="18" customHeight="1">
      <c r="A40" s="825"/>
      <c r="B40" s="1175"/>
      <c r="C40" s="1175"/>
      <c r="D40" s="1037"/>
      <c r="E40" s="1007"/>
      <c r="F40" s="1007"/>
      <c r="G40" s="1007"/>
      <c r="H40" s="1007"/>
      <c r="I40" s="1007"/>
      <c r="J40" s="1007"/>
      <c r="K40" s="1007"/>
      <c r="L40" s="1038"/>
      <c r="M40" s="173"/>
      <c r="N40" s="173"/>
      <c r="O40" s="173"/>
      <c r="P40" s="173"/>
      <c r="Q40" s="173"/>
      <c r="R40" s="173"/>
      <c r="S40" s="173"/>
      <c r="T40" s="173"/>
      <c r="U40" s="173"/>
      <c r="V40" s="173"/>
      <c r="W40" s="173"/>
      <c r="X40" s="173"/>
      <c r="Y40" s="173"/>
      <c r="Z40" s="173"/>
      <c r="AA40" s="173"/>
    </row>
    <row r="41" spans="1:27" ht="11.25" customHeight="1">
      <c r="A41" s="825"/>
      <c r="B41" s="1186">
        <v>6</v>
      </c>
      <c r="C41" s="1187">
        <v>42315</v>
      </c>
      <c r="D41" s="1190" t="s">
        <v>1999</v>
      </c>
      <c r="E41" s="1014"/>
      <c r="F41" s="1014"/>
      <c r="G41" s="1014"/>
      <c r="H41" s="1014"/>
      <c r="I41" s="1014"/>
      <c r="J41" s="1014"/>
      <c r="K41" s="1014"/>
      <c r="L41" s="1016"/>
      <c r="M41" s="173"/>
      <c r="N41" s="173"/>
      <c r="O41" s="173"/>
      <c r="P41" s="173"/>
      <c r="Q41" s="173"/>
      <c r="R41" s="173"/>
      <c r="S41" s="173"/>
      <c r="T41" s="173"/>
      <c r="U41" s="173"/>
      <c r="V41" s="173"/>
      <c r="W41" s="173"/>
      <c r="X41" s="173"/>
      <c r="Y41" s="173"/>
      <c r="Z41" s="173"/>
      <c r="AA41" s="173"/>
    </row>
    <row r="42" spans="1:27" ht="11.25" customHeight="1">
      <c r="A42" s="825"/>
      <c r="B42" s="1175"/>
      <c r="C42" s="1175"/>
      <c r="D42" s="1037"/>
      <c r="E42" s="1007"/>
      <c r="F42" s="1007"/>
      <c r="G42" s="1007"/>
      <c r="H42" s="1007"/>
      <c r="I42" s="1007"/>
      <c r="J42" s="1007"/>
      <c r="K42" s="1007"/>
      <c r="L42" s="1038"/>
      <c r="M42" s="173"/>
      <c r="N42" s="173"/>
      <c r="O42" s="173"/>
      <c r="P42" s="173"/>
      <c r="Q42" s="173"/>
      <c r="R42" s="173"/>
      <c r="S42" s="173"/>
      <c r="T42" s="173"/>
      <c r="U42" s="173"/>
      <c r="V42" s="173"/>
      <c r="W42" s="173"/>
      <c r="X42" s="173"/>
      <c r="Y42" s="173"/>
      <c r="Z42" s="173"/>
      <c r="AA42" s="173"/>
    </row>
    <row r="43" spans="1:27" ht="12" customHeight="1">
      <c r="A43" s="825"/>
      <c r="B43" s="1186">
        <v>5.75</v>
      </c>
      <c r="C43" s="1187">
        <v>42295</v>
      </c>
      <c r="D43" s="1190" t="s">
        <v>2000</v>
      </c>
      <c r="E43" s="1014"/>
      <c r="F43" s="1014"/>
      <c r="G43" s="1014"/>
      <c r="H43" s="1014"/>
      <c r="I43" s="1014"/>
      <c r="J43" s="1014"/>
      <c r="K43" s="1014"/>
      <c r="L43" s="1016"/>
      <c r="M43" s="173"/>
      <c r="N43" s="173"/>
      <c r="O43" s="173"/>
      <c r="P43" s="173"/>
      <c r="Q43" s="173"/>
      <c r="R43" s="173"/>
      <c r="S43" s="173"/>
      <c r="T43" s="173"/>
      <c r="U43" s="173"/>
      <c r="V43" s="173"/>
      <c r="W43" s="173"/>
      <c r="X43" s="173"/>
      <c r="Y43" s="173"/>
      <c r="Z43" s="173"/>
      <c r="AA43" s="173"/>
    </row>
    <row r="44" spans="1:27" ht="12" customHeight="1">
      <c r="A44" s="825"/>
      <c r="B44" s="1175"/>
      <c r="C44" s="1175"/>
      <c r="D44" s="1037"/>
      <c r="E44" s="1007"/>
      <c r="F44" s="1007"/>
      <c r="G44" s="1007"/>
      <c r="H44" s="1007"/>
      <c r="I44" s="1007"/>
      <c r="J44" s="1007"/>
      <c r="K44" s="1007"/>
      <c r="L44" s="1038"/>
      <c r="M44" s="173"/>
      <c r="N44" s="173"/>
      <c r="O44" s="173"/>
      <c r="P44" s="173"/>
      <c r="Q44" s="173"/>
      <c r="R44" s="173"/>
      <c r="S44" s="173"/>
      <c r="T44" s="173"/>
      <c r="U44" s="173"/>
      <c r="V44" s="173"/>
      <c r="W44" s="173"/>
      <c r="X44" s="173"/>
      <c r="Y44" s="173"/>
      <c r="Z44" s="173"/>
      <c r="AA44" s="173"/>
    </row>
    <row r="45" spans="1:27" ht="13.5" customHeight="1">
      <c r="A45" s="825"/>
      <c r="B45" s="1186">
        <v>5.74</v>
      </c>
      <c r="C45" s="1192">
        <v>42276</v>
      </c>
      <c r="D45" s="1190" t="s">
        <v>2001</v>
      </c>
      <c r="E45" s="1014"/>
      <c r="F45" s="1014"/>
      <c r="G45" s="1014"/>
      <c r="H45" s="1014"/>
      <c r="I45" s="1014"/>
      <c r="J45" s="1014"/>
      <c r="K45" s="1014"/>
      <c r="L45" s="1016"/>
      <c r="M45" s="173"/>
      <c r="N45" s="173"/>
      <c r="O45" s="173"/>
      <c r="P45" s="173"/>
      <c r="Q45" s="173"/>
      <c r="R45" s="173"/>
      <c r="S45" s="173"/>
      <c r="T45" s="173"/>
      <c r="U45" s="173"/>
      <c r="V45" s="173"/>
      <c r="W45" s="173"/>
      <c r="X45" s="173"/>
      <c r="Y45" s="173"/>
      <c r="Z45" s="173"/>
      <c r="AA45" s="173"/>
    </row>
    <row r="46" spans="1:27" ht="13.5" customHeight="1">
      <c r="A46" s="825"/>
      <c r="B46" s="1175"/>
      <c r="C46" s="1037"/>
      <c r="D46" s="1037"/>
      <c r="E46" s="1007"/>
      <c r="F46" s="1007"/>
      <c r="G46" s="1007"/>
      <c r="H46" s="1007"/>
      <c r="I46" s="1007"/>
      <c r="J46" s="1007"/>
      <c r="K46" s="1007"/>
      <c r="L46" s="1038"/>
      <c r="M46" s="173"/>
      <c r="N46" s="173"/>
      <c r="O46" s="173"/>
      <c r="P46" s="173"/>
      <c r="Q46" s="173"/>
      <c r="R46" s="173"/>
      <c r="S46" s="173"/>
      <c r="T46" s="173"/>
      <c r="U46" s="173"/>
      <c r="V46" s="173"/>
      <c r="W46" s="173"/>
      <c r="X46" s="173"/>
      <c r="Y46" s="173"/>
      <c r="Z46" s="173"/>
      <c r="AA46" s="173"/>
    </row>
    <row r="47" spans="1:27" ht="18" customHeight="1">
      <c r="A47" s="825"/>
      <c r="B47" s="1186">
        <v>5.73</v>
      </c>
      <c r="C47" s="1192">
        <v>42271</v>
      </c>
      <c r="D47" s="1190" t="s">
        <v>2002</v>
      </c>
      <c r="E47" s="1014"/>
      <c r="F47" s="1014"/>
      <c r="G47" s="1014"/>
      <c r="H47" s="1014"/>
      <c r="I47" s="1014"/>
      <c r="J47" s="1014"/>
      <c r="K47" s="1014"/>
      <c r="L47" s="1016"/>
      <c r="M47" s="173"/>
      <c r="N47" s="173"/>
      <c r="O47" s="173"/>
      <c r="P47" s="173"/>
      <c r="Q47" s="173"/>
      <c r="R47" s="173"/>
      <c r="S47" s="173"/>
      <c r="T47" s="173"/>
      <c r="U47" s="173"/>
      <c r="V47" s="173"/>
      <c r="W47" s="173"/>
      <c r="X47" s="173"/>
      <c r="Y47" s="173"/>
      <c r="Z47" s="173"/>
      <c r="AA47" s="173"/>
    </row>
    <row r="48" spans="1:27" ht="18" customHeight="1">
      <c r="A48" s="825"/>
      <c r="B48" s="1175"/>
      <c r="C48" s="1037"/>
      <c r="D48" s="1037"/>
      <c r="E48" s="1007"/>
      <c r="F48" s="1007"/>
      <c r="G48" s="1007"/>
      <c r="H48" s="1007"/>
      <c r="I48" s="1007"/>
      <c r="J48" s="1007"/>
      <c r="K48" s="1007"/>
      <c r="L48" s="1038"/>
      <c r="M48" s="173"/>
      <c r="N48" s="173"/>
      <c r="O48" s="173"/>
      <c r="P48" s="173"/>
      <c r="Q48" s="173"/>
      <c r="R48" s="173"/>
      <c r="S48" s="173"/>
      <c r="T48" s="173"/>
      <c r="U48" s="173"/>
      <c r="V48" s="173"/>
      <c r="W48" s="173"/>
      <c r="X48" s="173"/>
      <c r="Y48" s="173"/>
      <c r="Z48" s="173"/>
      <c r="AA48" s="173"/>
    </row>
    <row r="49" spans="1:27" ht="12.75" customHeight="1">
      <c r="A49" s="825"/>
      <c r="B49" s="1186">
        <v>5.72</v>
      </c>
      <c r="C49" s="1192">
        <v>42261</v>
      </c>
      <c r="D49" s="1190" t="s">
        <v>2003</v>
      </c>
      <c r="E49" s="1014"/>
      <c r="F49" s="1014"/>
      <c r="G49" s="1014"/>
      <c r="H49" s="1014"/>
      <c r="I49" s="1014"/>
      <c r="J49" s="1014"/>
      <c r="K49" s="1014"/>
      <c r="L49" s="1016"/>
      <c r="M49" s="173"/>
      <c r="N49" s="173"/>
      <c r="O49" s="173"/>
      <c r="P49" s="173"/>
      <c r="Q49" s="173"/>
      <c r="R49" s="173"/>
      <c r="S49" s="173"/>
      <c r="T49" s="173"/>
      <c r="U49" s="173"/>
      <c r="V49" s="173"/>
      <c r="W49" s="173"/>
      <c r="X49" s="173"/>
      <c r="Y49" s="173"/>
      <c r="Z49" s="173"/>
      <c r="AA49" s="173"/>
    </row>
    <row r="50" spans="1:27" ht="12.75" customHeight="1">
      <c r="A50" s="825"/>
      <c r="B50" s="1175"/>
      <c r="C50" s="1037"/>
      <c r="D50" s="1037"/>
      <c r="E50" s="1007"/>
      <c r="F50" s="1007"/>
      <c r="G50" s="1007"/>
      <c r="H50" s="1007"/>
      <c r="I50" s="1007"/>
      <c r="J50" s="1007"/>
      <c r="K50" s="1007"/>
      <c r="L50" s="1038"/>
      <c r="M50" s="173"/>
      <c r="N50" s="173"/>
      <c r="O50" s="173"/>
      <c r="P50" s="173"/>
      <c r="Q50" s="173"/>
      <c r="R50" s="173"/>
      <c r="S50" s="173"/>
      <c r="T50" s="173"/>
      <c r="U50" s="173"/>
      <c r="V50" s="173"/>
      <c r="W50" s="173"/>
      <c r="X50" s="173"/>
      <c r="Y50" s="173"/>
      <c r="Z50" s="173"/>
      <c r="AA50" s="173"/>
    </row>
    <row r="51" spans="1:27" ht="10.5" customHeight="1">
      <c r="A51" s="825"/>
      <c r="B51" s="1186">
        <v>5.71</v>
      </c>
      <c r="C51" s="1192">
        <v>42246</v>
      </c>
      <c r="D51" s="1190" t="s">
        <v>2004</v>
      </c>
      <c r="E51" s="1014"/>
      <c r="F51" s="1014"/>
      <c r="G51" s="1014"/>
      <c r="H51" s="1014"/>
      <c r="I51" s="1014"/>
      <c r="J51" s="1014"/>
      <c r="K51" s="1014"/>
      <c r="L51" s="1016"/>
      <c r="M51" s="173"/>
      <c r="N51" s="173"/>
      <c r="O51" s="173"/>
      <c r="P51" s="173"/>
      <c r="Q51" s="173"/>
      <c r="R51" s="173"/>
      <c r="S51" s="173"/>
      <c r="T51" s="173"/>
      <c r="U51" s="173"/>
      <c r="V51" s="173"/>
      <c r="W51" s="173"/>
      <c r="X51" s="173"/>
      <c r="Y51" s="173"/>
      <c r="Z51" s="173"/>
      <c r="AA51" s="173"/>
    </row>
    <row r="52" spans="1:27" ht="10.5" customHeight="1">
      <c r="A52" s="825"/>
      <c r="B52" s="1170"/>
      <c r="C52" s="1017"/>
      <c r="D52" s="1017"/>
      <c r="E52" s="1034"/>
      <c r="F52" s="1034"/>
      <c r="G52" s="1034"/>
      <c r="H52" s="1034"/>
      <c r="I52" s="1034"/>
      <c r="J52" s="1034"/>
      <c r="K52" s="1034"/>
      <c r="L52" s="1018"/>
      <c r="M52" s="173"/>
      <c r="N52" s="173"/>
      <c r="O52" s="173"/>
      <c r="P52" s="173"/>
      <c r="Q52" s="173"/>
      <c r="R52" s="173"/>
      <c r="S52" s="173"/>
      <c r="T52" s="173"/>
      <c r="U52" s="173"/>
      <c r="V52" s="173"/>
      <c r="W52" s="173"/>
      <c r="X52" s="173"/>
      <c r="Y52" s="173"/>
      <c r="Z52" s="173"/>
      <c r="AA52" s="173"/>
    </row>
    <row r="53" spans="1:27" ht="18.75" customHeight="1">
      <c r="A53" s="825"/>
      <c r="B53" s="1186">
        <v>5.7</v>
      </c>
      <c r="C53" s="1187">
        <v>42243</v>
      </c>
      <c r="D53" s="1193" t="s">
        <v>2005</v>
      </c>
      <c r="E53" s="1007"/>
      <c r="F53" s="1007"/>
      <c r="G53" s="1007"/>
      <c r="H53" s="1007"/>
      <c r="I53" s="1007"/>
      <c r="J53" s="1007"/>
      <c r="K53" s="1007"/>
      <c r="L53" s="1038"/>
      <c r="M53" s="173"/>
      <c r="N53" s="173"/>
      <c r="O53" s="173"/>
      <c r="P53" s="173"/>
      <c r="Q53" s="173"/>
      <c r="R53" s="173"/>
      <c r="S53" s="173"/>
      <c r="T53" s="173"/>
      <c r="U53" s="173"/>
      <c r="V53" s="173"/>
      <c r="W53" s="173"/>
      <c r="X53" s="173"/>
      <c r="Y53" s="173"/>
      <c r="Z53" s="173"/>
      <c r="AA53" s="173"/>
    </row>
    <row r="54" spans="1:27" ht="18.75" customHeight="1">
      <c r="A54" s="825"/>
      <c r="B54" s="1170"/>
      <c r="C54" s="1170"/>
      <c r="D54" s="1017"/>
      <c r="E54" s="1034"/>
      <c r="F54" s="1034"/>
      <c r="G54" s="1034"/>
      <c r="H54" s="1034"/>
      <c r="I54" s="1034"/>
      <c r="J54" s="1034"/>
      <c r="K54" s="1034"/>
      <c r="L54" s="1018"/>
      <c r="M54" s="173"/>
      <c r="N54" s="173"/>
      <c r="O54" s="173"/>
      <c r="P54" s="173"/>
      <c r="Q54" s="173"/>
      <c r="R54" s="173"/>
      <c r="S54" s="173"/>
      <c r="T54" s="173"/>
      <c r="U54" s="173"/>
      <c r="V54" s="173"/>
      <c r="W54" s="173"/>
      <c r="X54" s="173"/>
      <c r="Y54" s="173"/>
      <c r="Z54" s="173"/>
      <c r="AA54" s="173"/>
    </row>
    <row r="55" spans="1:27" ht="18.75" customHeight="1">
      <c r="A55" s="825"/>
      <c r="B55" s="1186">
        <v>5.64</v>
      </c>
      <c r="C55" s="1187">
        <v>42241</v>
      </c>
      <c r="D55" s="1190" t="s">
        <v>2006</v>
      </c>
      <c r="E55" s="1014"/>
      <c r="F55" s="1014"/>
      <c r="G55" s="1014"/>
      <c r="H55" s="1014"/>
      <c r="I55" s="1014"/>
      <c r="J55" s="1014"/>
      <c r="K55" s="1014"/>
      <c r="L55" s="1016"/>
      <c r="M55" s="173"/>
      <c r="N55" s="173"/>
      <c r="O55" s="173"/>
      <c r="P55" s="173"/>
      <c r="Q55" s="173"/>
      <c r="R55" s="173"/>
      <c r="S55" s="173"/>
      <c r="T55" s="173"/>
      <c r="U55" s="173"/>
      <c r="V55" s="173"/>
      <c r="W55" s="173"/>
      <c r="X55" s="173"/>
      <c r="Y55" s="173"/>
      <c r="Z55" s="173"/>
      <c r="AA55" s="173"/>
    </row>
    <row r="56" spans="1:27" ht="18.75" customHeight="1">
      <c r="A56" s="825"/>
      <c r="B56" s="1170"/>
      <c r="C56" s="1170"/>
      <c r="D56" s="1017"/>
      <c r="E56" s="1034"/>
      <c r="F56" s="1034"/>
      <c r="G56" s="1034"/>
      <c r="H56" s="1034"/>
      <c r="I56" s="1034"/>
      <c r="J56" s="1034"/>
      <c r="K56" s="1034"/>
      <c r="L56" s="1018"/>
      <c r="M56" s="173"/>
      <c r="N56" s="173"/>
      <c r="O56" s="173"/>
      <c r="P56" s="173"/>
      <c r="Q56" s="173"/>
      <c r="R56" s="173"/>
      <c r="S56" s="173"/>
      <c r="T56" s="173"/>
      <c r="U56" s="173"/>
      <c r="V56" s="173"/>
      <c r="W56" s="173"/>
      <c r="X56" s="173"/>
      <c r="Y56" s="173"/>
      <c r="Z56" s="173"/>
      <c r="AA56" s="173"/>
    </row>
    <row r="57" spans="1:27" ht="18.75" customHeight="1">
      <c r="A57" s="825"/>
      <c r="B57" s="1186">
        <v>5.63</v>
      </c>
      <c r="C57" s="1187">
        <v>42240</v>
      </c>
      <c r="D57" s="1190" t="s">
        <v>2007</v>
      </c>
      <c r="E57" s="1014"/>
      <c r="F57" s="1014"/>
      <c r="G57" s="1014"/>
      <c r="H57" s="1014"/>
      <c r="I57" s="1014"/>
      <c r="J57" s="1014"/>
      <c r="K57" s="1014"/>
      <c r="L57" s="1016"/>
      <c r="M57" s="173"/>
      <c r="N57" s="173"/>
      <c r="O57" s="173"/>
      <c r="P57" s="173"/>
      <c r="Q57" s="173"/>
      <c r="R57" s="173"/>
      <c r="S57" s="173"/>
      <c r="T57" s="173"/>
      <c r="U57" s="173"/>
      <c r="V57" s="173"/>
      <c r="W57" s="173"/>
      <c r="X57" s="173"/>
      <c r="Y57" s="173"/>
      <c r="Z57" s="173"/>
      <c r="AA57" s="173"/>
    </row>
    <row r="58" spans="1:27" ht="18.75" customHeight="1">
      <c r="A58" s="825"/>
      <c r="B58" s="1170"/>
      <c r="C58" s="1170"/>
      <c r="D58" s="1017"/>
      <c r="E58" s="1034"/>
      <c r="F58" s="1034"/>
      <c r="G58" s="1034"/>
      <c r="H58" s="1034"/>
      <c r="I58" s="1034"/>
      <c r="J58" s="1034"/>
      <c r="K58" s="1034"/>
      <c r="L58" s="1018"/>
      <c r="M58" s="173"/>
      <c r="N58" s="173"/>
      <c r="O58" s="173"/>
      <c r="P58" s="173"/>
      <c r="Q58" s="173"/>
      <c r="R58" s="173"/>
      <c r="S58" s="173"/>
      <c r="T58" s="173"/>
      <c r="U58" s="173"/>
      <c r="V58" s="173"/>
      <c r="W58" s="173"/>
      <c r="X58" s="173"/>
      <c r="Y58" s="173"/>
      <c r="Z58" s="173"/>
      <c r="AA58" s="173"/>
    </row>
    <row r="59" spans="1:27" ht="18.75" customHeight="1">
      <c r="A59" s="825"/>
      <c r="B59" s="1186">
        <v>5.62</v>
      </c>
      <c r="C59" s="1187">
        <v>42239</v>
      </c>
      <c r="D59" s="1190" t="s">
        <v>2008</v>
      </c>
      <c r="E59" s="1014"/>
      <c r="F59" s="1014"/>
      <c r="G59" s="1014"/>
      <c r="H59" s="1014"/>
      <c r="I59" s="1014"/>
      <c r="J59" s="1014"/>
      <c r="K59" s="1014"/>
      <c r="L59" s="1016"/>
      <c r="M59" s="173"/>
      <c r="N59" s="173"/>
      <c r="O59" s="173"/>
      <c r="P59" s="173"/>
      <c r="Q59" s="173"/>
      <c r="R59" s="173"/>
      <c r="S59" s="173"/>
      <c r="T59" s="173"/>
      <c r="U59" s="173"/>
      <c r="V59" s="173"/>
      <c r="W59" s="173"/>
      <c r="X59" s="173"/>
      <c r="Y59" s="173"/>
      <c r="Z59" s="173"/>
      <c r="AA59" s="173"/>
    </row>
    <row r="60" spans="1:27" ht="18.75" customHeight="1">
      <c r="A60" s="825"/>
      <c r="B60" s="1170"/>
      <c r="C60" s="1170"/>
      <c r="D60" s="1017"/>
      <c r="E60" s="1034"/>
      <c r="F60" s="1034"/>
      <c r="G60" s="1034"/>
      <c r="H60" s="1034"/>
      <c r="I60" s="1034"/>
      <c r="J60" s="1034"/>
      <c r="K60" s="1034"/>
      <c r="L60" s="1018"/>
      <c r="M60" s="173"/>
      <c r="N60" s="173"/>
      <c r="O60" s="173"/>
      <c r="P60" s="173"/>
      <c r="Q60" s="173"/>
      <c r="R60" s="173"/>
      <c r="S60" s="173"/>
      <c r="T60" s="173"/>
      <c r="U60" s="173"/>
      <c r="V60" s="173"/>
      <c r="W60" s="173"/>
      <c r="X60" s="173"/>
      <c r="Y60" s="173"/>
      <c r="Z60" s="173"/>
      <c r="AA60" s="173"/>
    </row>
    <row r="61" spans="1:27" ht="18.75" customHeight="1">
      <c r="A61" s="825"/>
      <c r="B61" s="1186">
        <v>5.61</v>
      </c>
      <c r="C61" s="1187">
        <v>42239</v>
      </c>
      <c r="D61" s="1190" t="s">
        <v>2009</v>
      </c>
      <c r="E61" s="1014"/>
      <c r="F61" s="1014"/>
      <c r="G61" s="1014"/>
      <c r="H61" s="1014"/>
      <c r="I61" s="1014"/>
      <c r="J61" s="1014"/>
      <c r="K61" s="1014"/>
      <c r="L61" s="1016"/>
      <c r="M61" s="173"/>
      <c r="N61" s="173"/>
      <c r="O61" s="173"/>
      <c r="P61" s="173"/>
      <c r="Q61" s="173"/>
      <c r="R61" s="173"/>
      <c r="S61" s="173"/>
      <c r="T61" s="173"/>
      <c r="U61" s="173"/>
      <c r="V61" s="173"/>
      <c r="W61" s="173"/>
      <c r="X61" s="173"/>
      <c r="Y61" s="173"/>
      <c r="Z61" s="173"/>
      <c r="AA61" s="173"/>
    </row>
    <row r="62" spans="1:27" ht="18.75" customHeight="1">
      <c r="A62" s="825"/>
      <c r="B62" s="1170"/>
      <c r="C62" s="1170"/>
      <c r="D62" s="1017"/>
      <c r="E62" s="1034"/>
      <c r="F62" s="1034"/>
      <c r="G62" s="1034"/>
      <c r="H62" s="1034"/>
      <c r="I62" s="1034"/>
      <c r="J62" s="1034"/>
      <c r="K62" s="1034"/>
      <c r="L62" s="1018"/>
      <c r="M62" s="173"/>
      <c r="N62" s="173"/>
      <c r="O62" s="173"/>
      <c r="P62" s="173"/>
      <c r="Q62" s="173"/>
      <c r="R62" s="173"/>
      <c r="S62" s="173"/>
      <c r="T62" s="173"/>
      <c r="U62" s="173"/>
      <c r="V62" s="173"/>
      <c r="W62" s="173"/>
      <c r="X62" s="173"/>
      <c r="Y62" s="173"/>
      <c r="Z62" s="173"/>
      <c r="AA62" s="173"/>
    </row>
    <row r="63" spans="1:27" ht="18.75" customHeight="1">
      <c r="A63" s="825"/>
      <c r="B63" s="1186">
        <v>5.6</v>
      </c>
      <c r="C63" s="1187">
        <v>42239</v>
      </c>
      <c r="D63" s="1190" t="s">
        <v>2010</v>
      </c>
      <c r="E63" s="1014"/>
      <c r="F63" s="1014"/>
      <c r="G63" s="1014"/>
      <c r="H63" s="1014"/>
      <c r="I63" s="1014"/>
      <c r="J63" s="1014"/>
      <c r="K63" s="1014"/>
      <c r="L63" s="1016"/>
      <c r="M63" s="173"/>
      <c r="N63" s="173"/>
      <c r="O63" s="173"/>
      <c r="P63" s="173"/>
      <c r="Q63" s="173"/>
      <c r="R63" s="173"/>
      <c r="S63" s="173"/>
      <c r="T63" s="173"/>
      <c r="U63" s="173"/>
      <c r="V63" s="173"/>
      <c r="W63" s="173"/>
      <c r="X63" s="173"/>
      <c r="Y63" s="173"/>
      <c r="Z63" s="173"/>
      <c r="AA63" s="173"/>
    </row>
    <row r="64" spans="1:27" ht="18.75" customHeight="1">
      <c r="A64" s="825"/>
      <c r="B64" s="1170"/>
      <c r="C64" s="1170"/>
      <c r="D64" s="1017"/>
      <c r="E64" s="1034"/>
      <c r="F64" s="1034"/>
      <c r="G64" s="1034"/>
      <c r="H64" s="1034"/>
      <c r="I64" s="1034"/>
      <c r="J64" s="1034"/>
      <c r="K64" s="1034"/>
      <c r="L64" s="1018"/>
      <c r="M64" s="173"/>
      <c r="N64" s="173"/>
      <c r="O64" s="173"/>
      <c r="P64" s="173"/>
      <c r="Q64" s="173"/>
      <c r="R64" s="173"/>
      <c r="S64" s="173"/>
      <c r="T64" s="173"/>
      <c r="U64" s="173"/>
      <c r="V64" s="173"/>
      <c r="W64" s="173"/>
      <c r="X64" s="173"/>
      <c r="Y64" s="173"/>
      <c r="Z64" s="173"/>
      <c r="AA64" s="173"/>
    </row>
    <row r="65" spans="1:27" ht="18.75" customHeight="1">
      <c r="A65" s="825"/>
      <c r="B65" s="1186">
        <v>5.5</v>
      </c>
      <c r="C65" s="1187">
        <v>42239</v>
      </c>
      <c r="D65" s="1191" t="s">
        <v>2220</v>
      </c>
      <c r="E65" s="1014"/>
      <c r="F65" s="1014"/>
      <c r="G65" s="1014"/>
      <c r="H65" s="1014"/>
      <c r="I65" s="1014"/>
      <c r="J65" s="1014"/>
      <c r="K65" s="1014"/>
      <c r="L65" s="1016"/>
      <c r="M65" s="173"/>
      <c r="N65" s="173"/>
      <c r="O65" s="173"/>
      <c r="P65" s="173"/>
      <c r="Q65" s="173"/>
      <c r="R65" s="173"/>
      <c r="S65" s="173"/>
      <c r="T65" s="173"/>
      <c r="U65" s="173"/>
      <c r="V65" s="173"/>
      <c r="W65" s="173"/>
      <c r="X65" s="173"/>
      <c r="Y65" s="173"/>
      <c r="Z65" s="173"/>
      <c r="AA65" s="173"/>
    </row>
    <row r="66" spans="1:27" ht="28.5" customHeight="1">
      <c r="A66" s="825"/>
      <c r="B66" s="1170"/>
      <c r="C66" s="1170"/>
      <c r="D66" s="1017"/>
      <c r="E66" s="1034"/>
      <c r="F66" s="1034"/>
      <c r="G66" s="1034"/>
      <c r="H66" s="1034"/>
      <c r="I66" s="1034"/>
      <c r="J66" s="1034"/>
      <c r="K66" s="1034"/>
      <c r="L66" s="1018"/>
      <c r="M66" s="173"/>
      <c r="N66" s="173"/>
      <c r="O66" s="173"/>
      <c r="P66" s="173"/>
      <c r="Q66" s="173"/>
      <c r="R66" s="173"/>
      <c r="S66" s="173"/>
      <c r="T66" s="173"/>
      <c r="U66" s="173"/>
      <c r="V66" s="173"/>
      <c r="W66" s="173"/>
      <c r="X66" s="173"/>
      <c r="Y66" s="173"/>
      <c r="Z66" s="173"/>
      <c r="AA66" s="173"/>
    </row>
    <row r="67" spans="1:27" ht="18.75" customHeight="1">
      <c r="A67" s="825"/>
      <c r="B67" s="1186">
        <v>5.4</v>
      </c>
      <c r="C67" s="1187">
        <v>42238</v>
      </c>
      <c r="D67" s="1190" t="s">
        <v>2011</v>
      </c>
      <c r="E67" s="1014"/>
      <c r="F67" s="1014"/>
      <c r="G67" s="1014"/>
      <c r="H67" s="1014"/>
      <c r="I67" s="1014"/>
      <c r="J67" s="1014"/>
      <c r="K67" s="1014"/>
      <c r="L67" s="1016"/>
      <c r="M67" s="173"/>
      <c r="N67" s="173"/>
      <c r="O67" s="173"/>
      <c r="P67" s="173"/>
      <c r="Q67" s="173"/>
      <c r="R67" s="173"/>
      <c r="S67" s="173"/>
      <c r="T67" s="173"/>
      <c r="U67" s="173"/>
      <c r="V67" s="173"/>
      <c r="W67" s="173"/>
      <c r="X67" s="173"/>
      <c r="Y67" s="173"/>
      <c r="Z67" s="173"/>
      <c r="AA67" s="173"/>
    </row>
    <row r="68" spans="1:27" ht="37.5" customHeight="1">
      <c r="A68" s="825"/>
      <c r="B68" s="1170"/>
      <c r="C68" s="1170"/>
      <c r="D68" s="1017"/>
      <c r="E68" s="1034"/>
      <c r="F68" s="1034"/>
      <c r="G68" s="1034"/>
      <c r="H68" s="1034"/>
      <c r="I68" s="1034"/>
      <c r="J68" s="1034"/>
      <c r="K68" s="1034"/>
      <c r="L68" s="1018"/>
      <c r="M68" s="173"/>
      <c r="N68" s="173"/>
      <c r="O68" s="173"/>
      <c r="P68" s="173"/>
      <c r="Q68" s="173"/>
      <c r="R68" s="173"/>
      <c r="S68" s="173"/>
      <c r="T68" s="173"/>
      <c r="U68" s="173"/>
      <c r="V68" s="173"/>
      <c r="W68" s="173"/>
      <c r="X68" s="173"/>
      <c r="Y68" s="173"/>
      <c r="Z68" s="173"/>
      <c r="AA68" s="173"/>
    </row>
    <row r="69" spans="1:27" ht="18.75" customHeight="1">
      <c r="A69" s="825"/>
      <c r="B69" s="1186">
        <v>5.3</v>
      </c>
      <c r="C69" s="1187">
        <v>42237</v>
      </c>
      <c r="D69" s="1190" t="s">
        <v>2012</v>
      </c>
      <c r="E69" s="1014"/>
      <c r="F69" s="1014"/>
      <c r="G69" s="1014"/>
      <c r="H69" s="1014"/>
      <c r="I69" s="1014"/>
      <c r="J69" s="1014"/>
      <c r="K69" s="1014"/>
      <c r="L69" s="1016"/>
      <c r="M69" s="173"/>
      <c r="N69" s="173"/>
      <c r="O69" s="173"/>
      <c r="P69" s="173"/>
      <c r="Q69" s="173"/>
      <c r="R69" s="173"/>
      <c r="S69" s="173"/>
      <c r="T69" s="173"/>
      <c r="U69" s="173"/>
      <c r="V69" s="173"/>
      <c r="W69" s="173"/>
      <c r="X69" s="173"/>
      <c r="Y69" s="173"/>
      <c r="Z69" s="173"/>
      <c r="AA69" s="173"/>
    </row>
    <row r="70" spans="1:27" ht="18.75" customHeight="1">
      <c r="A70" s="825"/>
      <c r="B70" s="1170"/>
      <c r="C70" s="1170"/>
      <c r="D70" s="1017"/>
      <c r="E70" s="1034"/>
      <c r="F70" s="1034"/>
      <c r="G70" s="1034"/>
      <c r="H70" s="1034"/>
      <c r="I70" s="1034"/>
      <c r="J70" s="1034"/>
      <c r="K70" s="1034"/>
      <c r="L70" s="1018"/>
      <c r="M70" s="173"/>
      <c r="N70" s="173"/>
      <c r="O70" s="173"/>
      <c r="P70" s="173"/>
      <c r="Q70" s="173"/>
      <c r="R70" s="173"/>
      <c r="S70" s="173"/>
      <c r="T70" s="173"/>
      <c r="U70" s="173"/>
      <c r="V70" s="173"/>
      <c r="W70" s="173"/>
      <c r="X70" s="173"/>
      <c r="Y70" s="173"/>
      <c r="Z70" s="173"/>
      <c r="AA70" s="173"/>
    </row>
    <row r="71" spans="1:27" ht="18.75" customHeight="1">
      <c r="A71" s="825"/>
      <c r="B71" s="1186">
        <v>5.25</v>
      </c>
      <c r="C71" s="1187">
        <v>42236</v>
      </c>
      <c r="D71" s="1190" t="s">
        <v>2013</v>
      </c>
      <c r="E71" s="1014"/>
      <c r="F71" s="1014"/>
      <c r="G71" s="1014"/>
      <c r="H71" s="1014"/>
      <c r="I71" s="1014"/>
      <c r="J71" s="1014"/>
      <c r="K71" s="1014"/>
      <c r="L71" s="1016"/>
      <c r="M71" s="173"/>
      <c r="N71" s="173"/>
      <c r="O71" s="173"/>
      <c r="P71" s="173"/>
      <c r="Q71" s="173"/>
      <c r="R71" s="173"/>
      <c r="S71" s="173"/>
      <c r="T71" s="173"/>
      <c r="U71" s="173"/>
      <c r="V71" s="173"/>
      <c r="W71" s="173"/>
      <c r="X71" s="173"/>
      <c r="Y71" s="173"/>
      <c r="Z71" s="173"/>
      <c r="AA71" s="173"/>
    </row>
    <row r="72" spans="1:27" ht="18.75" customHeight="1">
      <c r="A72" s="825"/>
      <c r="B72" s="1170"/>
      <c r="C72" s="1170"/>
      <c r="D72" s="1017"/>
      <c r="E72" s="1034"/>
      <c r="F72" s="1034"/>
      <c r="G72" s="1034"/>
      <c r="H72" s="1034"/>
      <c r="I72" s="1034"/>
      <c r="J72" s="1034"/>
      <c r="K72" s="1034"/>
      <c r="L72" s="1018"/>
      <c r="M72" s="173"/>
      <c r="N72" s="173"/>
      <c r="O72" s="173"/>
      <c r="P72" s="173"/>
      <c r="Q72" s="173"/>
      <c r="R72" s="173"/>
      <c r="S72" s="173"/>
      <c r="T72" s="173"/>
      <c r="U72" s="173"/>
      <c r="V72" s="173"/>
      <c r="W72" s="173"/>
      <c r="X72" s="173"/>
      <c r="Y72" s="173"/>
      <c r="Z72" s="173"/>
      <c r="AA72" s="173"/>
    </row>
    <row r="73" spans="1:27" ht="18.75" customHeight="1">
      <c r="A73" s="825"/>
      <c r="B73" s="1186">
        <v>5.2</v>
      </c>
      <c r="C73" s="1187">
        <v>42235</v>
      </c>
      <c r="D73" s="1190" t="s">
        <v>2014</v>
      </c>
      <c r="E73" s="1014"/>
      <c r="F73" s="1014"/>
      <c r="G73" s="1014"/>
      <c r="H73" s="1014"/>
      <c r="I73" s="1014"/>
      <c r="J73" s="1014"/>
      <c r="K73" s="1014"/>
      <c r="L73" s="1016"/>
      <c r="M73" s="173"/>
      <c r="N73" s="173"/>
      <c r="O73" s="173"/>
      <c r="P73" s="173"/>
      <c r="Q73" s="173"/>
      <c r="R73" s="173"/>
      <c r="S73" s="173"/>
      <c r="T73" s="173"/>
      <c r="U73" s="173"/>
      <c r="V73" s="173"/>
      <c r="W73" s="173"/>
      <c r="X73" s="173"/>
      <c r="Y73" s="173"/>
      <c r="Z73" s="173"/>
      <c r="AA73" s="173"/>
    </row>
    <row r="74" spans="1:27" ht="18.75" customHeight="1">
      <c r="A74" s="825"/>
      <c r="B74" s="1170"/>
      <c r="C74" s="1170"/>
      <c r="D74" s="1017"/>
      <c r="E74" s="1034"/>
      <c r="F74" s="1034"/>
      <c r="G74" s="1034"/>
      <c r="H74" s="1034"/>
      <c r="I74" s="1034"/>
      <c r="J74" s="1034"/>
      <c r="K74" s="1034"/>
      <c r="L74" s="1018"/>
      <c r="M74" s="173"/>
      <c r="N74" s="173"/>
      <c r="O74" s="173"/>
      <c r="P74" s="173"/>
      <c r="Q74" s="173"/>
      <c r="R74" s="173"/>
      <c r="S74" s="173"/>
      <c r="T74" s="173"/>
      <c r="U74" s="173"/>
      <c r="V74" s="173"/>
      <c r="W74" s="173"/>
      <c r="X74" s="173"/>
      <c r="Y74" s="173"/>
      <c r="Z74" s="173"/>
      <c r="AA74" s="173"/>
    </row>
    <row r="75" spans="1:27" ht="18.75" customHeight="1">
      <c r="A75" s="825"/>
      <c r="B75" s="1186">
        <v>5.0999999999999996</v>
      </c>
      <c r="C75" s="1187">
        <v>42231</v>
      </c>
      <c r="D75" s="1190" t="s">
        <v>2015</v>
      </c>
      <c r="E75" s="1014"/>
      <c r="F75" s="1014"/>
      <c r="G75" s="1014"/>
      <c r="H75" s="1014"/>
      <c r="I75" s="1014"/>
      <c r="J75" s="1014"/>
      <c r="K75" s="1014"/>
      <c r="L75" s="1016"/>
      <c r="M75" s="173"/>
      <c r="N75" s="173"/>
      <c r="O75" s="173"/>
      <c r="P75" s="173"/>
      <c r="Q75" s="173"/>
      <c r="R75" s="173"/>
      <c r="S75" s="173"/>
      <c r="T75" s="173"/>
      <c r="U75" s="173"/>
      <c r="V75" s="173"/>
      <c r="W75" s="173"/>
      <c r="X75" s="173"/>
      <c r="Y75" s="173"/>
      <c r="Z75" s="173"/>
      <c r="AA75" s="173"/>
    </row>
    <row r="76" spans="1:27" ht="18.75" customHeight="1">
      <c r="A76" s="825"/>
      <c r="B76" s="1170"/>
      <c r="C76" s="1170"/>
      <c r="D76" s="1017"/>
      <c r="E76" s="1034"/>
      <c r="F76" s="1034"/>
      <c r="G76" s="1034"/>
      <c r="H76" s="1034"/>
      <c r="I76" s="1034"/>
      <c r="J76" s="1034"/>
      <c r="K76" s="1034"/>
      <c r="L76" s="1018"/>
      <c r="M76" s="173"/>
      <c r="N76" s="173"/>
      <c r="O76" s="173"/>
      <c r="P76" s="173"/>
      <c r="Q76" s="173"/>
      <c r="R76" s="173"/>
      <c r="S76" s="173"/>
      <c r="T76" s="173"/>
      <c r="U76" s="173"/>
      <c r="V76" s="173"/>
      <c r="W76" s="173"/>
      <c r="X76" s="173"/>
      <c r="Y76" s="173"/>
      <c r="Z76" s="173"/>
      <c r="AA76" s="173"/>
    </row>
    <row r="77" spans="1:27" ht="18.75" customHeight="1">
      <c r="A77" s="825"/>
      <c r="B77" s="1186">
        <v>5</v>
      </c>
      <c r="C77" s="1187">
        <v>42231</v>
      </c>
      <c r="D77" s="1190" t="s">
        <v>2016</v>
      </c>
      <c r="E77" s="1014"/>
      <c r="F77" s="1014"/>
      <c r="G77" s="1014"/>
      <c r="H77" s="1014"/>
      <c r="I77" s="1014"/>
      <c r="J77" s="1014"/>
      <c r="K77" s="1014"/>
      <c r="L77" s="1016"/>
      <c r="M77" s="173"/>
      <c r="N77" s="173"/>
      <c r="O77" s="173"/>
      <c r="P77" s="173"/>
      <c r="Q77" s="173"/>
      <c r="R77" s="173"/>
      <c r="S77" s="173"/>
      <c r="T77" s="173"/>
      <c r="U77" s="173"/>
      <c r="V77" s="173"/>
      <c r="W77" s="173"/>
      <c r="X77" s="173"/>
      <c r="Y77" s="173"/>
      <c r="Z77" s="173"/>
      <c r="AA77" s="173"/>
    </row>
    <row r="78" spans="1:27" ht="18.75" customHeight="1">
      <c r="A78" s="825"/>
      <c r="B78" s="1170"/>
      <c r="C78" s="1170"/>
      <c r="D78" s="1017"/>
      <c r="E78" s="1034"/>
      <c r="F78" s="1034"/>
      <c r="G78" s="1034"/>
      <c r="H78" s="1034"/>
      <c r="I78" s="1034"/>
      <c r="J78" s="1034"/>
      <c r="K78" s="1034"/>
      <c r="L78" s="1018"/>
      <c r="M78" s="173"/>
      <c r="N78" s="173"/>
      <c r="O78" s="173"/>
      <c r="P78" s="173"/>
      <c r="Q78" s="173"/>
      <c r="R78" s="173"/>
      <c r="S78" s="173"/>
      <c r="T78" s="173"/>
      <c r="U78" s="173"/>
      <c r="V78" s="173"/>
      <c r="W78" s="173"/>
      <c r="X78" s="173"/>
      <c r="Y78" s="173"/>
      <c r="Z78" s="173"/>
      <c r="AA78" s="173"/>
    </row>
    <row r="79" spans="1:27" ht="18.75" customHeight="1">
      <c r="A79" s="825"/>
      <c r="B79" s="1186">
        <v>4.3</v>
      </c>
      <c r="C79" s="1187">
        <v>42127</v>
      </c>
      <c r="D79" s="1188" t="s">
        <v>2017</v>
      </c>
      <c r="E79" s="1014"/>
      <c r="F79" s="1014"/>
      <c r="G79" s="1014"/>
      <c r="H79" s="1014"/>
      <c r="I79" s="1014"/>
      <c r="J79" s="1014"/>
      <c r="K79" s="1014"/>
      <c r="L79" s="1016"/>
      <c r="M79" s="173"/>
      <c r="N79" s="173"/>
      <c r="O79" s="173"/>
      <c r="P79" s="173"/>
      <c r="Q79" s="173"/>
      <c r="R79" s="173"/>
      <c r="S79" s="173"/>
      <c r="T79" s="173"/>
      <c r="U79" s="173"/>
      <c r="V79" s="173"/>
      <c r="W79" s="173"/>
      <c r="X79" s="173"/>
      <c r="Y79" s="173"/>
      <c r="Z79" s="173"/>
      <c r="AA79" s="173"/>
    </row>
    <row r="80" spans="1:27" ht="35.25" customHeight="1">
      <c r="A80" s="825"/>
      <c r="B80" s="1170"/>
      <c r="C80" s="1170"/>
      <c r="D80" s="1017"/>
      <c r="E80" s="1034"/>
      <c r="F80" s="1034"/>
      <c r="G80" s="1034"/>
      <c r="H80" s="1034"/>
      <c r="I80" s="1034"/>
      <c r="J80" s="1034"/>
      <c r="K80" s="1034"/>
      <c r="L80" s="1018"/>
      <c r="M80" s="173"/>
      <c r="N80" s="173"/>
      <c r="O80" s="173"/>
      <c r="P80" s="173"/>
      <c r="Q80" s="173"/>
      <c r="R80" s="173"/>
      <c r="S80" s="173"/>
      <c r="T80" s="173"/>
      <c r="U80" s="173"/>
      <c r="V80" s="173"/>
      <c r="W80" s="173"/>
      <c r="X80" s="173"/>
      <c r="Y80" s="173"/>
      <c r="Z80" s="173"/>
      <c r="AA80" s="173"/>
    </row>
    <row r="81" spans="1:27" ht="18.75" customHeight="1">
      <c r="A81" s="825"/>
      <c r="B81" s="1186">
        <v>4.2</v>
      </c>
      <c r="C81" s="1187">
        <v>42113</v>
      </c>
      <c r="D81" s="1188" t="s">
        <v>2018</v>
      </c>
      <c r="E81" s="1014"/>
      <c r="F81" s="1014"/>
      <c r="G81" s="1014"/>
      <c r="H81" s="1014"/>
      <c r="I81" s="1014"/>
      <c r="J81" s="1014"/>
      <c r="K81" s="1014"/>
      <c r="L81" s="1016"/>
      <c r="M81" s="173"/>
      <c r="N81" s="173"/>
      <c r="O81" s="173"/>
      <c r="P81" s="173"/>
      <c r="Q81" s="173"/>
      <c r="R81" s="173"/>
      <c r="S81" s="173"/>
      <c r="T81" s="173"/>
      <c r="U81" s="173"/>
      <c r="V81" s="173"/>
      <c r="W81" s="173"/>
      <c r="X81" s="173"/>
      <c r="Y81" s="173"/>
      <c r="Z81" s="173"/>
      <c r="AA81" s="173"/>
    </row>
    <row r="82" spans="1:27" ht="18.75" customHeight="1">
      <c r="A82" s="825"/>
      <c r="B82" s="1170"/>
      <c r="C82" s="1170"/>
      <c r="D82" s="1017"/>
      <c r="E82" s="1034"/>
      <c r="F82" s="1034"/>
      <c r="G82" s="1034"/>
      <c r="H82" s="1034"/>
      <c r="I82" s="1034"/>
      <c r="J82" s="1034"/>
      <c r="K82" s="1034"/>
      <c r="L82" s="1018"/>
      <c r="M82" s="173"/>
      <c r="N82" s="173"/>
      <c r="O82" s="173"/>
      <c r="P82" s="173"/>
      <c r="Q82" s="173"/>
      <c r="R82" s="173"/>
      <c r="S82" s="173"/>
      <c r="T82" s="173"/>
      <c r="U82" s="173"/>
      <c r="V82" s="173"/>
      <c r="W82" s="173"/>
      <c r="X82" s="173"/>
      <c r="Y82" s="173"/>
      <c r="Z82" s="173"/>
      <c r="AA82" s="173"/>
    </row>
    <row r="83" spans="1:27" ht="18.75" customHeight="1">
      <c r="A83" s="825"/>
      <c r="B83" s="1186">
        <v>4.0999999999999996</v>
      </c>
      <c r="C83" s="1187">
        <v>42107</v>
      </c>
      <c r="D83" s="1188" t="s">
        <v>2019</v>
      </c>
      <c r="E83" s="1014"/>
      <c r="F83" s="1014"/>
      <c r="G83" s="1014"/>
      <c r="H83" s="1014"/>
      <c r="I83" s="1014"/>
      <c r="J83" s="1014"/>
      <c r="K83" s="1014"/>
      <c r="L83" s="1016"/>
      <c r="M83" s="173"/>
      <c r="N83" s="173"/>
      <c r="O83" s="173"/>
      <c r="P83" s="173"/>
      <c r="Q83" s="173"/>
      <c r="R83" s="173"/>
      <c r="S83" s="173"/>
      <c r="T83" s="173"/>
      <c r="U83" s="173"/>
      <c r="V83" s="173"/>
      <c r="W83" s="173"/>
      <c r="X83" s="173"/>
      <c r="Y83" s="173"/>
      <c r="Z83" s="173"/>
      <c r="AA83" s="173"/>
    </row>
    <row r="84" spans="1:27" ht="30.75" customHeight="1">
      <c r="A84" s="825"/>
      <c r="B84" s="1170"/>
      <c r="C84" s="1170"/>
      <c r="D84" s="1017"/>
      <c r="E84" s="1034"/>
      <c r="F84" s="1034"/>
      <c r="G84" s="1034"/>
      <c r="H84" s="1034"/>
      <c r="I84" s="1034"/>
      <c r="J84" s="1034"/>
      <c r="K84" s="1034"/>
      <c r="L84" s="1018"/>
      <c r="M84" s="173"/>
      <c r="N84" s="173"/>
      <c r="O84" s="173"/>
      <c r="P84" s="173"/>
      <c r="Q84" s="173"/>
      <c r="R84" s="173"/>
      <c r="S84" s="173"/>
      <c r="T84" s="173"/>
      <c r="U84" s="173"/>
      <c r="V84" s="173"/>
      <c r="W84" s="173"/>
      <c r="X84" s="173"/>
      <c r="Y84" s="173"/>
      <c r="Z84" s="173"/>
      <c r="AA84" s="173"/>
    </row>
    <row r="85" spans="1:27" ht="18.75" customHeight="1">
      <c r="A85" s="825"/>
      <c r="B85" s="1186">
        <v>4.05</v>
      </c>
      <c r="C85" s="1187">
        <v>3694519</v>
      </c>
      <c r="D85" s="1188" t="s">
        <v>2020</v>
      </c>
      <c r="E85" s="1014"/>
      <c r="F85" s="1014"/>
      <c r="G85" s="1014"/>
      <c r="H85" s="1014"/>
      <c r="I85" s="1014"/>
      <c r="J85" s="1014"/>
      <c r="K85" s="1014"/>
      <c r="L85" s="1016"/>
      <c r="M85" s="173"/>
      <c r="N85" s="173"/>
      <c r="O85" s="173"/>
      <c r="P85" s="173"/>
      <c r="Q85" s="173"/>
      <c r="R85" s="173"/>
      <c r="S85" s="173"/>
      <c r="T85" s="173"/>
      <c r="U85" s="173"/>
      <c r="V85" s="173"/>
      <c r="W85" s="173"/>
      <c r="X85" s="173"/>
      <c r="Y85" s="173"/>
      <c r="Z85" s="173"/>
      <c r="AA85" s="173"/>
    </row>
    <row r="86" spans="1:27" ht="18.75" customHeight="1">
      <c r="A86" s="825"/>
      <c r="B86" s="1170"/>
      <c r="C86" s="1170"/>
      <c r="D86" s="1017"/>
      <c r="E86" s="1034"/>
      <c r="F86" s="1034"/>
      <c r="G86" s="1034"/>
      <c r="H86" s="1034"/>
      <c r="I86" s="1034"/>
      <c r="J86" s="1034"/>
      <c r="K86" s="1034"/>
      <c r="L86" s="1018"/>
      <c r="M86" s="173"/>
      <c r="N86" s="173"/>
      <c r="O86" s="173"/>
      <c r="P86" s="173"/>
      <c r="Q86" s="173"/>
      <c r="R86" s="173"/>
      <c r="S86" s="173"/>
      <c r="T86" s="173"/>
      <c r="U86" s="173"/>
      <c r="V86" s="173"/>
      <c r="W86" s="173"/>
      <c r="X86" s="173"/>
      <c r="Y86" s="173"/>
      <c r="Z86" s="173"/>
      <c r="AA86" s="173"/>
    </row>
    <row r="87" spans="1:27" ht="18.75" customHeight="1">
      <c r="A87" s="825"/>
      <c r="B87" s="1186">
        <v>4</v>
      </c>
      <c r="C87" s="1187">
        <v>42093</v>
      </c>
      <c r="D87" s="1188" t="s">
        <v>2021</v>
      </c>
      <c r="E87" s="1014"/>
      <c r="F87" s="1014"/>
      <c r="G87" s="1014"/>
      <c r="H87" s="1014"/>
      <c r="I87" s="1014"/>
      <c r="J87" s="1014"/>
      <c r="K87" s="1014"/>
      <c r="L87" s="1016"/>
      <c r="M87" s="173"/>
      <c r="N87" s="173"/>
      <c r="O87" s="173"/>
      <c r="P87" s="173"/>
      <c r="Q87" s="173"/>
      <c r="R87" s="173"/>
      <c r="S87" s="173"/>
      <c r="T87" s="173"/>
      <c r="U87" s="173"/>
      <c r="V87" s="173"/>
      <c r="W87" s="173"/>
      <c r="X87" s="173"/>
      <c r="Y87" s="173"/>
      <c r="Z87" s="173"/>
      <c r="AA87" s="173"/>
    </row>
    <row r="88" spans="1:27" ht="29.25" customHeight="1">
      <c r="A88" s="825"/>
      <c r="B88" s="1170"/>
      <c r="C88" s="1170"/>
      <c r="D88" s="1017"/>
      <c r="E88" s="1034"/>
      <c r="F88" s="1034"/>
      <c r="G88" s="1034"/>
      <c r="H88" s="1034"/>
      <c r="I88" s="1034"/>
      <c r="J88" s="1034"/>
      <c r="K88" s="1034"/>
      <c r="L88" s="1018"/>
      <c r="M88" s="173"/>
      <c r="N88" s="173"/>
      <c r="O88" s="173"/>
      <c r="P88" s="173"/>
      <c r="Q88" s="173"/>
      <c r="R88" s="173"/>
      <c r="S88" s="173"/>
      <c r="T88" s="173"/>
      <c r="U88" s="173"/>
      <c r="V88" s="173"/>
      <c r="W88" s="173"/>
      <c r="X88" s="173"/>
      <c r="Y88" s="173"/>
      <c r="Z88" s="173"/>
      <c r="AA88" s="173"/>
    </row>
    <row r="89" spans="1:27" ht="18.75" customHeight="1">
      <c r="A89" s="825"/>
      <c r="B89" s="1186">
        <v>3.95</v>
      </c>
      <c r="C89" s="1187">
        <v>42088</v>
      </c>
      <c r="D89" s="1188" t="s">
        <v>2022</v>
      </c>
      <c r="E89" s="1014"/>
      <c r="F89" s="1014"/>
      <c r="G89" s="1014"/>
      <c r="H89" s="1014"/>
      <c r="I89" s="1014"/>
      <c r="J89" s="1014"/>
      <c r="K89" s="1014"/>
      <c r="L89" s="1016"/>
      <c r="M89" s="173"/>
      <c r="N89" s="173"/>
      <c r="O89" s="173"/>
      <c r="P89" s="173"/>
      <c r="Q89" s="173"/>
      <c r="R89" s="173"/>
      <c r="S89" s="173"/>
      <c r="T89" s="173"/>
      <c r="U89" s="173"/>
      <c r="V89" s="173"/>
      <c r="W89" s="173"/>
      <c r="X89" s="173"/>
      <c r="Y89" s="173"/>
      <c r="Z89" s="173"/>
      <c r="AA89" s="173"/>
    </row>
    <row r="90" spans="1:27" ht="24.75" customHeight="1">
      <c r="A90" s="825"/>
      <c r="B90" s="1170"/>
      <c r="C90" s="1170"/>
      <c r="D90" s="1017"/>
      <c r="E90" s="1034"/>
      <c r="F90" s="1034"/>
      <c r="G90" s="1034"/>
      <c r="H90" s="1034"/>
      <c r="I90" s="1034"/>
      <c r="J90" s="1034"/>
      <c r="K90" s="1034"/>
      <c r="L90" s="1018"/>
      <c r="M90" s="173"/>
      <c r="N90" s="173"/>
      <c r="O90" s="173"/>
      <c r="P90" s="173"/>
      <c r="Q90" s="173"/>
      <c r="R90" s="173"/>
      <c r="S90" s="173"/>
      <c r="T90" s="173"/>
      <c r="U90" s="173"/>
      <c r="V90" s="173"/>
      <c r="W90" s="173"/>
      <c r="X90" s="173"/>
      <c r="Y90" s="173"/>
      <c r="Z90" s="173"/>
      <c r="AA90" s="173"/>
    </row>
    <row r="91" spans="1:27" ht="27.75" customHeight="1">
      <c r="A91" s="825"/>
      <c r="B91" s="1185">
        <v>3.9</v>
      </c>
      <c r="C91" s="1187">
        <v>42081</v>
      </c>
      <c r="D91" s="1188" t="s">
        <v>2023</v>
      </c>
      <c r="E91" s="1014"/>
      <c r="F91" s="1014"/>
      <c r="G91" s="1014"/>
      <c r="H91" s="1014"/>
      <c r="I91" s="1014"/>
      <c r="J91" s="1014"/>
      <c r="K91" s="1014"/>
      <c r="L91" s="1016"/>
      <c r="M91" s="173"/>
      <c r="N91" s="173"/>
      <c r="O91" s="173"/>
      <c r="P91" s="173"/>
      <c r="Q91" s="173"/>
      <c r="R91" s="173"/>
      <c r="S91" s="173"/>
      <c r="T91" s="173"/>
      <c r="U91" s="173"/>
      <c r="V91" s="173"/>
      <c r="W91" s="173"/>
      <c r="X91" s="173"/>
      <c r="Y91" s="173"/>
      <c r="Z91" s="173"/>
      <c r="AA91" s="173"/>
    </row>
    <row r="92" spans="1:27" ht="27.75" customHeight="1">
      <c r="A92" s="825"/>
      <c r="B92" s="1170"/>
      <c r="C92" s="1170"/>
      <c r="D92" s="1017"/>
      <c r="E92" s="1034"/>
      <c r="F92" s="1034"/>
      <c r="G92" s="1034"/>
      <c r="H92" s="1034"/>
      <c r="I92" s="1034"/>
      <c r="J92" s="1034"/>
      <c r="K92" s="1034"/>
      <c r="L92" s="1018"/>
      <c r="M92" s="173"/>
      <c r="N92" s="173"/>
      <c r="O92" s="173"/>
      <c r="P92" s="173"/>
      <c r="Q92" s="173"/>
      <c r="R92" s="173"/>
      <c r="S92" s="173"/>
      <c r="T92" s="173"/>
      <c r="U92" s="173"/>
      <c r="V92" s="173"/>
      <c r="W92" s="173"/>
      <c r="X92" s="173"/>
      <c r="Y92" s="173"/>
      <c r="Z92" s="173"/>
      <c r="AA92" s="173"/>
    </row>
    <row r="93" spans="1:27" ht="18.75" customHeight="1">
      <c r="A93" s="825"/>
      <c r="B93" s="1185">
        <v>3.8</v>
      </c>
      <c r="C93" s="1187">
        <v>42079</v>
      </c>
      <c r="D93" s="1188" t="s">
        <v>2024</v>
      </c>
      <c r="E93" s="1014"/>
      <c r="F93" s="1014"/>
      <c r="G93" s="1014"/>
      <c r="H93" s="1014"/>
      <c r="I93" s="1014"/>
      <c r="J93" s="1014"/>
      <c r="K93" s="1014"/>
      <c r="L93" s="1016"/>
      <c r="M93" s="173"/>
      <c r="N93" s="173"/>
      <c r="O93" s="173"/>
      <c r="P93" s="173"/>
      <c r="Q93" s="173"/>
      <c r="R93" s="173"/>
      <c r="S93" s="173"/>
      <c r="T93" s="173"/>
      <c r="U93" s="173"/>
      <c r="V93" s="173"/>
      <c r="W93" s="173"/>
      <c r="X93" s="173"/>
      <c r="Y93" s="173"/>
      <c r="Z93" s="173"/>
      <c r="AA93" s="173"/>
    </row>
    <row r="94" spans="1:27" ht="18.75" customHeight="1">
      <c r="A94" s="825"/>
      <c r="B94" s="1170"/>
      <c r="C94" s="1170"/>
      <c r="D94" s="1017"/>
      <c r="E94" s="1034"/>
      <c r="F94" s="1034"/>
      <c r="G94" s="1034"/>
      <c r="H94" s="1034"/>
      <c r="I94" s="1034"/>
      <c r="J94" s="1034"/>
      <c r="K94" s="1034"/>
      <c r="L94" s="1018"/>
      <c r="M94" s="173"/>
      <c r="N94" s="173"/>
      <c r="O94" s="173"/>
      <c r="P94" s="173"/>
      <c r="Q94" s="173"/>
      <c r="R94" s="173"/>
      <c r="S94" s="173"/>
      <c r="T94" s="173"/>
      <c r="U94" s="173"/>
      <c r="V94" s="173"/>
      <c r="W94" s="173"/>
      <c r="X94" s="173"/>
      <c r="Y94" s="173"/>
      <c r="Z94" s="173"/>
      <c r="AA94" s="173"/>
    </row>
    <row r="95" spans="1:27" ht="18.75" customHeight="1">
      <c r="A95" s="825"/>
      <c r="B95" s="1185">
        <v>3.7</v>
      </c>
      <c r="C95" s="1187">
        <v>42064</v>
      </c>
      <c r="D95" s="1188" t="s">
        <v>2025</v>
      </c>
      <c r="E95" s="1014"/>
      <c r="F95" s="1014"/>
      <c r="G95" s="1014"/>
      <c r="H95" s="1014"/>
      <c r="I95" s="1014"/>
      <c r="J95" s="1014"/>
      <c r="K95" s="1014"/>
      <c r="L95" s="1016"/>
      <c r="M95" s="173"/>
      <c r="N95" s="173"/>
      <c r="O95" s="173"/>
      <c r="P95" s="173"/>
      <c r="Q95" s="173"/>
      <c r="R95" s="173"/>
      <c r="S95" s="173"/>
      <c r="T95" s="173"/>
      <c r="U95" s="173"/>
      <c r="V95" s="173"/>
      <c r="W95" s="173"/>
      <c r="X95" s="173"/>
      <c r="Y95" s="173"/>
      <c r="Z95" s="173"/>
      <c r="AA95" s="173"/>
    </row>
    <row r="96" spans="1:27" ht="18.75" customHeight="1">
      <c r="A96" s="825"/>
      <c r="B96" s="1170"/>
      <c r="C96" s="1170"/>
      <c r="D96" s="1017"/>
      <c r="E96" s="1034"/>
      <c r="F96" s="1034"/>
      <c r="G96" s="1034"/>
      <c r="H96" s="1034"/>
      <c r="I96" s="1034"/>
      <c r="J96" s="1034"/>
      <c r="K96" s="1034"/>
      <c r="L96" s="1018"/>
      <c r="M96" s="173"/>
      <c r="N96" s="173"/>
      <c r="O96" s="173"/>
      <c r="P96" s="173"/>
      <c r="Q96" s="173"/>
      <c r="R96" s="173"/>
      <c r="S96" s="173"/>
      <c r="T96" s="173"/>
      <c r="U96" s="173"/>
      <c r="V96" s="173"/>
      <c r="W96" s="173"/>
      <c r="X96" s="173"/>
      <c r="Y96" s="173"/>
      <c r="Z96" s="173"/>
      <c r="AA96" s="173"/>
    </row>
    <row r="97" spans="1:27" ht="18.75" customHeight="1">
      <c r="A97" s="825"/>
      <c r="B97" s="1185">
        <v>3.6</v>
      </c>
      <c r="C97" s="1187">
        <v>42054</v>
      </c>
      <c r="D97" s="1188" t="s">
        <v>2026</v>
      </c>
      <c r="E97" s="1014"/>
      <c r="F97" s="1014"/>
      <c r="G97" s="1014"/>
      <c r="H97" s="1014"/>
      <c r="I97" s="1014"/>
      <c r="J97" s="1014"/>
      <c r="K97" s="1014"/>
      <c r="L97" s="1016"/>
      <c r="M97" s="173"/>
      <c r="N97" s="173"/>
      <c r="O97" s="173"/>
      <c r="P97" s="173"/>
      <c r="Q97" s="173"/>
      <c r="R97" s="173"/>
      <c r="S97" s="173"/>
      <c r="T97" s="173"/>
      <c r="U97" s="173"/>
      <c r="V97" s="173"/>
      <c r="W97" s="173"/>
      <c r="X97" s="173"/>
      <c r="Y97" s="173"/>
      <c r="Z97" s="173"/>
      <c r="AA97" s="173"/>
    </row>
    <row r="98" spans="1:27" ht="18.75" customHeight="1">
      <c r="A98" s="825"/>
      <c r="B98" s="1170"/>
      <c r="C98" s="1170"/>
      <c r="D98" s="1017"/>
      <c r="E98" s="1034"/>
      <c r="F98" s="1034"/>
      <c r="G98" s="1034"/>
      <c r="H98" s="1034"/>
      <c r="I98" s="1034"/>
      <c r="J98" s="1034"/>
      <c r="K98" s="1034"/>
      <c r="L98" s="1018"/>
      <c r="M98" s="173"/>
      <c r="N98" s="173"/>
      <c r="O98" s="173"/>
      <c r="P98" s="173"/>
      <c r="Q98" s="173"/>
      <c r="R98" s="173"/>
      <c r="S98" s="173"/>
      <c r="T98" s="173"/>
      <c r="U98" s="173"/>
      <c r="V98" s="173"/>
      <c r="W98" s="173"/>
      <c r="X98" s="173"/>
      <c r="Y98" s="173"/>
      <c r="Z98" s="173"/>
      <c r="AA98" s="173"/>
    </row>
    <row r="99" spans="1:27" ht="18.75" customHeight="1">
      <c r="A99" s="825"/>
      <c r="B99" s="1185">
        <v>3.5</v>
      </c>
      <c r="C99" s="1187">
        <v>42050</v>
      </c>
      <c r="D99" s="1188" t="s">
        <v>2027</v>
      </c>
      <c r="E99" s="1014"/>
      <c r="F99" s="1014"/>
      <c r="G99" s="1014"/>
      <c r="H99" s="1014"/>
      <c r="I99" s="1014"/>
      <c r="J99" s="1014"/>
      <c r="K99" s="1014"/>
      <c r="L99" s="1016"/>
      <c r="M99" s="173"/>
      <c r="N99" s="173"/>
      <c r="O99" s="173"/>
      <c r="P99" s="173"/>
      <c r="Q99" s="173"/>
      <c r="R99" s="173"/>
      <c r="S99" s="173"/>
      <c r="T99" s="173"/>
      <c r="U99" s="173"/>
      <c r="V99" s="173"/>
      <c r="W99" s="173"/>
      <c r="X99" s="173"/>
      <c r="Y99" s="173"/>
      <c r="Z99" s="173"/>
      <c r="AA99" s="173"/>
    </row>
    <row r="100" spans="1:27" ht="18.75" customHeight="1">
      <c r="A100" s="825"/>
      <c r="B100" s="1170"/>
      <c r="C100" s="1170"/>
      <c r="D100" s="1017"/>
      <c r="E100" s="1034"/>
      <c r="F100" s="1034"/>
      <c r="G100" s="1034"/>
      <c r="H100" s="1034"/>
      <c r="I100" s="1034"/>
      <c r="J100" s="1034"/>
      <c r="K100" s="1034"/>
      <c r="L100" s="1018"/>
      <c r="M100" s="173"/>
      <c r="N100" s="173"/>
      <c r="O100" s="173"/>
      <c r="P100" s="173"/>
      <c r="Q100" s="173"/>
      <c r="R100" s="173"/>
      <c r="S100" s="173"/>
      <c r="T100" s="173"/>
      <c r="U100" s="173"/>
      <c r="V100" s="173"/>
      <c r="W100" s="173"/>
      <c r="X100" s="173"/>
      <c r="Y100" s="173"/>
      <c r="Z100" s="173"/>
      <c r="AA100" s="173"/>
    </row>
    <row r="101" spans="1:27" ht="18.75" customHeight="1">
      <c r="A101" s="825"/>
      <c r="B101" s="1185">
        <v>3.4</v>
      </c>
      <c r="C101" s="1187">
        <v>42040</v>
      </c>
      <c r="D101" s="1189" t="s">
        <v>2028</v>
      </c>
      <c r="E101" s="1014"/>
      <c r="F101" s="1014"/>
      <c r="G101" s="1014"/>
      <c r="H101" s="1014"/>
      <c r="I101" s="1014"/>
      <c r="J101" s="1014"/>
      <c r="K101" s="1014"/>
      <c r="L101" s="1016"/>
      <c r="M101" s="173"/>
      <c r="N101" s="173"/>
      <c r="O101" s="173"/>
      <c r="P101" s="173"/>
      <c r="Q101" s="173"/>
      <c r="R101" s="173"/>
      <c r="S101" s="173"/>
      <c r="T101" s="173"/>
      <c r="U101" s="173"/>
      <c r="V101" s="173"/>
      <c r="W101" s="173"/>
      <c r="X101" s="173"/>
      <c r="Y101" s="173"/>
      <c r="Z101" s="173"/>
      <c r="AA101" s="173"/>
    </row>
    <row r="102" spans="1:27" ht="18.75" customHeight="1">
      <c r="A102" s="825"/>
      <c r="B102" s="1175"/>
      <c r="C102" s="1175"/>
      <c r="D102" s="1017"/>
      <c r="E102" s="1034"/>
      <c r="F102" s="1034"/>
      <c r="G102" s="1034"/>
      <c r="H102" s="1034"/>
      <c r="I102" s="1034"/>
      <c r="J102" s="1034"/>
      <c r="K102" s="1034"/>
      <c r="L102" s="1018"/>
      <c r="M102" s="173"/>
      <c r="N102" s="173"/>
      <c r="O102" s="173"/>
      <c r="P102" s="173"/>
      <c r="Q102" s="173"/>
      <c r="R102" s="173"/>
      <c r="S102" s="173"/>
      <c r="T102" s="173"/>
      <c r="U102" s="173"/>
      <c r="V102" s="173"/>
      <c r="W102" s="173"/>
      <c r="X102" s="173"/>
      <c r="Y102" s="173"/>
      <c r="Z102" s="173"/>
      <c r="AA102" s="173"/>
    </row>
    <row r="103" spans="1:27" ht="18.75" customHeight="1">
      <c r="A103" s="825"/>
      <c r="B103" s="1170"/>
      <c r="C103" s="1170"/>
      <c r="D103" s="1195" t="s">
        <v>2029</v>
      </c>
      <c r="E103" s="1102"/>
      <c r="F103" s="1102"/>
      <c r="G103" s="1102"/>
      <c r="H103" s="1102"/>
      <c r="I103" s="1102"/>
      <c r="J103" s="1102"/>
      <c r="K103" s="1102"/>
      <c r="L103" s="1030"/>
      <c r="M103" s="173"/>
      <c r="N103" s="173"/>
      <c r="O103" s="173"/>
      <c r="P103" s="173"/>
      <c r="Q103" s="173"/>
      <c r="R103" s="173"/>
      <c r="S103" s="173"/>
      <c r="T103" s="173"/>
      <c r="U103" s="173"/>
      <c r="V103" s="173"/>
      <c r="W103" s="173"/>
      <c r="X103" s="173"/>
      <c r="Y103" s="173"/>
      <c r="Z103" s="173"/>
      <c r="AA103" s="173"/>
    </row>
    <row r="104" spans="1:27" ht="12" customHeight="1">
      <c r="A104" s="825"/>
      <c r="B104" s="1185">
        <v>3.3</v>
      </c>
      <c r="C104" s="1187">
        <v>42038</v>
      </c>
      <c r="D104" s="1188" t="s">
        <v>2030</v>
      </c>
      <c r="E104" s="1014"/>
      <c r="F104" s="1014"/>
      <c r="G104" s="1014"/>
      <c r="H104" s="1014"/>
      <c r="I104" s="1014"/>
      <c r="J104" s="1014"/>
      <c r="K104" s="1014"/>
      <c r="L104" s="1016"/>
      <c r="M104" s="173"/>
      <c r="N104" s="173"/>
      <c r="O104" s="173"/>
      <c r="P104" s="173"/>
      <c r="Q104" s="173"/>
      <c r="R104" s="173"/>
      <c r="S104" s="173"/>
      <c r="T104" s="173"/>
      <c r="U104" s="173"/>
      <c r="V104" s="173"/>
      <c r="W104" s="173"/>
      <c r="X104" s="173"/>
      <c r="Y104" s="173"/>
      <c r="Z104" s="173"/>
      <c r="AA104" s="173"/>
    </row>
    <row r="105" spans="1:27" ht="12" customHeight="1">
      <c r="A105" s="825"/>
      <c r="B105" s="1170"/>
      <c r="C105" s="1170"/>
      <c r="D105" s="1017"/>
      <c r="E105" s="1034"/>
      <c r="F105" s="1034"/>
      <c r="G105" s="1034"/>
      <c r="H105" s="1034"/>
      <c r="I105" s="1034"/>
      <c r="J105" s="1034"/>
      <c r="K105" s="1034"/>
      <c r="L105" s="1018"/>
      <c r="M105" s="173"/>
      <c r="N105" s="173"/>
      <c r="O105" s="173"/>
      <c r="P105" s="173"/>
      <c r="Q105" s="173"/>
      <c r="R105" s="173"/>
      <c r="S105" s="173"/>
      <c r="T105" s="173"/>
      <c r="U105" s="173"/>
      <c r="V105" s="173"/>
      <c r="W105" s="173"/>
      <c r="X105" s="173"/>
      <c r="Y105" s="173"/>
      <c r="Z105" s="173"/>
      <c r="AA105" s="173"/>
    </row>
    <row r="106" spans="1:27" ht="11.25" customHeight="1">
      <c r="A106" s="825"/>
      <c r="B106" s="1185">
        <v>3.2</v>
      </c>
      <c r="C106" s="1187">
        <v>42036</v>
      </c>
      <c r="D106" s="1188" t="s">
        <v>2031</v>
      </c>
      <c r="E106" s="1014"/>
      <c r="F106" s="1014"/>
      <c r="G106" s="1014"/>
      <c r="H106" s="1014"/>
      <c r="I106" s="1014"/>
      <c r="J106" s="1014"/>
      <c r="K106" s="1014"/>
      <c r="L106" s="1016"/>
      <c r="M106" s="173"/>
      <c r="N106" s="173"/>
      <c r="O106" s="173"/>
      <c r="P106" s="173"/>
      <c r="Q106" s="173"/>
      <c r="R106" s="173"/>
      <c r="S106" s="173"/>
      <c r="T106" s="173"/>
      <c r="U106" s="173"/>
      <c r="V106" s="173"/>
      <c r="W106" s="173"/>
      <c r="X106" s="173"/>
      <c r="Y106" s="173"/>
      <c r="Z106" s="173"/>
      <c r="AA106" s="173"/>
    </row>
    <row r="107" spans="1:27" ht="11.25" customHeight="1">
      <c r="A107" s="825"/>
      <c r="B107" s="1170"/>
      <c r="C107" s="1170"/>
      <c r="D107" s="1017"/>
      <c r="E107" s="1034"/>
      <c r="F107" s="1034"/>
      <c r="G107" s="1034"/>
      <c r="H107" s="1034"/>
      <c r="I107" s="1034"/>
      <c r="J107" s="1034"/>
      <c r="K107" s="1034"/>
      <c r="L107" s="1018"/>
      <c r="M107" s="173"/>
      <c r="N107" s="173"/>
      <c r="O107" s="173"/>
      <c r="P107" s="173"/>
      <c r="Q107" s="173"/>
      <c r="R107" s="173"/>
      <c r="S107" s="173"/>
      <c r="T107" s="173"/>
      <c r="U107" s="173"/>
      <c r="V107" s="173"/>
      <c r="W107" s="173"/>
      <c r="X107" s="173"/>
      <c r="Y107" s="173"/>
      <c r="Z107" s="173"/>
      <c r="AA107" s="173"/>
    </row>
    <row r="108" spans="1:27" ht="13.5" customHeight="1">
      <c r="A108" s="825"/>
      <c r="B108" s="1185">
        <v>3.1</v>
      </c>
      <c r="C108" s="1187">
        <v>42008</v>
      </c>
      <c r="D108" s="1188" t="s">
        <v>2032</v>
      </c>
      <c r="E108" s="1014"/>
      <c r="F108" s="1014"/>
      <c r="G108" s="1014"/>
      <c r="H108" s="1014"/>
      <c r="I108" s="1014"/>
      <c r="J108" s="1014"/>
      <c r="K108" s="1014"/>
      <c r="L108" s="1016"/>
      <c r="M108" s="173"/>
      <c r="N108" s="173"/>
      <c r="O108" s="173"/>
      <c r="P108" s="173"/>
      <c r="Q108" s="173"/>
      <c r="R108" s="173"/>
      <c r="S108" s="173"/>
      <c r="T108" s="173"/>
      <c r="U108" s="173"/>
      <c r="V108" s="173"/>
      <c r="W108" s="173"/>
      <c r="X108" s="173"/>
      <c r="Y108" s="173"/>
      <c r="Z108" s="173"/>
      <c r="AA108" s="173"/>
    </row>
    <row r="109" spans="1:27" ht="13.5" customHeight="1">
      <c r="A109" s="825"/>
      <c r="B109" s="1170"/>
      <c r="C109" s="1170"/>
      <c r="D109" s="1017"/>
      <c r="E109" s="1034"/>
      <c r="F109" s="1034"/>
      <c r="G109" s="1034"/>
      <c r="H109" s="1034"/>
      <c r="I109" s="1034"/>
      <c r="J109" s="1034"/>
      <c r="K109" s="1034"/>
      <c r="L109" s="1018"/>
      <c r="M109" s="173"/>
      <c r="N109" s="173"/>
      <c r="O109" s="173"/>
      <c r="P109" s="173"/>
      <c r="Q109" s="173"/>
      <c r="R109" s="173"/>
      <c r="S109" s="173"/>
      <c r="T109" s="173"/>
      <c r="U109" s="173"/>
      <c r="V109" s="173"/>
      <c r="W109" s="173"/>
      <c r="X109" s="173"/>
      <c r="Y109" s="173"/>
      <c r="Z109" s="173"/>
      <c r="AA109" s="173"/>
    </row>
    <row r="110" spans="1:27" ht="12" customHeight="1">
      <c r="A110" s="825"/>
      <c r="B110" s="1185">
        <v>3</v>
      </c>
      <c r="C110" s="1187">
        <v>42001</v>
      </c>
      <c r="D110" s="1188" t="s">
        <v>2033</v>
      </c>
      <c r="E110" s="1014"/>
      <c r="F110" s="1014"/>
      <c r="G110" s="1014"/>
      <c r="H110" s="1014"/>
      <c r="I110" s="1014"/>
      <c r="J110" s="1014"/>
      <c r="K110" s="1014"/>
      <c r="L110" s="1016"/>
      <c r="M110" s="173"/>
      <c r="N110" s="173"/>
      <c r="O110" s="173"/>
      <c r="P110" s="173"/>
      <c r="Q110" s="173"/>
      <c r="R110" s="173"/>
      <c r="S110" s="173"/>
      <c r="T110" s="173"/>
      <c r="U110" s="173"/>
      <c r="V110" s="173"/>
      <c r="W110" s="173"/>
      <c r="X110" s="173"/>
      <c r="Y110" s="173"/>
      <c r="Z110" s="173"/>
      <c r="AA110" s="173"/>
    </row>
    <row r="111" spans="1:27" ht="12" customHeight="1">
      <c r="A111" s="825"/>
      <c r="B111" s="1170"/>
      <c r="C111" s="1170"/>
      <c r="D111" s="1017"/>
      <c r="E111" s="1034"/>
      <c r="F111" s="1034"/>
      <c r="G111" s="1034"/>
      <c r="H111" s="1034"/>
      <c r="I111" s="1034"/>
      <c r="J111" s="1034"/>
      <c r="K111" s="1034"/>
      <c r="L111" s="1018"/>
      <c r="M111" s="173"/>
      <c r="N111" s="173"/>
      <c r="O111" s="173"/>
      <c r="P111" s="173"/>
      <c r="Q111" s="173"/>
      <c r="R111" s="173"/>
      <c r="S111" s="173"/>
      <c r="T111" s="173"/>
      <c r="U111" s="173"/>
      <c r="V111" s="173"/>
      <c r="W111" s="173"/>
      <c r="X111" s="173"/>
      <c r="Y111" s="173"/>
      <c r="Z111" s="173"/>
      <c r="AA111" s="173"/>
    </row>
    <row r="112" spans="1:27" ht="12" customHeight="1">
      <c r="A112" s="825"/>
      <c r="B112" s="1185">
        <v>2</v>
      </c>
      <c r="C112" s="1187">
        <v>41977</v>
      </c>
      <c r="D112" s="1188" t="s">
        <v>2034</v>
      </c>
      <c r="E112" s="1014"/>
      <c r="F112" s="1014"/>
      <c r="G112" s="1014"/>
      <c r="H112" s="1014"/>
      <c r="I112" s="1014"/>
      <c r="J112" s="1014"/>
      <c r="K112" s="1014"/>
      <c r="L112" s="1016"/>
      <c r="M112" s="173"/>
      <c r="N112" s="173"/>
      <c r="O112" s="173"/>
      <c r="P112" s="173"/>
      <c r="Q112" s="173"/>
      <c r="R112" s="173"/>
      <c r="S112" s="173"/>
      <c r="T112" s="173"/>
      <c r="U112" s="173"/>
      <c r="V112" s="173"/>
      <c r="W112" s="173"/>
      <c r="X112" s="173"/>
      <c r="Y112" s="173"/>
      <c r="Z112" s="173"/>
      <c r="AA112" s="173"/>
    </row>
    <row r="113" spans="1:27" ht="12" customHeight="1">
      <c r="A113" s="825"/>
      <c r="B113" s="1170"/>
      <c r="C113" s="1170"/>
      <c r="D113" s="1017"/>
      <c r="E113" s="1034"/>
      <c r="F113" s="1034"/>
      <c r="G113" s="1034"/>
      <c r="H113" s="1034"/>
      <c r="I113" s="1034"/>
      <c r="J113" s="1034"/>
      <c r="K113" s="1034"/>
      <c r="L113" s="1018"/>
      <c r="M113" s="173"/>
      <c r="N113" s="173"/>
      <c r="O113" s="173"/>
      <c r="P113" s="173"/>
      <c r="Q113" s="173"/>
      <c r="R113" s="173"/>
      <c r="S113" s="173"/>
      <c r="T113" s="173"/>
      <c r="U113" s="173"/>
      <c r="V113" s="173"/>
      <c r="W113" s="173"/>
      <c r="X113" s="173"/>
      <c r="Y113" s="173"/>
      <c r="Z113" s="173"/>
      <c r="AA113" s="173"/>
    </row>
    <row r="114" spans="1:27" ht="12" customHeight="1">
      <c r="A114" s="703"/>
      <c r="B114" s="1185">
        <v>1</v>
      </c>
      <c r="C114" s="1187">
        <v>41976</v>
      </c>
      <c r="D114" s="1188" t="s">
        <v>2035</v>
      </c>
      <c r="E114" s="1014"/>
      <c r="F114" s="1014"/>
      <c r="G114" s="1014"/>
      <c r="H114" s="1014"/>
      <c r="I114" s="1014"/>
      <c r="J114" s="1014"/>
      <c r="K114" s="1014"/>
      <c r="L114" s="1016"/>
      <c r="M114" s="173"/>
      <c r="N114" s="173"/>
      <c r="O114" s="173"/>
      <c r="P114" s="173"/>
      <c r="Q114" s="173"/>
      <c r="R114" s="173"/>
      <c r="S114" s="173"/>
      <c r="T114" s="173"/>
      <c r="U114" s="173"/>
      <c r="V114" s="173"/>
      <c r="W114" s="173"/>
      <c r="X114" s="173"/>
      <c r="Y114" s="173"/>
      <c r="Z114" s="173"/>
      <c r="AA114" s="173"/>
    </row>
    <row r="115" spans="1:27" ht="12" customHeight="1">
      <c r="A115" s="703"/>
      <c r="B115" s="1170"/>
      <c r="C115" s="1170"/>
      <c r="D115" s="1017"/>
      <c r="E115" s="1034"/>
      <c r="F115" s="1034"/>
      <c r="G115" s="1034"/>
      <c r="H115" s="1034"/>
      <c r="I115" s="1034"/>
      <c r="J115" s="1034"/>
      <c r="K115" s="1034"/>
      <c r="L115" s="1018"/>
      <c r="M115" s="173"/>
      <c r="N115" s="173"/>
      <c r="O115" s="173"/>
      <c r="P115" s="173"/>
      <c r="Q115" s="173"/>
      <c r="R115" s="173"/>
      <c r="S115" s="173"/>
      <c r="T115" s="173"/>
      <c r="U115" s="173"/>
      <c r="V115" s="173"/>
      <c r="W115" s="173"/>
      <c r="X115" s="173"/>
      <c r="Y115" s="173"/>
      <c r="Z115" s="173"/>
      <c r="AA115" s="173"/>
    </row>
    <row r="116" spans="1:27" ht="27.75" customHeight="1">
      <c r="A116" s="703"/>
      <c r="M116" s="173"/>
      <c r="N116" s="173"/>
      <c r="O116" s="173"/>
      <c r="P116" s="173"/>
      <c r="Q116" s="173"/>
      <c r="R116" s="173"/>
      <c r="S116" s="173"/>
      <c r="T116" s="173"/>
      <c r="U116" s="173"/>
      <c r="V116" s="173"/>
      <c r="W116" s="173"/>
      <c r="X116" s="173"/>
      <c r="Y116" s="173"/>
      <c r="Z116" s="173"/>
      <c r="AA116" s="173"/>
    </row>
    <row r="117" spans="1:27" ht="27.75" customHeight="1">
      <c r="A117" s="703"/>
      <c r="M117" s="173"/>
      <c r="N117" s="173"/>
      <c r="O117" s="173"/>
      <c r="P117" s="173"/>
      <c r="Q117" s="173"/>
      <c r="R117" s="173"/>
      <c r="S117" s="173"/>
      <c r="T117" s="173"/>
      <c r="U117" s="173"/>
      <c r="V117" s="173"/>
      <c r="W117" s="173"/>
      <c r="X117" s="173"/>
      <c r="Y117" s="173"/>
      <c r="Z117" s="173"/>
      <c r="AA117" s="173"/>
    </row>
    <row r="118" spans="1:27" ht="27.75" customHeight="1">
      <c r="A118" s="703"/>
      <c r="M118" s="173"/>
      <c r="N118" s="173"/>
      <c r="O118" s="173"/>
      <c r="P118" s="173"/>
      <c r="Q118" s="173"/>
      <c r="R118" s="173"/>
      <c r="S118" s="173"/>
      <c r="T118" s="173"/>
      <c r="U118" s="173"/>
      <c r="V118" s="173"/>
      <c r="W118" s="173"/>
      <c r="X118" s="173"/>
      <c r="Y118" s="173"/>
      <c r="Z118" s="173"/>
      <c r="AA118" s="173"/>
    </row>
    <row r="119" spans="1:27" ht="27.75" customHeight="1">
      <c r="A119" s="703"/>
      <c r="M119" s="173"/>
      <c r="N119" s="173"/>
      <c r="O119" s="173"/>
      <c r="P119" s="173"/>
      <c r="Q119" s="173"/>
      <c r="R119" s="173"/>
      <c r="S119" s="173"/>
      <c r="T119" s="173"/>
      <c r="U119" s="173"/>
      <c r="V119" s="173"/>
      <c r="W119" s="173"/>
      <c r="X119" s="173"/>
      <c r="Y119" s="173"/>
      <c r="Z119" s="173"/>
      <c r="AA119" s="173"/>
    </row>
    <row r="120" spans="1:27" ht="27.75" customHeight="1">
      <c r="A120" s="703"/>
      <c r="M120" s="173"/>
      <c r="N120" s="173"/>
      <c r="O120" s="173"/>
      <c r="P120" s="173"/>
      <c r="Q120" s="173"/>
      <c r="R120" s="173"/>
      <c r="S120" s="173"/>
      <c r="T120" s="173"/>
      <c r="U120" s="173"/>
      <c r="V120" s="173"/>
      <c r="W120" s="173"/>
      <c r="X120" s="173"/>
      <c r="Y120" s="173"/>
      <c r="Z120" s="173"/>
      <c r="AA120" s="173"/>
    </row>
    <row r="121" spans="1:27" ht="27.75" customHeight="1">
      <c r="A121" s="703"/>
      <c r="M121" s="173"/>
      <c r="N121" s="173"/>
      <c r="O121" s="173"/>
      <c r="P121" s="173"/>
      <c r="Q121" s="173"/>
      <c r="R121" s="173"/>
      <c r="S121" s="173"/>
      <c r="T121" s="173"/>
      <c r="U121" s="173"/>
      <c r="V121" s="173"/>
      <c r="W121" s="173"/>
      <c r="X121" s="173"/>
      <c r="Y121" s="173"/>
      <c r="Z121" s="173"/>
      <c r="AA121" s="173"/>
    </row>
    <row r="122" spans="1:27" ht="27.75" customHeight="1">
      <c r="A122" s="703"/>
      <c r="M122" s="173"/>
      <c r="N122" s="173"/>
      <c r="O122" s="173"/>
      <c r="P122" s="173"/>
      <c r="Q122" s="173"/>
      <c r="R122" s="173"/>
      <c r="S122" s="173"/>
      <c r="T122" s="173"/>
      <c r="U122" s="173"/>
      <c r="V122" s="173"/>
      <c r="W122" s="173"/>
      <c r="X122" s="173"/>
      <c r="Y122" s="173"/>
      <c r="Z122" s="173"/>
      <c r="AA122" s="173"/>
    </row>
    <row r="123" spans="1:27" ht="27.75" customHeight="1">
      <c r="A123" s="703"/>
      <c r="M123" s="173"/>
      <c r="N123" s="173"/>
      <c r="O123" s="173"/>
      <c r="P123" s="173"/>
      <c r="Q123" s="173"/>
      <c r="R123" s="173"/>
      <c r="S123" s="173"/>
      <c r="T123" s="173"/>
      <c r="U123" s="173"/>
      <c r="V123" s="173"/>
      <c r="W123" s="173"/>
      <c r="X123" s="173"/>
      <c r="Y123" s="173"/>
      <c r="Z123" s="173"/>
      <c r="AA123" s="173"/>
    </row>
    <row r="124" spans="1:27" ht="27.75" customHeight="1">
      <c r="A124" s="703"/>
      <c r="M124" s="173"/>
      <c r="N124" s="173"/>
      <c r="O124" s="173"/>
      <c r="P124" s="173"/>
      <c r="Q124" s="173"/>
      <c r="R124" s="173"/>
      <c r="S124" s="173"/>
      <c r="T124" s="173"/>
      <c r="U124" s="173"/>
      <c r="V124" s="173"/>
      <c r="W124" s="173"/>
      <c r="X124" s="173"/>
      <c r="Y124" s="173"/>
      <c r="Z124" s="173"/>
      <c r="AA124" s="173"/>
    </row>
    <row r="125" spans="1:27" ht="27.75" customHeight="1">
      <c r="A125" s="703"/>
      <c r="M125" s="173"/>
      <c r="N125" s="173"/>
      <c r="O125" s="173"/>
      <c r="P125" s="173"/>
      <c r="Q125" s="173"/>
      <c r="R125" s="173"/>
      <c r="S125" s="173"/>
      <c r="T125" s="173"/>
      <c r="U125" s="173"/>
      <c r="V125" s="173"/>
      <c r="W125" s="173"/>
      <c r="X125" s="173"/>
      <c r="Y125" s="173"/>
      <c r="Z125" s="173"/>
      <c r="AA125" s="173"/>
    </row>
    <row r="126" spans="1:27" ht="27.75" customHeight="1">
      <c r="A126" s="703"/>
      <c r="M126" s="173"/>
      <c r="N126" s="173"/>
      <c r="O126" s="173"/>
      <c r="P126" s="173"/>
      <c r="Q126" s="173"/>
      <c r="R126" s="173"/>
      <c r="S126" s="173"/>
      <c r="T126" s="173"/>
      <c r="U126" s="173"/>
      <c r="V126" s="173"/>
      <c r="W126" s="173"/>
      <c r="X126" s="173"/>
      <c r="Y126" s="173"/>
      <c r="Z126" s="173"/>
      <c r="AA126" s="173"/>
    </row>
    <row r="127" spans="1:27" ht="27.75" customHeight="1">
      <c r="A127" s="703"/>
      <c r="M127" s="173"/>
      <c r="N127" s="173"/>
      <c r="O127" s="173"/>
      <c r="P127" s="173"/>
      <c r="Q127" s="173"/>
      <c r="R127" s="173"/>
      <c r="S127" s="173"/>
      <c r="T127" s="173"/>
      <c r="U127" s="173"/>
      <c r="V127" s="173"/>
      <c r="W127" s="173"/>
      <c r="X127" s="173"/>
      <c r="Y127" s="173"/>
      <c r="Z127" s="173"/>
      <c r="AA127" s="173"/>
    </row>
    <row r="128" spans="1:27" ht="27.75" customHeight="1">
      <c r="A128" s="703"/>
      <c r="M128" s="173"/>
      <c r="N128" s="173"/>
      <c r="O128" s="173"/>
      <c r="P128" s="173"/>
      <c r="Q128" s="173"/>
      <c r="R128" s="173"/>
      <c r="S128" s="173"/>
      <c r="T128" s="173"/>
      <c r="U128" s="173"/>
      <c r="V128" s="173"/>
      <c r="W128" s="173"/>
      <c r="X128" s="173"/>
      <c r="Y128" s="173"/>
      <c r="Z128" s="173"/>
      <c r="AA128" s="173"/>
    </row>
    <row r="129" spans="1:27" ht="27.75" customHeight="1">
      <c r="A129" s="703"/>
      <c r="M129" s="173"/>
      <c r="N129" s="173"/>
      <c r="O129" s="173"/>
      <c r="P129" s="173"/>
      <c r="Q129" s="173"/>
      <c r="R129" s="173"/>
      <c r="S129" s="173"/>
      <c r="T129" s="173"/>
      <c r="U129" s="173"/>
      <c r="V129" s="173"/>
      <c r="W129" s="173"/>
      <c r="X129" s="173"/>
      <c r="Y129" s="173"/>
      <c r="Z129" s="173"/>
      <c r="AA129" s="173"/>
    </row>
    <row r="130" spans="1:27" ht="12.75">
      <c r="A130" s="703"/>
      <c r="M130" s="173"/>
      <c r="N130" s="173"/>
      <c r="O130" s="173"/>
      <c r="P130" s="173"/>
      <c r="Q130" s="173"/>
      <c r="R130" s="173"/>
      <c r="S130" s="173"/>
      <c r="T130" s="173"/>
      <c r="U130" s="173"/>
      <c r="V130" s="173"/>
      <c r="W130" s="173"/>
      <c r="X130" s="173"/>
      <c r="Y130" s="173"/>
      <c r="Z130" s="173"/>
      <c r="AA130" s="173"/>
    </row>
    <row r="131" spans="1:27" ht="12.75">
      <c r="A131" s="703"/>
      <c r="M131" s="173"/>
      <c r="N131" s="173"/>
      <c r="O131" s="173"/>
      <c r="P131" s="173"/>
      <c r="Q131" s="173"/>
      <c r="R131" s="173"/>
      <c r="S131" s="173"/>
      <c r="T131" s="173"/>
      <c r="U131" s="173"/>
      <c r="V131" s="173"/>
      <c r="W131" s="173"/>
      <c r="X131" s="173"/>
      <c r="Y131" s="173"/>
      <c r="Z131" s="173"/>
      <c r="AA131" s="173"/>
    </row>
    <row r="132" spans="1:27" ht="12.75">
      <c r="A132" s="703"/>
      <c r="M132" s="173"/>
      <c r="N132" s="173"/>
      <c r="O132" s="173"/>
      <c r="P132" s="173"/>
      <c r="Q132" s="173"/>
      <c r="R132" s="173"/>
      <c r="S132" s="173"/>
      <c r="T132" s="173"/>
      <c r="U132" s="173"/>
      <c r="V132" s="173"/>
      <c r="W132" s="173"/>
      <c r="X132" s="173"/>
      <c r="Y132" s="173"/>
      <c r="Z132" s="173"/>
      <c r="AA132" s="173"/>
    </row>
    <row r="133" spans="1:27" ht="12.75">
      <c r="A133" s="703"/>
      <c r="M133" s="173"/>
      <c r="N133" s="173"/>
      <c r="O133" s="173"/>
      <c r="P133" s="173"/>
      <c r="Q133" s="173"/>
      <c r="R133" s="173"/>
      <c r="S133" s="173"/>
      <c r="T133" s="173"/>
      <c r="U133" s="173"/>
      <c r="V133" s="173"/>
      <c r="W133" s="173"/>
      <c r="X133" s="173"/>
      <c r="Y133" s="173"/>
      <c r="Z133" s="173"/>
      <c r="AA133" s="173"/>
    </row>
    <row r="134" spans="1:27" ht="12.75">
      <c r="A134" s="703"/>
      <c r="B134" s="703"/>
      <c r="C134" s="813"/>
      <c r="D134" s="173"/>
      <c r="E134" s="173"/>
      <c r="F134" s="173"/>
      <c r="G134" s="173"/>
      <c r="H134" s="173"/>
      <c r="I134" s="173"/>
      <c r="J134" s="173"/>
      <c r="K134" s="173"/>
      <c r="L134" s="173"/>
      <c r="M134" s="173"/>
      <c r="N134" s="173"/>
      <c r="O134" s="173"/>
      <c r="P134" s="173"/>
      <c r="Q134" s="173"/>
      <c r="R134" s="173"/>
      <c r="S134" s="173"/>
      <c r="T134" s="173"/>
      <c r="U134" s="173"/>
      <c r="V134" s="173"/>
      <c r="W134" s="173"/>
      <c r="X134" s="173"/>
      <c r="Y134" s="173"/>
      <c r="Z134" s="173"/>
      <c r="AA134" s="173"/>
    </row>
    <row r="135" spans="1:27" ht="12.75">
      <c r="A135" s="703"/>
      <c r="B135" s="703"/>
      <c r="C135" s="813"/>
      <c r="D135" s="173"/>
      <c r="E135" s="173"/>
      <c r="F135" s="173"/>
      <c r="G135" s="173"/>
      <c r="H135" s="173"/>
      <c r="I135" s="173"/>
      <c r="J135" s="173"/>
      <c r="K135" s="173"/>
      <c r="L135" s="173"/>
      <c r="M135" s="173"/>
      <c r="N135" s="173"/>
      <c r="O135" s="173"/>
      <c r="P135" s="173"/>
      <c r="Q135" s="173"/>
      <c r="R135" s="173"/>
      <c r="S135" s="173"/>
      <c r="T135" s="173"/>
      <c r="U135" s="173"/>
      <c r="V135" s="173"/>
      <c r="W135" s="173"/>
      <c r="X135" s="173"/>
      <c r="Y135" s="173"/>
      <c r="Z135" s="173"/>
      <c r="AA135" s="173"/>
    </row>
    <row r="136" spans="1:27" ht="12.75">
      <c r="A136" s="703"/>
      <c r="B136" s="703"/>
      <c r="C136" s="813"/>
      <c r="D136" s="173"/>
      <c r="E136" s="173"/>
      <c r="F136" s="173"/>
      <c r="G136" s="173"/>
      <c r="H136" s="173"/>
      <c r="I136" s="173"/>
      <c r="J136" s="173"/>
      <c r="K136" s="173"/>
      <c r="L136" s="173"/>
      <c r="M136" s="173"/>
      <c r="N136" s="173"/>
      <c r="O136" s="173"/>
      <c r="P136" s="173"/>
      <c r="Q136" s="173"/>
      <c r="R136" s="173"/>
      <c r="S136" s="173"/>
      <c r="T136" s="173"/>
      <c r="U136" s="173"/>
      <c r="V136" s="173"/>
      <c r="W136" s="173"/>
      <c r="X136" s="173"/>
      <c r="Y136" s="173"/>
      <c r="Z136" s="173"/>
      <c r="AA136" s="173"/>
    </row>
    <row r="137" spans="1:27" ht="12.75">
      <c r="A137" s="703"/>
      <c r="B137" s="703"/>
      <c r="C137" s="813"/>
      <c r="D137" s="173"/>
      <c r="E137" s="173"/>
      <c r="F137" s="173"/>
      <c r="G137" s="173"/>
      <c r="H137" s="173"/>
      <c r="I137" s="173"/>
      <c r="J137" s="173"/>
      <c r="K137" s="173"/>
      <c r="L137" s="173"/>
      <c r="M137" s="173"/>
      <c r="N137" s="173"/>
      <c r="O137" s="173"/>
      <c r="P137" s="173"/>
      <c r="Q137" s="173"/>
      <c r="R137" s="173"/>
      <c r="S137" s="173"/>
      <c r="T137" s="173"/>
      <c r="U137" s="173"/>
      <c r="V137" s="173"/>
      <c r="W137" s="173"/>
      <c r="X137" s="173"/>
      <c r="Y137" s="173"/>
      <c r="Z137" s="173"/>
      <c r="AA137" s="173"/>
    </row>
    <row r="138" spans="1:27" ht="12.75">
      <c r="A138" s="703"/>
      <c r="B138" s="703"/>
      <c r="C138" s="813"/>
      <c r="D138" s="173"/>
      <c r="E138" s="173"/>
      <c r="F138" s="173"/>
      <c r="G138" s="173"/>
      <c r="H138" s="173"/>
      <c r="I138" s="173"/>
      <c r="J138" s="173"/>
      <c r="K138" s="173"/>
      <c r="L138" s="173"/>
      <c r="M138" s="173"/>
      <c r="N138" s="173"/>
      <c r="O138" s="173"/>
      <c r="P138" s="173"/>
      <c r="Q138" s="173"/>
      <c r="R138" s="173"/>
      <c r="S138" s="173"/>
      <c r="T138" s="173"/>
      <c r="U138" s="173"/>
      <c r="V138" s="173"/>
      <c r="W138" s="173"/>
      <c r="X138" s="173"/>
      <c r="Y138" s="173"/>
      <c r="Z138" s="173"/>
      <c r="AA138" s="173"/>
    </row>
    <row r="139" spans="1:27" ht="12.75">
      <c r="A139" s="703"/>
      <c r="B139" s="703"/>
      <c r="C139" s="813"/>
      <c r="D139" s="173"/>
      <c r="E139" s="173"/>
      <c r="F139" s="173"/>
      <c r="G139" s="173"/>
      <c r="H139" s="173"/>
      <c r="I139" s="173"/>
      <c r="J139" s="173"/>
      <c r="K139" s="173"/>
      <c r="L139" s="173"/>
      <c r="M139" s="173"/>
      <c r="N139" s="173"/>
      <c r="O139" s="173"/>
      <c r="P139" s="173"/>
      <c r="Q139" s="173"/>
      <c r="R139" s="173"/>
      <c r="S139" s="173"/>
      <c r="T139" s="173"/>
      <c r="U139" s="173"/>
      <c r="V139" s="173"/>
      <c r="W139" s="173"/>
      <c r="X139" s="173"/>
      <c r="Y139" s="173"/>
      <c r="Z139" s="173"/>
      <c r="AA139" s="173"/>
    </row>
    <row r="140" spans="1:27" ht="12.75">
      <c r="A140" s="703"/>
      <c r="B140" s="703"/>
      <c r="C140" s="813"/>
      <c r="D140" s="173"/>
      <c r="E140" s="173"/>
      <c r="F140" s="173"/>
      <c r="G140" s="173"/>
      <c r="H140" s="173"/>
      <c r="I140" s="173"/>
      <c r="J140" s="173"/>
      <c r="K140" s="173"/>
      <c r="L140" s="173"/>
      <c r="M140" s="173"/>
      <c r="N140" s="173"/>
      <c r="O140" s="173"/>
      <c r="P140" s="173"/>
      <c r="Q140" s="173"/>
      <c r="R140" s="173"/>
      <c r="S140" s="173"/>
      <c r="T140" s="173"/>
      <c r="U140" s="173"/>
      <c r="V140" s="173"/>
      <c r="W140" s="173"/>
      <c r="X140" s="173"/>
      <c r="Y140" s="173"/>
      <c r="Z140" s="173"/>
      <c r="AA140" s="173"/>
    </row>
    <row r="141" spans="1:27" ht="12.75">
      <c r="A141" s="703"/>
      <c r="B141" s="703"/>
      <c r="C141" s="813"/>
      <c r="D141" s="173"/>
      <c r="E141" s="173"/>
      <c r="F141" s="173"/>
      <c r="G141" s="173"/>
      <c r="H141" s="173"/>
      <c r="I141" s="173"/>
      <c r="J141" s="173"/>
      <c r="K141" s="173"/>
      <c r="L141" s="173"/>
      <c r="M141" s="173"/>
      <c r="N141" s="173"/>
      <c r="O141" s="173"/>
      <c r="P141" s="173"/>
      <c r="Q141" s="173"/>
      <c r="R141" s="173"/>
      <c r="S141" s="173"/>
      <c r="T141" s="173"/>
      <c r="U141" s="173"/>
      <c r="V141" s="173"/>
      <c r="W141" s="173"/>
      <c r="X141" s="173"/>
      <c r="Y141" s="173"/>
      <c r="Z141" s="173"/>
      <c r="AA141" s="173"/>
    </row>
    <row r="142" spans="1:27" ht="12.75">
      <c r="A142" s="703"/>
      <c r="B142" s="703"/>
      <c r="C142" s="813"/>
      <c r="D142" s="173"/>
      <c r="E142" s="173"/>
      <c r="F142" s="173"/>
      <c r="G142" s="173"/>
      <c r="H142" s="173"/>
      <c r="I142" s="173"/>
      <c r="J142" s="173"/>
      <c r="K142" s="173"/>
      <c r="L142" s="173"/>
      <c r="M142" s="173"/>
      <c r="N142" s="173"/>
      <c r="O142" s="173"/>
      <c r="P142" s="173"/>
      <c r="Q142" s="173"/>
      <c r="R142" s="173"/>
      <c r="S142" s="173"/>
      <c r="T142" s="173"/>
      <c r="U142" s="173"/>
      <c r="V142" s="173"/>
      <c r="W142" s="173"/>
      <c r="X142" s="173"/>
      <c r="Y142" s="173"/>
      <c r="Z142" s="173"/>
      <c r="AA142" s="173"/>
    </row>
    <row r="143" spans="1:27" ht="12.75">
      <c r="A143" s="703"/>
      <c r="B143" s="703"/>
      <c r="C143" s="813"/>
      <c r="D143" s="173"/>
      <c r="E143" s="173"/>
      <c r="F143" s="173"/>
      <c r="G143" s="173"/>
      <c r="H143" s="173"/>
      <c r="I143" s="173"/>
      <c r="J143" s="173"/>
      <c r="K143" s="173"/>
      <c r="L143" s="173"/>
      <c r="M143" s="173"/>
      <c r="N143" s="173"/>
      <c r="O143" s="173"/>
      <c r="P143" s="173"/>
      <c r="Q143" s="173"/>
      <c r="R143" s="173"/>
      <c r="S143" s="173"/>
      <c r="T143" s="173"/>
      <c r="U143" s="173"/>
      <c r="V143" s="173"/>
      <c r="W143" s="173"/>
      <c r="X143" s="173"/>
      <c r="Y143" s="173"/>
      <c r="Z143" s="173"/>
      <c r="AA143" s="173"/>
    </row>
    <row r="144" spans="1:27" ht="12.75">
      <c r="A144" s="703"/>
      <c r="B144" s="703"/>
      <c r="C144" s="813"/>
      <c r="D144" s="173"/>
      <c r="E144" s="173"/>
      <c r="F144" s="173"/>
      <c r="G144" s="173"/>
      <c r="H144" s="173"/>
      <c r="I144" s="173"/>
      <c r="J144" s="173"/>
      <c r="K144" s="173"/>
      <c r="L144" s="173"/>
      <c r="M144" s="173"/>
      <c r="N144" s="173"/>
      <c r="O144" s="173"/>
      <c r="P144" s="173"/>
      <c r="Q144" s="173"/>
      <c r="R144" s="173"/>
      <c r="S144" s="173"/>
      <c r="T144" s="173"/>
      <c r="U144" s="173"/>
      <c r="V144" s="173"/>
      <c r="W144" s="173"/>
      <c r="X144" s="173"/>
      <c r="Y144" s="173"/>
      <c r="Z144" s="173"/>
      <c r="AA144" s="173"/>
    </row>
    <row r="145" spans="1:27" ht="12.75">
      <c r="A145" s="703"/>
      <c r="B145" s="703"/>
      <c r="C145" s="813"/>
      <c r="D145" s="173"/>
      <c r="E145" s="173"/>
      <c r="F145" s="173"/>
      <c r="G145" s="173"/>
      <c r="H145" s="173"/>
      <c r="I145" s="173"/>
      <c r="J145" s="173"/>
      <c r="K145" s="173"/>
      <c r="L145" s="173"/>
      <c r="M145" s="173"/>
      <c r="N145" s="173"/>
      <c r="O145" s="173"/>
      <c r="P145" s="173"/>
      <c r="Q145" s="173"/>
      <c r="R145" s="173"/>
      <c r="S145" s="173"/>
      <c r="T145" s="173"/>
      <c r="U145" s="173"/>
      <c r="V145" s="173"/>
      <c r="W145" s="173"/>
      <c r="X145" s="173"/>
      <c r="Y145" s="173"/>
      <c r="Z145" s="173"/>
      <c r="AA145" s="173"/>
    </row>
    <row r="146" spans="1:27" ht="12.75">
      <c r="A146" s="703"/>
      <c r="B146" s="703"/>
      <c r="C146" s="813"/>
      <c r="D146" s="173"/>
      <c r="E146" s="173"/>
      <c r="F146" s="173"/>
      <c r="G146" s="173"/>
      <c r="H146" s="173"/>
      <c r="I146" s="173"/>
      <c r="J146" s="173"/>
      <c r="K146" s="173"/>
      <c r="L146" s="173"/>
      <c r="M146" s="173"/>
      <c r="N146" s="173"/>
      <c r="O146" s="173"/>
      <c r="P146" s="173"/>
      <c r="Q146" s="173"/>
      <c r="R146" s="173"/>
      <c r="S146" s="173"/>
      <c r="T146" s="173"/>
      <c r="U146" s="173"/>
      <c r="V146" s="173"/>
      <c r="W146" s="173"/>
      <c r="X146" s="173"/>
      <c r="Y146" s="173"/>
      <c r="Z146" s="173"/>
      <c r="AA146" s="173"/>
    </row>
    <row r="147" spans="1:27" ht="12.75">
      <c r="A147" s="703"/>
      <c r="B147" s="703"/>
      <c r="C147" s="813"/>
      <c r="D147" s="173"/>
      <c r="E147" s="173"/>
      <c r="F147" s="173"/>
      <c r="G147" s="173"/>
      <c r="H147" s="173"/>
      <c r="I147" s="173"/>
      <c r="J147" s="173"/>
      <c r="K147" s="173"/>
      <c r="L147" s="173"/>
      <c r="M147" s="173"/>
      <c r="N147" s="173"/>
      <c r="O147" s="173"/>
      <c r="P147" s="173"/>
      <c r="Q147" s="173"/>
      <c r="R147" s="173"/>
      <c r="S147" s="173"/>
      <c r="T147" s="173"/>
      <c r="U147" s="173"/>
      <c r="V147" s="173"/>
      <c r="W147" s="173"/>
      <c r="X147" s="173"/>
      <c r="Y147" s="173"/>
      <c r="Z147" s="173"/>
      <c r="AA147" s="173"/>
    </row>
    <row r="148" spans="1:27" ht="12.75">
      <c r="A148" s="703"/>
      <c r="B148" s="703"/>
      <c r="C148" s="813"/>
      <c r="D148" s="173"/>
      <c r="E148" s="173"/>
      <c r="F148" s="173"/>
      <c r="G148" s="173"/>
      <c r="H148" s="173"/>
      <c r="I148" s="173"/>
      <c r="J148" s="173"/>
      <c r="K148" s="173"/>
      <c r="L148" s="173"/>
      <c r="M148" s="173"/>
      <c r="N148" s="173"/>
      <c r="O148" s="173"/>
      <c r="P148" s="173"/>
      <c r="Q148" s="173"/>
      <c r="R148" s="173"/>
      <c r="S148" s="173"/>
      <c r="T148" s="173"/>
      <c r="U148" s="173"/>
      <c r="V148" s="173"/>
      <c r="W148" s="173"/>
      <c r="X148" s="173"/>
      <c r="Y148" s="173"/>
      <c r="Z148" s="173"/>
      <c r="AA148" s="173"/>
    </row>
    <row r="149" spans="1:27" ht="12.75">
      <c r="A149" s="703"/>
      <c r="B149" s="703"/>
      <c r="C149" s="813"/>
      <c r="D149" s="173"/>
      <c r="E149" s="173"/>
      <c r="F149" s="173"/>
      <c r="G149" s="173"/>
      <c r="H149" s="173"/>
      <c r="I149" s="173"/>
      <c r="J149" s="173"/>
      <c r="K149" s="173"/>
      <c r="L149" s="173"/>
      <c r="M149" s="173"/>
      <c r="N149" s="173"/>
      <c r="O149" s="173"/>
      <c r="P149" s="173"/>
      <c r="Q149" s="173"/>
      <c r="R149" s="173"/>
      <c r="S149" s="173"/>
      <c r="T149" s="173"/>
      <c r="U149" s="173"/>
      <c r="V149" s="173"/>
      <c r="W149" s="173"/>
      <c r="X149" s="173"/>
      <c r="Y149" s="173"/>
      <c r="Z149" s="173"/>
      <c r="AA149" s="173"/>
    </row>
    <row r="150" spans="1:27" ht="12.75">
      <c r="A150" s="703"/>
      <c r="B150" s="703"/>
      <c r="C150" s="813"/>
      <c r="D150" s="173"/>
      <c r="E150" s="173"/>
      <c r="F150" s="173"/>
      <c r="G150" s="173"/>
      <c r="H150" s="173"/>
      <c r="I150" s="173"/>
      <c r="J150" s="173"/>
      <c r="K150" s="173"/>
      <c r="L150" s="173"/>
      <c r="M150" s="173"/>
      <c r="N150" s="173"/>
      <c r="O150" s="173"/>
      <c r="P150" s="173"/>
      <c r="Q150" s="173"/>
      <c r="R150" s="173"/>
      <c r="S150" s="173"/>
      <c r="T150" s="173"/>
      <c r="U150" s="173"/>
      <c r="V150" s="173"/>
      <c r="W150" s="173"/>
      <c r="X150" s="173"/>
      <c r="Y150" s="173"/>
      <c r="Z150" s="173"/>
      <c r="AA150" s="173"/>
    </row>
    <row r="151" spans="1:27" ht="12.75">
      <c r="A151" s="703"/>
      <c r="B151" s="703"/>
      <c r="C151" s="813"/>
      <c r="D151" s="173"/>
      <c r="E151" s="173"/>
      <c r="F151" s="173"/>
      <c r="G151" s="173"/>
      <c r="H151" s="173"/>
      <c r="I151" s="173"/>
      <c r="J151" s="173"/>
      <c r="K151" s="173"/>
      <c r="L151" s="173"/>
      <c r="M151" s="173"/>
      <c r="N151" s="173"/>
      <c r="O151" s="173"/>
      <c r="P151" s="173"/>
      <c r="Q151" s="173"/>
      <c r="R151" s="173"/>
      <c r="S151" s="173"/>
      <c r="T151" s="173"/>
      <c r="U151" s="173"/>
      <c r="V151" s="173"/>
      <c r="W151" s="173"/>
      <c r="X151" s="173"/>
      <c r="Y151" s="173"/>
      <c r="Z151" s="173"/>
      <c r="AA151" s="173"/>
    </row>
    <row r="152" spans="1:27" ht="12.75">
      <c r="A152" s="703"/>
      <c r="B152" s="703"/>
      <c r="C152" s="813"/>
      <c r="D152" s="173"/>
      <c r="E152" s="173"/>
      <c r="F152" s="173"/>
      <c r="G152" s="173"/>
      <c r="H152" s="173"/>
      <c r="I152" s="173"/>
      <c r="J152" s="173"/>
      <c r="K152" s="173"/>
      <c r="L152" s="173"/>
      <c r="M152" s="173"/>
      <c r="N152" s="173"/>
      <c r="O152" s="173"/>
      <c r="P152" s="173"/>
      <c r="Q152" s="173"/>
      <c r="R152" s="173"/>
      <c r="S152" s="173"/>
      <c r="T152" s="173"/>
      <c r="U152" s="173"/>
      <c r="V152" s="173"/>
      <c r="W152" s="173"/>
      <c r="X152" s="173"/>
      <c r="Y152" s="173"/>
      <c r="Z152" s="173"/>
      <c r="AA152" s="173"/>
    </row>
    <row r="153" spans="1:27" ht="12.75">
      <c r="A153" s="703"/>
      <c r="B153" s="703"/>
      <c r="C153" s="813"/>
      <c r="D153" s="173"/>
      <c r="E153" s="173"/>
      <c r="F153" s="173"/>
      <c r="G153" s="173"/>
      <c r="H153" s="173"/>
      <c r="I153" s="173"/>
      <c r="J153" s="173"/>
      <c r="K153" s="173"/>
      <c r="L153" s="173"/>
      <c r="M153" s="173"/>
      <c r="N153" s="173"/>
      <c r="O153" s="173"/>
      <c r="P153" s="173"/>
      <c r="Q153" s="173"/>
      <c r="R153" s="173"/>
      <c r="S153" s="173"/>
      <c r="T153" s="173"/>
      <c r="U153" s="173"/>
      <c r="V153" s="173"/>
      <c r="W153" s="173"/>
      <c r="X153" s="173"/>
      <c r="Y153" s="173"/>
      <c r="Z153" s="173"/>
      <c r="AA153" s="173"/>
    </row>
    <row r="154" spans="1:27" ht="12.75">
      <c r="A154" s="703"/>
      <c r="B154" s="703"/>
      <c r="C154" s="813"/>
      <c r="D154" s="173"/>
      <c r="E154" s="173"/>
      <c r="F154" s="173"/>
      <c r="G154" s="173"/>
      <c r="H154" s="173"/>
      <c r="I154" s="173"/>
      <c r="J154" s="173"/>
      <c r="K154" s="173"/>
      <c r="L154" s="173"/>
      <c r="M154" s="173"/>
      <c r="N154" s="173"/>
      <c r="O154" s="173"/>
      <c r="P154" s="173"/>
      <c r="Q154" s="173"/>
      <c r="R154" s="173"/>
      <c r="S154" s="173"/>
      <c r="T154" s="173"/>
      <c r="U154" s="173"/>
      <c r="V154" s="173"/>
      <c r="W154" s="173"/>
      <c r="X154" s="173"/>
      <c r="Y154" s="173"/>
      <c r="Z154" s="173"/>
      <c r="AA154" s="173"/>
    </row>
    <row r="155" spans="1:27" ht="12.75">
      <c r="A155" s="703"/>
      <c r="B155" s="703"/>
      <c r="C155" s="813"/>
      <c r="D155" s="173"/>
      <c r="E155" s="173"/>
      <c r="F155" s="173"/>
      <c r="G155" s="173"/>
      <c r="H155" s="173"/>
      <c r="I155" s="173"/>
      <c r="J155" s="173"/>
      <c r="K155" s="173"/>
      <c r="L155" s="173"/>
      <c r="M155" s="173"/>
      <c r="N155" s="173"/>
      <c r="O155" s="173"/>
      <c r="P155" s="173"/>
      <c r="Q155" s="173"/>
      <c r="R155" s="173"/>
      <c r="S155" s="173"/>
      <c r="T155" s="173"/>
      <c r="U155" s="173"/>
      <c r="V155" s="173"/>
      <c r="W155" s="173"/>
      <c r="X155" s="173"/>
      <c r="Y155" s="173"/>
      <c r="Z155" s="173"/>
      <c r="AA155" s="173"/>
    </row>
    <row r="156" spans="1:27" ht="12.75">
      <c r="A156" s="703"/>
      <c r="B156" s="703"/>
      <c r="C156" s="813"/>
      <c r="D156" s="173"/>
      <c r="E156" s="173"/>
      <c r="F156" s="173"/>
      <c r="G156" s="173"/>
      <c r="H156" s="173"/>
      <c r="I156" s="173"/>
      <c r="J156" s="173"/>
      <c r="K156" s="173"/>
      <c r="L156" s="173"/>
      <c r="M156" s="173"/>
      <c r="N156" s="173"/>
      <c r="O156" s="173"/>
      <c r="P156" s="173"/>
      <c r="Q156" s="173"/>
      <c r="R156" s="173"/>
      <c r="S156" s="173"/>
      <c r="T156" s="173"/>
      <c r="U156" s="173"/>
      <c r="V156" s="173"/>
      <c r="W156" s="173"/>
      <c r="X156" s="173"/>
      <c r="Y156" s="173"/>
      <c r="Z156" s="173"/>
      <c r="AA156" s="173"/>
    </row>
    <row r="157" spans="1:27" ht="12.75">
      <c r="A157" s="703"/>
      <c r="B157" s="703"/>
      <c r="C157" s="813"/>
      <c r="D157" s="173"/>
      <c r="E157" s="173"/>
      <c r="F157" s="173"/>
      <c r="G157" s="173"/>
      <c r="H157" s="173"/>
      <c r="I157" s="173"/>
      <c r="J157" s="173"/>
      <c r="K157" s="173"/>
      <c r="L157" s="173"/>
      <c r="M157" s="173"/>
      <c r="N157" s="173"/>
      <c r="O157" s="173"/>
      <c r="P157" s="173"/>
      <c r="Q157" s="173"/>
      <c r="R157" s="173"/>
      <c r="S157" s="173"/>
      <c r="T157" s="173"/>
      <c r="U157" s="173"/>
      <c r="V157" s="173"/>
      <c r="W157" s="173"/>
      <c r="X157" s="173"/>
      <c r="Y157" s="173"/>
      <c r="Z157" s="173"/>
      <c r="AA157" s="173"/>
    </row>
    <row r="158" spans="1:27" ht="12.75">
      <c r="A158" s="703"/>
      <c r="B158" s="703"/>
      <c r="C158" s="813"/>
      <c r="D158" s="173"/>
      <c r="E158" s="173"/>
      <c r="F158" s="173"/>
      <c r="G158" s="173"/>
      <c r="H158" s="173"/>
      <c r="I158" s="173"/>
      <c r="J158" s="173"/>
      <c r="K158" s="173"/>
      <c r="L158" s="173"/>
      <c r="M158" s="173"/>
      <c r="N158" s="173"/>
      <c r="O158" s="173"/>
      <c r="P158" s="173"/>
      <c r="Q158" s="173"/>
      <c r="R158" s="173"/>
      <c r="S158" s="173"/>
      <c r="T158" s="173"/>
      <c r="U158" s="173"/>
      <c r="V158" s="173"/>
      <c r="W158" s="173"/>
      <c r="X158" s="173"/>
      <c r="Y158" s="173"/>
      <c r="Z158" s="173"/>
      <c r="AA158" s="173"/>
    </row>
    <row r="159" spans="1:27" ht="12.75">
      <c r="A159" s="703"/>
      <c r="B159" s="703"/>
      <c r="C159" s="813"/>
      <c r="D159" s="173"/>
      <c r="E159" s="173"/>
      <c r="F159" s="173"/>
      <c r="G159" s="173"/>
      <c r="H159" s="173"/>
      <c r="I159" s="173"/>
      <c r="J159" s="173"/>
      <c r="K159" s="173"/>
      <c r="L159" s="173"/>
      <c r="M159" s="173"/>
      <c r="N159" s="173"/>
      <c r="O159" s="173"/>
      <c r="P159" s="173"/>
      <c r="Q159" s="173"/>
      <c r="R159" s="173"/>
      <c r="S159" s="173"/>
      <c r="T159" s="173"/>
      <c r="U159" s="173"/>
      <c r="V159" s="173"/>
      <c r="W159" s="173"/>
      <c r="X159" s="173"/>
      <c r="Y159" s="173"/>
      <c r="Z159" s="173"/>
      <c r="AA159" s="173"/>
    </row>
    <row r="160" spans="1:27" ht="12.75">
      <c r="A160" s="703"/>
      <c r="B160" s="703"/>
      <c r="C160" s="813"/>
      <c r="D160" s="173"/>
      <c r="E160" s="173"/>
      <c r="F160" s="173"/>
      <c r="G160" s="173"/>
      <c r="H160" s="173"/>
      <c r="I160" s="173"/>
      <c r="J160" s="173"/>
      <c r="K160" s="173"/>
      <c r="L160" s="173"/>
      <c r="M160" s="173"/>
      <c r="N160" s="173"/>
      <c r="O160" s="173"/>
      <c r="P160" s="173"/>
      <c r="Q160" s="173"/>
      <c r="R160" s="173"/>
      <c r="S160" s="173"/>
      <c r="T160" s="173"/>
      <c r="U160" s="173"/>
      <c r="V160" s="173"/>
      <c r="W160" s="173"/>
      <c r="X160" s="173"/>
      <c r="Y160" s="173"/>
      <c r="Z160" s="173"/>
      <c r="AA160" s="173"/>
    </row>
    <row r="161" spans="1:27" ht="12.75">
      <c r="A161" s="703"/>
      <c r="B161" s="703"/>
      <c r="C161" s="813"/>
      <c r="D161" s="173"/>
      <c r="E161" s="173"/>
      <c r="F161" s="173"/>
      <c r="G161" s="173"/>
      <c r="H161" s="173"/>
      <c r="I161" s="173"/>
      <c r="J161" s="173"/>
      <c r="K161" s="173"/>
      <c r="L161" s="173"/>
      <c r="M161" s="173"/>
      <c r="N161" s="173"/>
      <c r="O161" s="173"/>
      <c r="P161" s="173"/>
      <c r="Q161" s="173"/>
      <c r="R161" s="173"/>
      <c r="S161" s="173"/>
      <c r="T161" s="173"/>
      <c r="U161" s="173"/>
      <c r="V161" s="173"/>
      <c r="W161" s="173"/>
      <c r="X161" s="173"/>
      <c r="Y161" s="173"/>
      <c r="Z161" s="173"/>
      <c r="AA161" s="173"/>
    </row>
    <row r="162" spans="1:27" ht="12.75">
      <c r="A162" s="703"/>
      <c r="B162" s="703"/>
      <c r="C162" s="813"/>
      <c r="D162" s="173"/>
      <c r="E162" s="173"/>
      <c r="F162" s="173"/>
      <c r="G162" s="173"/>
      <c r="H162" s="173"/>
      <c r="I162" s="173"/>
      <c r="J162" s="173"/>
      <c r="K162" s="173"/>
      <c r="L162" s="173"/>
      <c r="M162" s="173"/>
      <c r="N162" s="173"/>
      <c r="O162" s="173"/>
      <c r="P162" s="173"/>
      <c r="Q162" s="173"/>
      <c r="R162" s="173"/>
      <c r="S162" s="173"/>
      <c r="T162" s="173"/>
      <c r="U162" s="173"/>
      <c r="V162" s="173"/>
      <c r="W162" s="173"/>
      <c r="X162" s="173"/>
      <c r="Y162" s="173"/>
      <c r="Z162" s="173"/>
      <c r="AA162" s="173"/>
    </row>
    <row r="163" spans="1:27" ht="12.75">
      <c r="A163" s="703"/>
      <c r="B163" s="703"/>
      <c r="C163" s="813"/>
      <c r="D163" s="173"/>
      <c r="E163" s="173"/>
      <c r="F163" s="173"/>
      <c r="G163" s="173"/>
      <c r="H163" s="173"/>
      <c r="I163" s="173"/>
      <c r="J163" s="173"/>
      <c r="K163" s="173"/>
      <c r="L163" s="173"/>
      <c r="M163" s="173"/>
      <c r="N163" s="173"/>
      <c r="O163" s="173"/>
      <c r="P163" s="173"/>
      <c r="Q163" s="173"/>
      <c r="R163" s="173"/>
      <c r="S163" s="173"/>
      <c r="T163" s="173"/>
      <c r="U163" s="173"/>
      <c r="V163" s="173"/>
      <c r="W163" s="173"/>
      <c r="X163" s="173"/>
      <c r="Y163" s="173"/>
      <c r="Z163" s="173"/>
      <c r="AA163" s="173"/>
    </row>
    <row r="164" spans="1:27" ht="12.75">
      <c r="A164" s="703"/>
      <c r="B164" s="703"/>
      <c r="C164" s="813"/>
      <c r="D164" s="173"/>
      <c r="E164" s="173"/>
      <c r="F164" s="173"/>
      <c r="G164" s="173"/>
      <c r="H164" s="173"/>
      <c r="I164" s="173"/>
      <c r="J164" s="173"/>
      <c r="K164" s="173"/>
      <c r="L164" s="173"/>
      <c r="M164" s="173"/>
      <c r="N164" s="173"/>
      <c r="O164" s="173"/>
      <c r="P164" s="173"/>
      <c r="Q164" s="173"/>
      <c r="R164" s="173"/>
      <c r="S164" s="173"/>
      <c r="T164" s="173"/>
      <c r="U164" s="173"/>
      <c r="V164" s="173"/>
      <c r="W164" s="173"/>
      <c r="X164" s="173"/>
      <c r="Y164" s="173"/>
      <c r="Z164" s="173"/>
      <c r="AA164" s="173"/>
    </row>
    <row r="165" spans="1:27" ht="12.75">
      <c r="A165" s="703"/>
      <c r="B165" s="703"/>
      <c r="C165" s="813"/>
      <c r="D165" s="173"/>
      <c r="E165" s="173"/>
      <c r="F165" s="173"/>
      <c r="G165" s="173"/>
      <c r="H165" s="173"/>
      <c r="I165" s="173"/>
      <c r="J165" s="173"/>
      <c r="K165" s="173"/>
      <c r="L165" s="173"/>
      <c r="M165" s="173"/>
      <c r="N165" s="173"/>
      <c r="O165" s="173"/>
      <c r="P165" s="173"/>
      <c r="Q165" s="173"/>
      <c r="R165" s="173"/>
      <c r="S165" s="173"/>
      <c r="T165" s="173"/>
      <c r="U165" s="173"/>
      <c r="V165" s="173"/>
      <c r="W165" s="173"/>
      <c r="X165" s="173"/>
      <c r="Y165" s="173"/>
      <c r="Z165" s="173"/>
      <c r="AA165" s="173"/>
    </row>
    <row r="166" spans="1:27" ht="12.75">
      <c r="A166" s="703"/>
      <c r="B166" s="703"/>
      <c r="C166" s="813"/>
      <c r="D166" s="173"/>
      <c r="E166" s="173"/>
      <c r="F166" s="173"/>
      <c r="G166" s="173"/>
      <c r="H166" s="173"/>
      <c r="I166" s="173"/>
      <c r="J166" s="173"/>
      <c r="K166" s="173"/>
      <c r="L166" s="173"/>
      <c r="M166" s="173"/>
      <c r="N166" s="173"/>
      <c r="O166" s="173"/>
      <c r="P166" s="173"/>
      <c r="Q166" s="173"/>
      <c r="R166" s="173"/>
      <c r="S166" s="173"/>
      <c r="T166" s="173"/>
      <c r="U166" s="173"/>
      <c r="V166" s="173"/>
      <c r="W166" s="173"/>
      <c r="X166" s="173"/>
      <c r="Y166" s="173"/>
      <c r="Z166" s="173"/>
      <c r="AA166" s="173"/>
    </row>
    <row r="167" spans="1:27" ht="12.75">
      <c r="A167" s="703"/>
      <c r="B167" s="703"/>
      <c r="C167" s="813"/>
      <c r="D167" s="173"/>
      <c r="E167" s="173"/>
      <c r="F167" s="173"/>
      <c r="G167" s="173"/>
      <c r="H167" s="173"/>
      <c r="I167" s="173"/>
      <c r="J167" s="173"/>
      <c r="K167" s="173"/>
      <c r="L167" s="173"/>
      <c r="M167" s="173"/>
      <c r="N167" s="173"/>
      <c r="O167" s="173"/>
      <c r="P167" s="173"/>
      <c r="Q167" s="173"/>
      <c r="R167" s="173"/>
      <c r="S167" s="173"/>
      <c r="T167" s="173"/>
      <c r="U167" s="173"/>
      <c r="V167" s="173"/>
      <c r="W167" s="173"/>
      <c r="X167" s="173"/>
      <c r="Y167" s="173"/>
      <c r="Z167" s="173"/>
      <c r="AA167" s="173"/>
    </row>
    <row r="168" spans="1:27" ht="12.75">
      <c r="A168" s="703"/>
      <c r="B168" s="703"/>
      <c r="C168" s="813"/>
      <c r="D168" s="173"/>
      <c r="E168" s="173"/>
      <c r="F168" s="173"/>
      <c r="G168" s="173"/>
      <c r="H168" s="173"/>
      <c r="I168" s="173"/>
      <c r="J168" s="173"/>
      <c r="K168" s="173"/>
      <c r="L168" s="173"/>
      <c r="M168" s="173"/>
      <c r="N168" s="173"/>
      <c r="O168" s="173"/>
      <c r="P168" s="173"/>
      <c r="Q168" s="173"/>
      <c r="R168" s="173"/>
      <c r="S168" s="173"/>
      <c r="T168" s="173"/>
      <c r="U168" s="173"/>
      <c r="V168" s="173"/>
      <c r="W168" s="173"/>
      <c r="X168" s="173"/>
      <c r="Y168" s="173"/>
      <c r="Z168" s="173"/>
      <c r="AA168" s="173"/>
    </row>
    <row r="169" spans="1:27" ht="12.75">
      <c r="A169" s="703"/>
      <c r="B169" s="703"/>
      <c r="C169" s="813"/>
      <c r="D169" s="173"/>
      <c r="E169" s="173"/>
      <c r="F169" s="173"/>
      <c r="G169" s="173"/>
      <c r="H169" s="173"/>
      <c r="I169" s="173"/>
      <c r="J169" s="173"/>
      <c r="K169" s="173"/>
      <c r="L169" s="173"/>
      <c r="M169" s="173"/>
      <c r="N169" s="173"/>
      <c r="O169" s="173"/>
      <c r="P169" s="173"/>
      <c r="Q169" s="173"/>
      <c r="R169" s="173"/>
      <c r="S169" s="173"/>
      <c r="T169" s="173"/>
      <c r="U169" s="173"/>
      <c r="V169" s="173"/>
      <c r="W169" s="173"/>
      <c r="X169" s="173"/>
      <c r="Y169" s="173"/>
      <c r="Z169" s="173"/>
      <c r="AA169" s="173"/>
    </row>
    <row r="170" spans="1:27" ht="12.75">
      <c r="A170" s="703"/>
      <c r="B170" s="703"/>
      <c r="C170" s="813"/>
      <c r="D170" s="173"/>
      <c r="E170" s="173"/>
      <c r="F170" s="173"/>
      <c r="G170" s="173"/>
      <c r="H170" s="173"/>
      <c r="I170" s="173"/>
      <c r="J170" s="173"/>
      <c r="K170" s="173"/>
      <c r="L170" s="173"/>
      <c r="M170" s="173"/>
      <c r="N170" s="173"/>
      <c r="O170" s="173"/>
      <c r="P170" s="173"/>
      <c r="Q170" s="173"/>
      <c r="R170" s="173"/>
      <c r="S170" s="173"/>
      <c r="T170" s="173"/>
      <c r="U170" s="173"/>
      <c r="V170" s="173"/>
      <c r="W170" s="173"/>
      <c r="X170" s="173"/>
      <c r="Y170" s="173"/>
      <c r="Z170" s="173"/>
      <c r="AA170" s="173"/>
    </row>
    <row r="171" spans="1:27" ht="12.75">
      <c r="A171" s="703"/>
      <c r="B171" s="703"/>
      <c r="C171" s="813"/>
      <c r="D171" s="173"/>
      <c r="E171" s="173"/>
      <c r="F171" s="173"/>
      <c r="G171" s="173"/>
      <c r="H171" s="173"/>
      <c r="I171" s="173"/>
      <c r="J171" s="173"/>
      <c r="K171" s="173"/>
      <c r="L171" s="173"/>
      <c r="M171" s="173"/>
      <c r="N171" s="173"/>
      <c r="O171" s="173"/>
      <c r="P171" s="173"/>
      <c r="Q171" s="173"/>
      <c r="R171" s="173"/>
      <c r="S171" s="173"/>
      <c r="T171" s="173"/>
      <c r="U171" s="173"/>
      <c r="V171" s="173"/>
      <c r="W171" s="173"/>
      <c r="X171" s="173"/>
      <c r="Y171" s="173"/>
      <c r="Z171" s="173"/>
      <c r="AA171" s="173"/>
    </row>
    <row r="172" spans="1:27" ht="12.75">
      <c r="A172" s="703"/>
      <c r="B172" s="703"/>
      <c r="C172" s="813"/>
      <c r="D172" s="173"/>
      <c r="E172" s="173"/>
      <c r="F172" s="173"/>
      <c r="G172" s="173"/>
      <c r="H172" s="173"/>
      <c r="I172" s="173"/>
      <c r="J172" s="173"/>
      <c r="K172" s="173"/>
      <c r="L172" s="173"/>
      <c r="M172" s="173"/>
      <c r="N172" s="173"/>
      <c r="O172" s="173"/>
      <c r="P172" s="173"/>
      <c r="Q172" s="173"/>
      <c r="R172" s="173"/>
      <c r="S172" s="173"/>
      <c r="T172" s="173"/>
      <c r="U172" s="173"/>
      <c r="V172" s="173"/>
      <c r="W172" s="173"/>
      <c r="X172" s="173"/>
      <c r="Y172" s="173"/>
      <c r="Z172" s="173"/>
      <c r="AA172" s="173"/>
    </row>
    <row r="173" spans="1:27" ht="12.75">
      <c r="A173" s="703"/>
      <c r="B173" s="703"/>
      <c r="C173" s="813"/>
      <c r="D173" s="173"/>
      <c r="E173" s="173"/>
      <c r="F173" s="173"/>
      <c r="G173" s="173"/>
      <c r="H173" s="173"/>
      <c r="I173" s="173"/>
      <c r="J173" s="173"/>
      <c r="K173" s="173"/>
      <c r="L173" s="173"/>
      <c r="M173" s="173"/>
      <c r="N173" s="173"/>
      <c r="O173" s="173"/>
      <c r="P173" s="173"/>
      <c r="Q173" s="173"/>
      <c r="R173" s="173"/>
      <c r="S173" s="173"/>
      <c r="T173" s="173"/>
      <c r="U173" s="173"/>
      <c r="V173" s="173"/>
      <c r="W173" s="173"/>
      <c r="X173" s="173"/>
      <c r="Y173" s="173"/>
      <c r="Z173" s="173"/>
      <c r="AA173" s="173"/>
    </row>
    <row r="174" spans="1:27" ht="12.75">
      <c r="A174" s="703"/>
      <c r="B174" s="703"/>
      <c r="C174" s="813"/>
      <c r="D174" s="173"/>
      <c r="E174" s="173"/>
      <c r="F174" s="173"/>
      <c r="G174" s="173"/>
      <c r="H174" s="173"/>
      <c r="I174" s="173"/>
      <c r="J174" s="173"/>
      <c r="K174" s="173"/>
      <c r="L174" s="173"/>
      <c r="M174" s="173"/>
      <c r="N174" s="173"/>
      <c r="O174" s="173"/>
      <c r="P174" s="173"/>
      <c r="Q174" s="173"/>
      <c r="R174" s="173"/>
      <c r="S174" s="173"/>
      <c r="T174" s="173"/>
      <c r="U174" s="173"/>
      <c r="V174" s="173"/>
      <c r="W174" s="173"/>
      <c r="X174" s="173"/>
      <c r="Y174" s="173"/>
      <c r="Z174" s="173"/>
      <c r="AA174" s="173"/>
    </row>
    <row r="175" spans="1:27" ht="12.75">
      <c r="A175" s="703"/>
      <c r="B175" s="703"/>
      <c r="C175" s="813"/>
      <c r="D175" s="173"/>
      <c r="E175" s="173"/>
      <c r="F175" s="173"/>
      <c r="G175" s="173"/>
      <c r="H175" s="173"/>
      <c r="I175" s="173"/>
      <c r="J175" s="173"/>
      <c r="K175" s="173"/>
      <c r="L175" s="173"/>
      <c r="M175" s="173"/>
      <c r="N175" s="173"/>
      <c r="O175" s="173"/>
      <c r="P175" s="173"/>
      <c r="Q175" s="173"/>
      <c r="R175" s="173"/>
      <c r="S175" s="173"/>
      <c r="T175" s="173"/>
      <c r="U175" s="173"/>
      <c r="V175" s="173"/>
      <c r="W175" s="173"/>
      <c r="X175" s="173"/>
      <c r="Y175" s="173"/>
      <c r="Z175" s="173"/>
      <c r="AA175" s="173"/>
    </row>
    <row r="176" spans="1:27" ht="12.75">
      <c r="A176" s="703"/>
      <c r="B176" s="703"/>
      <c r="C176" s="813"/>
      <c r="D176" s="173"/>
      <c r="E176" s="173"/>
      <c r="F176" s="173"/>
      <c r="G176" s="173"/>
      <c r="H176" s="173"/>
      <c r="I176" s="173"/>
      <c r="J176" s="173"/>
      <c r="K176" s="173"/>
      <c r="L176" s="173"/>
      <c r="M176" s="173"/>
      <c r="N176" s="173"/>
      <c r="O176" s="173"/>
      <c r="P176" s="173"/>
      <c r="Q176" s="173"/>
      <c r="R176" s="173"/>
      <c r="S176" s="173"/>
      <c r="T176" s="173"/>
      <c r="U176" s="173"/>
      <c r="V176" s="173"/>
      <c r="W176" s="173"/>
      <c r="X176" s="173"/>
      <c r="Y176" s="173"/>
      <c r="Z176" s="173"/>
      <c r="AA176" s="173"/>
    </row>
    <row r="177" spans="1:27" ht="12.75">
      <c r="A177" s="703"/>
      <c r="B177" s="703"/>
      <c r="C177" s="813"/>
      <c r="D177" s="173"/>
      <c r="E177" s="173"/>
      <c r="F177" s="173"/>
      <c r="G177" s="173"/>
      <c r="H177" s="173"/>
      <c r="I177" s="173"/>
      <c r="J177" s="173"/>
      <c r="K177" s="173"/>
      <c r="L177" s="173"/>
      <c r="M177" s="173"/>
      <c r="N177" s="173"/>
      <c r="O177" s="173"/>
      <c r="P177" s="173"/>
      <c r="Q177" s="173"/>
      <c r="R177" s="173"/>
      <c r="S177" s="173"/>
      <c r="T177" s="173"/>
      <c r="U177" s="173"/>
      <c r="V177" s="173"/>
      <c r="W177" s="173"/>
      <c r="X177" s="173"/>
      <c r="Y177" s="173"/>
      <c r="Z177" s="173"/>
      <c r="AA177" s="173"/>
    </row>
    <row r="178" spans="1:27" ht="12.75">
      <c r="A178" s="703"/>
      <c r="B178" s="703"/>
      <c r="C178" s="813"/>
      <c r="D178" s="173"/>
      <c r="E178" s="173"/>
      <c r="F178" s="173"/>
      <c r="G178" s="173"/>
      <c r="H178" s="173"/>
      <c r="I178" s="173"/>
      <c r="J178" s="173"/>
      <c r="K178" s="173"/>
      <c r="L178" s="173"/>
      <c r="M178" s="173"/>
      <c r="N178" s="173"/>
      <c r="O178" s="173"/>
      <c r="P178" s="173"/>
      <c r="Q178" s="173"/>
      <c r="R178" s="173"/>
      <c r="S178" s="173"/>
      <c r="T178" s="173"/>
      <c r="U178" s="173"/>
      <c r="V178" s="173"/>
      <c r="W178" s="173"/>
      <c r="X178" s="173"/>
      <c r="Y178" s="173"/>
      <c r="Z178" s="173"/>
      <c r="AA178" s="173"/>
    </row>
    <row r="179" spans="1:27" ht="12.75">
      <c r="A179" s="703"/>
      <c r="B179" s="703"/>
      <c r="C179" s="813"/>
      <c r="D179" s="173"/>
      <c r="E179" s="173"/>
      <c r="F179" s="173"/>
      <c r="G179" s="173"/>
      <c r="H179" s="173"/>
      <c r="I179" s="173"/>
      <c r="J179" s="173"/>
      <c r="K179" s="173"/>
      <c r="L179" s="173"/>
      <c r="M179" s="173"/>
      <c r="N179" s="173"/>
      <c r="O179" s="173"/>
      <c r="P179" s="173"/>
      <c r="Q179" s="173"/>
      <c r="R179" s="173"/>
      <c r="S179" s="173"/>
      <c r="T179" s="173"/>
      <c r="U179" s="173"/>
      <c r="V179" s="173"/>
      <c r="W179" s="173"/>
      <c r="X179" s="173"/>
      <c r="Y179" s="173"/>
      <c r="Z179" s="173"/>
      <c r="AA179" s="173"/>
    </row>
    <row r="180" spans="1:27" ht="12.75">
      <c r="A180" s="703"/>
      <c r="B180" s="703"/>
      <c r="C180" s="813"/>
      <c r="D180" s="173"/>
      <c r="E180" s="173"/>
      <c r="F180" s="173"/>
      <c r="G180" s="173"/>
      <c r="H180" s="173"/>
      <c r="I180" s="173"/>
      <c r="J180" s="173"/>
      <c r="K180" s="173"/>
      <c r="L180" s="173"/>
      <c r="M180" s="173"/>
      <c r="N180" s="173"/>
      <c r="O180" s="173"/>
      <c r="P180" s="173"/>
      <c r="Q180" s="173"/>
      <c r="R180" s="173"/>
      <c r="S180" s="173"/>
      <c r="T180" s="173"/>
      <c r="U180" s="173"/>
      <c r="V180" s="173"/>
      <c r="W180" s="173"/>
      <c r="X180" s="173"/>
      <c r="Y180" s="173"/>
      <c r="Z180" s="173"/>
      <c r="AA180" s="173"/>
    </row>
    <row r="181" spans="1:27" ht="12.75">
      <c r="A181" s="703"/>
      <c r="B181" s="703"/>
      <c r="C181" s="813"/>
      <c r="D181" s="173"/>
      <c r="E181" s="173"/>
      <c r="F181" s="173"/>
      <c r="G181" s="173"/>
      <c r="H181" s="173"/>
      <c r="I181" s="173"/>
      <c r="J181" s="173"/>
      <c r="K181" s="173"/>
      <c r="L181" s="173"/>
      <c r="M181" s="173"/>
      <c r="N181" s="173"/>
      <c r="O181" s="173"/>
      <c r="P181" s="173"/>
      <c r="Q181" s="173"/>
      <c r="R181" s="173"/>
      <c r="S181" s="173"/>
      <c r="T181" s="173"/>
      <c r="U181" s="173"/>
      <c r="V181" s="173"/>
      <c r="W181" s="173"/>
      <c r="X181" s="173"/>
      <c r="Y181" s="173"/>
      <c r="Z181" s="173"/>
      <c r="AA181" s="173"/>
    </row>
    <row r="182" spans="1:27" ht="12.75">
      <c r="A182" s="703"/>
      <c r="B182" s="703"/>
      <c r="C182" s="813"/>
      <c r="D182" s="173"/>
      <c r="E182" s="173"/>
      <c r="F182" s="173"/>
      <c r="G182" s="173"/>
      <c r="H182" s="173"/>
      <c r="I182" s="173"/>
      <c r="J182" s="173"/>
      <c r="K182" s="173"/>
      <c r="L182" s="173"/>
      <c r="M182" s="173"/>
      <c r="N182" s="173"/>
      <c r="O182" s="173"/>
      <c r="P182" s="173"/>
      <c r="Q182" s="173"/>
      <c r="R182" s="173"/>
      <c r="S182" s="173"/>
      <c r="T182" s="173"/>
      <c r="U182" s="173"/>
      <c r="V182" s="173"/>
      <c r="W182" s="173"/>
      <c r="X182" s="173"/>
      <c r="Y182" s="173"/>
      <c r="Z182" s="173"/>
      <c r="AA182" s="173"/>
    </row>
    <row r="183" spans="1:27" ht="12.75">
      <c r="A183" s="703"/>
      <c r="B183" s="703"/>
      <c r="C183" s="813"/>
      <c r="D183" s="173"/>
      <c r="E183" s="173"/>
      <c r="F183" s="173"/>
      <c r="G183" s="173"/>
      <c r="H183" s="173"/>
      <c r="I183" s="173"/>
      <c r="J183" s="173"/>
      <c r="K183" s="173"/>
      <c r="L183" s="173"/>
      <c r="M183" s="173"/>
      <c r="N183" s="173"/>
      <c r="O183" s="173"/>
      <c r="P183" s="173"/>
      <c r="Q183" s="173"/>
      <c r="R183" s="173"/>
      <c r="S183" s="173"/>
      <c r="T183" s="173"/>
      <c r="U183" s="173"/>
      <c r="V183" s="173"/>
      <c r="W183" s="173"/>
      <c r="X183" s="173"/>
      <c r="Y183" s="173"/>
      <c r="Z183" s="173"/>
      <c r="AA183" s="173"/>
    </row>
    <row r="184" spans="1:27" ht="12.75">
      <c r="A184" s="703"/>
      <c r="B184" s="703"/>
      <c r="C184" s="813"/>
      <c r="D184" s="173"/>
      <c r="E184" s="173"/>
      <c r="F184" s="173"/>
      <c r="G184" s="173"/>
      <c r="H184" s="173"/>
      <c r="I184" s="173"/>
      <c r="J184" s="173"/>
      <c r="K184" s="173"/>
      <c r="L184" s="173"/>
      <c r="M184" s="173"/>
      <c r="N184" s="173"/>
      <c r="O184" s="173"/>
      <c r="P184" s="173"/>
      <c r="Q184" s="173"/>
      <c r="R184" s="173"/>
      <c r="S184" s="173"/>
      <c r="T184" s="173"/>
      <c r="U184" s="173"/>
      <c r="V184" s="173"/>
      <c r="W184" s="173"/>
      <c r="X184" s="173"/>
      <c r="Y184" s="173"/>
      <c r="Z184" s="173"/>
      <c r="AA184" s="173"/>
    </row>
    <row r="185" spans="1:27" ht="12.75">
      <c r="A185" s="703"/>
      <c r="B185" s="703"/>
      <c r="C185" s="813"/>
      <c r="D185" s="173"/>
      <c r="E185" s="173"/>
      <c r="F185" s="173"/>
      <c r="G185" s="173"/>
      <c r="H185" s="173"/>
      <c r="I185" s="173"/>
      <c r="J185" s="173"/>
      <c r="K185" s="173"/>
      <c r="L185" s="173"/>
      <c r="M185" s="173"/>
      <c r="N185" s="173"/>
      <c r="O185" s="173"/>
      <c r="P185" s="173"/>
      <c r="Q185" s="173"/>
      <c r="R185" s="173"/>
      <c r="S185" s="173"/>
      <c r="T185" s="173"/>
      <c r="U185" s="173"/>
      <c r="V185" s="173"/>
      <c r="W185" s="173"/>
      <c r="X185" s="173"/>
      <c r="Y185" s="173"/>
      <c r="Z185" s="173"/>
      <c r="AA185" s="173"/>
    </row>
    <row r="186" spans="1:27" ht="12.75">
      <c r="A186" s="703"/>
      <c r="B186" s="703"/>
      <c r="C186" s="813"/>
      <c r="D186" s="173"/>
      <c r="E186" s="173"/>
      <c r="F186" s="173"/>
      <c r="G186" s="173"/>
      <c r="H186" s="173"/>
      <c r="I186" s="173"/>
      <c r="J186" s="173"/>
      <c r="K186" s="173"/>
      <c r="L186" s="173"/>
      <c r="M186" s="173"/>
      <c r="N186" s="173"/>
      <c r="O186" s="173"/>
      <c r="P186" s="173"/>
      <c r="Q186" s="173"/>
      <c r="R186" s="173"/>
      <c r="S186" s="173"/>
      <c r="T186" s="173"/>
      <c r="U186" s="173"/>
      <c r="V186" s="173"/>
      <c r="W186" s="173"/>
      <c r="X186" s="173"/>
      <c r="Y186" s="173"/>
      <c r="Z186" s="173"/>
      <c r="AA186" s="173"/>
    </row>
    <row r="187" spans="1:27" ht="12.75">
      <c r="A187" s="703"/>
      <c r="B187" s="703"/>
      <c r="C187" s="813"/>
      <c r="D187" s="173"/>
      <c r="E187" s="173"/>
      <c r="F187" s="173"/>
      <c r="G187" s="173"/>
      <c r="H187" s="173"/>
      <c r="I187" s="173"/>
      <c r="J187" s="173"/>
      <c r="K187" s="173"/>
      <c r="L187" s="173"/>
      <c r="M187" s="173"/>
      <c r="N187" s="173"/>
      <c r="O187" s="173"/>
      <c r="P187" s="173"/>
      <c r="Q187" s="173"/>
      <c r="R187" s="173"/>
      <c r="S187" s="173"/>
      <c r="T187" s="173"/>
      <c r="U187" s="173"/>
      <c r="V187" s="173"/>
      <c r="W187" s="173"/>
      <c r="X187" s="173"/>
      <c r="Y187" s="173"/>
      <c r="Z187" s="173"/>
      <c r="AA187" s="173"/>
    </row>
    <row r="188" spans="1:27" ht="12.75">
      <c r="A188" s="703"/>
      <c r="B188" s="703"/>
      <c r="C188" s="813"/>
      <c r="D188" s="173"/>
      <c r="E188" s="173"/>
      <c r="F188" s="173"/>
      <c r="G188" s="173"/>
      <c r="H188" s="173"/>
      <c r="I188" s="173"/>
      <c r="J188" s="173"/>
      <c r="K188" s="173"/>
      <c r="L188" s="173"/>
      <c r="M188" s="173"/>
      <c r="N188" s="173"/>
      <c r="O188" s="173"/>
      <c r="P188" s="173"/>
      <c r="Q188" s="173"/>
      <c r="R188" s="173"/>
      <c r="S188" s="173"/>
      <c r="T188" s="173"/>
      <c r="U188" s="173"/>
      <c r="V188" s="173"/>
      <c r="W188" s="173"/>
      <c r="X188" s="173"/>
      <c r="Y188" s="173"/>
      <c r="Z188" s="173"/>
      <c r="AA188" s="173"/>
    </row>
    <row r="189" spans="1:27" ht="12.75">
      <c r="A189" s="703"/>
      <c r="B189" s="703"/>
      <c r="C189" s="813"/>
      <c r="D189" s="173"/>
      <c r="E189" s="173"/>
      <c r="F189" s="173"/>
      <c r="G189" s="173"/>
      <c r="H189" s="173"/>
      <c r="I189" s="173"/>
      <c r="J189" s="173"/>
      <c r="K189" s="173"/>
      <c r="L189" s="173"/>
      <c r="M189" s="173"/>
      <c r="N189" s="173"/>
      <c r="O189" s="173"/>
      <c r="P189" s="173"/>
      <c r="Q189" s="173"/>
      <c r="R189" s="173"/>
      <c r="S189" s="173"/>
      <c r="T189" s="173"/>
      <c r="U189" s="173"/>
      <c r="V189" s="173"/>
      <c r="W189" s="173"/>
      <c r="X189" s="173"/>
      <c r="Y189" s="173"/>
      <c r="Z189" s="173"/>
      <c r="AA189" s="173"/>
    </row>
    <row r="190" spans="1:27" ht="12.75">
      <c r="A190" s="703"/>
      <c r="B190" s="703"/>
      <c r="C190" s="813"/>
      <c r="D190" s="173"/>
      <c r="E190" s="173"/>
      <c r="F190" s="173"/>
      <c r="G190" s="173"/>
      <c r="H190" s="173"/>
      <c r="I190" s="173"/>
      <c r="J190" s="173"/>
      <c r="K190" s="173"/>
      <c r="L190" s="173"/>
      <c r="M190" s="173"/>
      <c r="N190" s="173"/>
      <c r="O190" s="173"/>
      <c r="P190" s="173"/>
      <c r="Q190" s="173"/>
      <c r="R190" s="173"/>
      <c r="S190" s="173"/>
      <c r="T190" s="173"/>
      <c r="U190" s="173"/>
      <c r="V190" s="173"/>
      <c r="W190" s="173"/>
      <c r="X190" s="173"/>
      <c r="Y190" s="173"/>
      <c r="Z190" s="173"/>
      <c r="AA190" s="173"/>
    </row>
    <row r="191" spans="1:27" ht="12.75">
      <c r="A191" s="703"/>
      <c r="B191" s="703"/>
      <c r="C191" s="813"/>
      <c r="D191" s="173"/>
      <c r="E191" s="173"/>
      <c r="F191" s="173"/>
      <c r="G191" s="173"/>
      <c r="H191" s="173"/>
      <c r="I191" s="173"/>
      <c r="J191" s="173"/>
      <c r="K191" s="173"/>
      <c r="L191" s="173"/>
      <c r="M191" s="173"/>
      <c r="N191" s="173"/>
      <c r="O191" s="173"/>
      <c r="P191" s="173"/>
      <c r="Q191" s="173"/>
      <c r="R191" s="173"/>
      <c r="S191" s="173"/>
      <c r="T191" s="173"/>
      <c r="U191" s="173"/>
      <c r="V191" s="173"/>
      <c r="W191" s="173"/>
      <c r="X191" s="173"/>
      <c r="Y191" s="173"/>
      <c r="Z191" s="173"/>
      <c r="AA191" s="173"/>
    </row>
    <row r="192" spans="1:27" ht="12.75">
      <c r="A192" s="703"/>
      <c r="B192" s="703"/>
      <c r="C192" s="813"/>
      <c r="D192" s="173"/>
      <c r="E192" s="173"/>
      <c r="F192" s="173"/>
      <c r="G192" s="173"/>
      <c r="H192" s="173"/>
      <c r="I192" s="173"/>
      <c r="J192" s="173"/>
      <c r="K192" s="173"/>
      <c r="L192" s="173"/>
      <c r="M192" s="173"/>
      <c r="N192" s="173"/>
      <c r="O192" s="173"/>
      <c r="P192" s="173"/>
      <c r="Q192" s="173"/>
      <c r="R192" s="173"/>
      <c r="S192" s="173"/>
      <c r="T192" s="173"/>
      <c r="U192" s="173"/>
      <c r="V192" s="173"/>
      <c r="W192" s="173"/>
      <c r="X192" s="173"/>
      <c r="Y192" s="173"/>
      <c r="Z192" s="173"/>
      <c r="AA192" s="173"/>
    </row>
    <row r="193" spans="1:27" ht="12.75">
      <c r="A193" s="703"/>
      <c r="B193" s="703"/>
      <c r="C193" s="813"/>
      <c r="D193" s="173"/>
      <c r="E193" s="173"/>
      <c r="F193" s="173"/>
      <c r="G193" s="173"/>
      <c r="H193" s="173"/>
      <c r="I193" s="173"/>
      <c r="J193" s="173"/>
      <c r="K193" s="173"/>
      <c r="L193" s="173"/>
      <c r="M193" s="173"/>
      <c r="N193" s="173"/>
      <c r="O193" s="173"/>
      <c r="P193" s="173"/>
      <c r="Q193" s="173"/>
      <c r="R193" s="173"/>
      <c r="S193" s="173"/>
      <c r="T193" s="173"/>
      <c r="U193" s="173"/>
      <c r="V193" s="173"/>
      <c r="W193" s="173"/>
      <c r="X193" s="173"/>
      <c r="Y193" s="173"/>
      <c r="Z193" s="173"/>
      <c r="AA193" s="173"/>
    </row>
    <row r="194" spans="1:27" ht="12.75">
      <c r="A194" s="703"/>
      <c r="B194" s="703"/>
      <c r="C194" s="813"/>
      <c r="D194" s="173"/>
      <c r="E194" s="173"/>
      <c r="F194" s="173"/>
      <c r="G194" s="173"/>
      <c r="H194" s="173"/>
      <c r="I194" s="173"/>
      <c r="J194" s="173"/>
      <c r="K194" s="173"/>
      <c r="L194" s="173"/>
      <c r="M194" s="173"/>
      <c r="N194" s="173"/>
      <c r="O194" s="173"/>
      <c r="P194" s="173"/>
      <c r="Q194" s="173"/>
      <c r="R194" s="173"/>
      <c r="S194" s="173"/>
      <c r="T194" s="173"/>
      <c r="U194" s="173"/>
      <c r="V194" s="173"/>
      <c r="W194" s="173"/>
      <c r="X194" s="173"/>
      <c r="Y194" s="173"/>
      <c r="Z194" s="173"/>
      <c r="AA194" s="173"/>
    </row>
    <row r="195" spans="1:27" ht="12.75">
      <c r="A195" s="703"/>
      <c r="B195" s="703"/>
      <c r="C195" s="813"/>
      <c r="D195" s="173"/>
      <c r="E195" s="173"/>
      <c r="F195" s="173"/>
      <c r="G195" s="173"/>
      <c r="H195" s="173"/>
      <c r="I195" s="173"/>
      <c r="J195" s="173"/>
      <c r="K195" s="173"/>
      <c r="L195" s="173"/>
      <c r="M195" s="173"/>
      <c r="N195" s="173"/>
      <c r="O195" s="173"/>
      <c r="P195" s="173"/>
      <c r="Q195" s="173"/>
      <c r="R195" s="173"/>
      <c r="S195" s="173"/>
      <c r="T195" s="173"/>
      <c r="U195" s="173"/>
      <c r="V195" s="173"/>
      <c r="W195" s="173"/>
      <c r="X195" s="173"/>
      <c r="Y195" s="173"/>
      <c r="Z195" s="173"/>
      <c r="AA195" s="173"/>
    </row>
    <row r="196" spans="1:27" ht="12.75">
      <c r="A196" s="703"/>
      <c r="B196" s="703"/>
      <c r="C196" s="813"/>
      <c r="D196" s="173"/>
      <c r="E196" s="173"/>
      <c r="F196" s="173"/>
      <c r="G196" s="173"/>
      <c r="H196" s="173"/>
      <c r="I196" s="173"/>
      <c r="J196" s="173"/>
      <c r="K196" s="173"/>
      <c r="L196" s="173"/>
      <c r="M196" s="173"/>
      <c r="N196" s="173"/>
      <c r="O196" s="173"/>
      <c r="P196" s="173"/>
      <c r="Q196" s="173"/>
      <c r="R196" s="173"/>
      <c r="S196" s="173"/>
      <c r="T196" s="173"/>
      <c r="U196" s="173"/>
      <c r="V196" s="173"/>
      <c r="W196" s="173"/>
      <c r="X196" s="173"/>
      <c r="Y196" s="173"/>
      <c r="Z196" s="173"/>
      <c r="AA196" s="173"/>
    </row>
    <row r="197" spans="1:27" ht="12.75">
      <c r="A197" s="703"/>
      <c r="B197" s="703"/>
      <c r="C197" s="813"/>
      <c r="D197" s="173"/>
      <c r="E197" s="173"/>
      <c r="F197" s="173"/>
      <c r="G197" s="173"/>
      <c r="H197" s="173"/>
      <c r="I197" s="173"/>
      <c r="J197" s="173"/>
      <c r="K197" s="173"/>
      <c r="L197" s="173"/>
      <c r="M197" s="173"/>
      <c r="N197" s="173"/>
      <c r="O197" s="173"/>
      <c r="P197" s="173"/>
      <c r="Q197" s="173"/>
      <c r="R197" s="173"/>
      <c r="S197" s="173"/>
      <c r="T197" s="173"/>
      <c r="U197" s="173"/>
      <c r="V197" s="173"/>
      <c r="W197" s="173"/>
      <c r="X197" s="173"/>
      <c r="Y197" s="173"/>
      <c r="Z197" s="173"/>
      <c r="AA197" s="173"/>
    </row>
    <row r="198" spans="1:27" ht="12.75">
      <c r="A198" s="703"/>
      <c r="B198" s="703"/>
      <c r="C198" s="813"/>
      <c r="D198" s="173"/>
      <c r="E198" s="173"/>
      <c r="F198" s="173"/>
      <c r="G198" s="173"/>
      <c r="H198" s="173"/>
      <c r="I198" s="173"/>
      <c r="J198" s="173"/>
      <c r="K198" s="173"/>
      <c r="L198" s="173"/>
      <c r="M198" s="173"/>
      <c r="N198" s="173"/>
      <c r="O198" s="173"/>
      <c r="P198" s="173"/>
      <c r="Q198" s="173"/>
      <c r="R198" s="173"/>
      <c r="S198" s="173"/>
      <c r="T198" s="173"/>
      <c r="U198" s="173"/>
      <c r="V198" s="173"/>
      <c r="W198" s="173"/>
      <c r="X198" s="173"/>
      <c r="Y198" s="173"/>
      <c r="Z198" s="173"/>
      <c r="AA198" s="173"/>
    </row>
    <row r="199" spans="1:27" ht="12.75">
      <c r="A199" s="703"/>
      <c r="B199" s="703"/>
      <c r="C199" s="813"/>
      <c r="D199" s="173"/>
      <c r="E199" s="173"/>
      <c r="F199" s="173"/>
      <c r="G199" s="173"/>
      <c r="H199" s="173"/>
      <c r="I199" s="173"/>
      <c r="J199" s="173"/>
      <c r="K199" s="173"/>
      <c r="L199" s="173"/>
      <c r="M199" s="173"/>
      <c r="N199" s="173"/>
      <c r="O199" s="173"/>
      <c r="P199" s="173"/>
      <c r="Q199" s="173"/>
      <c r="R199" s="173"/>
      <c r="S199" s="173"/>
      <c r="T199" s="173"/>
      <c r="U199" s="173"/>
      <c r="V199" s="173"/>
      <c r="W199" s="173"/>
      <c r="X199" s="173"/>
      <c r="Y199" s="173"/>
      <c r="Z199" s="173"/>
      <c r="AA199" s="173"/>
    </row>
    <row r="200" spans="1:27" ht="12.75">
      <c r="A200" s="703"/>
      <c r="B200" s="703"/>
      <c r="C200" s="813"/>
      <c r="D200" s="173"/>
      <c r="E200" s="173"/>
      <c r="F200" s="173"/>
      <c r="G200" s="173"/>
      <c r="H200" s="173"/>
      <c r="I200" s="173"/>
      <c r="J200" s="173"/>
      <c r="K200" s="173"/>
      <c r="L200" s="173"/>
      <c r="M200" s="173"/>
      <c r="N200" s="173"/>
      <c r="O200" s="173"/>
      <c r="P200" s="173"/>
      <c r="Q200" s="173"/>
      <c r="R200" s="173"/>
      <c r="S200" s="173"/>
      <c r="T200" s="173"/>
      <c r="U200" s="173"/>
      <c r="V200" s="173"/>
      <c r="W200" s="173"/>
      <c r="X200" s="173"/>
      <c r="Y200" s="173"/>
      <c r="Z200" s="173"/>
      <c r="AA200" s="173"/>
    </row>
    <row r="201" spans="1:27" ht="12.75">
      <c r="A201" s="703"/>
      <c r="B201" s="703"/>
      <c r="C201" s="813"/>
      <c r="D201" s="173"/>
      <c r="E201" s="173"/>
      <c r="F201" s="173"/>
      <c r="G201" s="173"/>
      <c r="H201" s="173"/>
      <c r="I201" s="173"/>
      <c r="J201" s="173"/>
      <c r="K201" s="173"/>
      <c r="L201" s="173"/>
      <c r="M201" s="173"/>
      <c r="N201" s="173"/>
      <c r="O201" s="173"/>
      <c r="P201" s="173"/>
      <c r="Q201" s="173"/>
      <c r="R201" s="173"/>
      <c r="S201" s="173"/>
      <c r="T201" s="173"/>
      <c r="U201" s="173"/>
      <c r="V201" s="173"/>
      <c r="W201" s="173"/>
      <c r="X201" s="173"/>
      <c r="Y201" s="173"/>
      <c r="Z201" s="173"/>
      <c r="AA201" s="173"/>
    </row>
    <row r="202" spans="1:27" ht="12.75">
      <c r="A202" s="703"/>
      <c r="B202" s="703"/>
      <c r="C202" s="813"/>
      <c r="D202" s="173"/>
      <c r="E202" s="173"/>
      <c r="F202" s="173"/>
      <c r="G202" s="173"/>
      <c r="H202" s="173"/>
      <c r="I202" s="173"/>
      <c r="J202" s="173"/>
      <c r="K202" s="173"/>
      <c r="L202" s="173"/>
      <c r="M202" s="173"/>
      <c r="N202" s="173"/>
      <c r="O202" s="173"/>
      <c r="P202" s="173"/>
      <c r="Q202" s="173"/>
      <c r="R202" s="173"/>
      <c r="S202" s="173"/>
      <c r="T202" s="173"/>
      <c r="U202" s="173"/>
      <c r="V202" s="173"/>
      <c r="W202" s="173"/>
      <c r="X202" s="173"/>
      <c r="Y202" s="173"/>
      <c r="Z202" s="173"/>
      <c r="AA202" s="173"/>
    </row>
    <row r="203" spans="1:27" ht="12.75">
      <c r="A203" s="703"/>
      <c r="B203" s="703"/>
      <c r="C203" s="813"/>
      <c r="D203" s="173"/>
      <c r="E203" s="173"/>
      <c r="F203" s="173"/>
      <c r="G203" s="173"/>
      <c r="H203" s="173"/>
      <c r="I203" s="173"/>
      <c r="J203" s="173"/>
      <c r="K203" s="173"/>
      <c r="L203" s="173"/>
      <c r="M203" s="173"/>
      <c r="N203" s="173"/>
      <c r="O203" s="173"/>
      <c r="P203" s="173"/>
      <c r="Q203" s="173"/>
      <c r="R203" s="173"/>
      <c r="S203" s="173"/>
      <c r="T203" s="173"/>
      <c r="U203" s="173"/>
      <c r="V203" s="173"/>
      <c r="W203" s="173"/>
      <c r="X203" s="173"/>
      <c r="Y203" s="173"/>
      <c r="Z203" s="173"/>
      <c r="AA203" s="173"/>
    </row>
    <row r="204" spans="1:27" ht="12.75">
      <c r="A204" s="703"/>
      <c r="B204" s="703"/>
      <c r="C204" s="813"/>
      <c r="D204" s="173"/>
      <c r="E204" s="173"/>
      <c r="F204" s="173"/>
      <c r="G204" s="173"/>
      <c r="H204" s="173"/>
      <c r="I204" s="173"/>
      <c r="J204" s="173"/>
      <c r="K204" s="173"/>
      <c r="L204" s="173"/>
      <c r="M204" s="173"/>
      <c r="N204" s="173"/>
      <c r="O204" s="173"/>
      <c r="P204" s="173"/>
      <c r="Q204" s="173"/>
      <c r="R204" s="173"/>
      <c r="S204" s="173"/>
      <c r="T204" s="173"/>
      <c r="U204" s="173"/>
      <c r="V204" s="173"/>
      <c r="W204" s="173"/>
      <c r="X204" s="173"/>
      <c r="Y204" s="173"/>
      <c r="Z204" s="173"/>
      <c r="AA204" s="173"/>
    </row>
    <row r="205" spans="1:27" ht="12.75">
      <c r="A205" s="703"/>
      <c r="B205" s="703"/>
      <c r="C205" s="813"/>
      <c r="D205" s="173"/>
      <c r="E205" s="173"/>
      <c r="F205" s="173"/>
      <c r="G205" s="173"/>
      <c r="H205" s="173"/>
      <c r="I205" s="173"/>
      <c r="J205" s="173"/>
      <c r="K205" s="173"/>
      <c r="L205" s="173"/>
      <c r="M205" s="173"/>
      <c r="N205" s="173"/>
      <c r="O205" s="173"/>
      <c r="P205" s="173"/>
      <c r="Q205" s="173"/>
      <c r="R205" s="173"/>
      <c r="S205" s="173"/>
      <c r="T205" s="173"/>
      <c r="U205" s="173"/>
      <c r="V205" s="173"/>
      <c r="W205" s="173"/>
      <c r="X205" s="173"/>
      <c r="Y205" s="173"/>
      <c r="Z205" s="173"/>
      <c r="AA205" s="173"/>
    </row>
    <row r="206" spans="1:27" ht="12.75">
      <c r="A206" s="703"/>
      <c r="B206" s="703"/>
      <c r="C206" s="813"/>
      <c r="D206" s="173"/>
      <c r="E206" s="173"/>
      <c r="F206" s="173"/>
      <c r="G206" s="173"/>
      <c r="H206" s="173"/>
      <c r="I206" s="173"/>
      <c r="J206" s="173"/>
      <c r="K206" s="173"/>
      <c r="L206" s="173"/>
      <c r="M206" s="173"/>
      <c r="N206" s="173"/>
      <c r="O206" s="173"/>
      <c r="P206" s="173"/>
      <c r="Q206" s="173"/>
      <c r="R206" s="173"/>
      <c r="S206" s="173"/>
      <c r="T206" s="173"/>
      <c r="U206" s="173"/>
      <c r="V206" s="173"/>
      <c r="W206" s="173"/>
      <c r="X206" s="173"/>
      <c r="Y206" s="173"/>
      <c r="Z206" s="173"/>
      <c r="AA206" s="173"/>
    </row>
    <row r="207" spans="1:27" ht="12.75">
      <c r="A207" s="703"/>
      <c r="B207" s="703"/>
      <c r="C207" s="813"/>
      <c r="D207" s="173"/>
      <c r="E207" s="173"/>
      <c r="F207" s="173"/>
      <c r="G207" s="173"/>
      <c r="H207" s="173"/>
      <c r="I207" s="173"/>
      <c r="J207" s="173"/>
      <c r="K207" s="173"/>
      <c r="L207" s="173"/>
      <c r="M207" s="173"/>
      <c r="N207" s="173"/>
      <c r="O207" s="173"/>
      <c r="P207" s="173"/>
      <c r="Q207" s="173"/>
      <c r="R207" s="173"/>
      <c r="S207" s="173"/>
      <c r="T207" s="173"/>
      <c r="U207" s="173"/>
      <c r="V207" s="173"/>
      <c r="W207" s="173"/>
      <c r="X207" s="173"/>
      <c r="Y207" s="173"/>
      <c r="Z207" s="173"/>
      <c r="AA207" s="173"/>
    </row>
    <row r="208" spans="1:27" ht="12.75">
      <c r="A208" s="703"/>
      <c r="B208" s="703"/>
      <c r="C208" s="813"/>
      <c r="D208" s="173"/>
      <c r="E208" s="173"/>
      <c r="F208" s="173"/>
      <c r="G208" s="173"/>
      <c r="H208" s="173"/>
      <c r="I208" s="173"/>
      <c r="J208" s="173"/>
      <c r="K208" s="173"/>
      <c r="L208" s="173"/>
      <c r="M208" s="173"/>
      <c r="N208" s="173"/>
      <c r="O208" s="173"/>
      <c r="P208" s="173"/>
      <c r="Q208" s="173"/>
      <c r="R208" s="173"/>
      <c r="S208" s="173"/>
      <c r="T208" s="173"/>
      <c r="U208" s="173"/>
      <c r="V208" s="173"/>
      <c r="W208" s="173"/>
      <c r="X208" s="173"/>
      <c r="Y208" s="173"/>
      <c r="Z208" s="173"/>
      <c r="AA208" s="173"/>
    </row>
    <row r="209" spans="1:27" ht="12.75">
      <c r="A209" s="703"/>
      <c r="B209" s="703"/>
      <c r="C209" s="813"/>
      <c r="D209" s="173"/>
      <c r="E209" s="173"/>
      <c r="F209" s="173"/>
      <c r="G209" s="173"/>
      <c r="H209" s="173"/>
      <c r="I209" s="173"/>
      <c r="J209" s="173"/>
      <c r="K209" s="173"/>
      <c r="L209" s="173"/>
      <c r="M209" s="173"/>
      <c r="N209" s="173"/>
      <c r="O209" s="173"/>
      <c r="P209" s="173"/>
      <c r="Q209" s="173"/>
      <c r="R209" s="173"/>
      <c r="S209" s="173"/>
      <c r="T209" s="173"/>
      <c r="U209" s="173"/>
      <c r="V209" s="173"/>
      <c r="W209" s="173"/>
      <c r="X209" s="173"/>
      <c r="Y209" s="173"/>
      <c r="Z209" s="173"/>
      <c r="AA209" s="173"/>
    </row>
    <row r="210" spans="1:27" ht="12.75">
      <c r="A210" s="703"/>
      <c r="B210" s="703"/>
      <c r="C210" s="813"/>
      <c r="D210" s="173"/>
      <c r="E210" s="173"/>
      <c r="F210" s="173"/>
      <c r="G210" s="173"/>
      <c r="H210" s="173"/>
      <c r="I210" s="173"/>
      <c r="J210" s="173"/>
      <c r="K210" s="173"/>
      <c r="L210" s="173"/>
      <c r="M210" s="173"/>
      <c r="N210" s="173"/>
      <c r="O210" s="173"/>
      <c r="P210" s="173"/>
      <c r="Q210" s="173"/>
      <c r="R210" s="173"/>
      <c r="S210" s="173"/>
      <c r="T210" s="173"/>
      <c r="U210" s="173"/>
      <c r="V210" s="173"/>
      <c r="W210" s="173"/>
      <c r="X210" s="173"/>
      <c r="Y210" s="173"/>
      <c r="Z210" s="173"/>
      <c r="AA210" s="173"/>
    </row>
    <row r="211" spans="1:27" ht="12.75">
      <c r="A211" s="703"/>
      <c r="B211" s="703"/>
      <c r="C211" s="813"/>
      <c r="D211" s="173"/>
      <c r="E211" s="173"/>
      <c r="F211" s="173"/>
      <c r="G211" s="173"/>
      <c r="H211" s="173"/>
      <c r="I211" s="173"/>
      <c r="J211" s="173"/>
      <c r="K211" s="173"/>
      <c r="L211" s="173"/>
      <c r="M211" s="173"/>
      <c r="N211" s="173"/>
      <c r="O211" s="173"/>
      <c r="P211" s="173"/>
      <c r="Q211" s="173"/>
      <c r="R211" s="173"/>
      <c r="S211" s="173"/>
      <c r="T211" s="173"/>
      <c r="U211" s="173"/>
      <c r="V211" s="173"/>
      <c r="W211" s="173"/>
      <c r="X211" s="173"/>
      <c r="Y211" s="173"/>
      <c r="Z211" s="173"/>
      <c r="AA211" s="173"/>
    </row>
    <row r="212" spans="1:27" ht="12.75">
      <c r="A212" s="703"/>
      <c r="B212" s="703"/>
      <c r="C212" s="813"/>
      <c r="D212" s="173"/>
      <c r="E212" s="173"/>
      <c r="F212" s="173"/>
      <c r="G212" s="173"/>
      <c r="H212" s="173"/>
      <c r="I212" s="173"/>
      <c r="J212" s="173"/>
      <c r="K212" s="173"/>
      <c r="L212" s="173"/>
      <c r="M212" s="173"/>
      <c r="N212" s="173"/>
      <c r="O212" s="173"/>
      <c r="P212" s="173"/>
      <c r="Q212" s="173"/>
      <c r="R212" s="173"/>
      <c r="S212" s="173"/>
      <c r="T212" s="173"/>
      <c r="U212" s="173"/>
      <c r="V212" s="173"/>
      <c r="W212" s="173"/>
      <c r="X212" s="173"/>
      <c r="Y212" s="173"/>
      <c r="Z212" s="173"/>
      <c r="AA212" s="173"/>
    </row>
    <row r="213" spans="1:27" ht="12.75">
      <c r="A213" s="703"/>
      <c r="B213" s="703"/>
      <c r="C213" s="813"/>
      <c r="D213" s="173"/>
      <c r="E213" s="173"/>
      <c r="F213" s="173"/>
      <c r="G213" s="173"/>
      <c r="H213" s="173"/>
      <c r="I213" s="173"/>
      <c r="J213" s="173"/>
      <c r="K213" s="173"/>
      <c r="L213" s="173"/>
      <c r="M213" s="173"/>
      <c r="N213" s="173"/>
      <c r="O213" s="173"/>
      <c r="P213" s="173"/>
      <c r="Q213" s="173"/>
      <c r="R213" s="173"/>
      <c r="S213" s="173"/>
      <c r="T213" s="173"/>
      <c r="U213" s="173"/>
      <c r="V213" s="173"/>
      <c r="W213" s="173"/>
      <c r="X213" s="173"/>
      <c r="Y213" s="173"/>
      <c r="Z213" s="173"/>
      <c r="AA213" s="173"/>
    </row>
    <row r="214" spans="1:27" ht="12.75">
      <c r="A214" s="703"/>
      <c r="B214" s="703"/>
      <c r="C214" s="813"/>
      <c r="D214" s="173"/>
      <c r="E214" s="173"/>
      <c r="F214" s="173"/>
      <c r="G214" s="173"/>
      <c r="H214" s="173"/>
      <c r="I214" s="173"/>
      <c r="J214" s="173"/>
      <c r="K214" s="173"/>
      <c r="L214" s="173"/>
      <c r="M214" s="173"/>
      <c r="N214" s="173"/>
      <c r="O214" s="173"/>
      <c r="P214" s="173"/>
      <c r="Q214" s="173"/>
      <c r="R214" s="173"/>
      <c r="S214" s="173"/>
      <c r="T214" s="173"/>
      <c r="U214" s="173"/>
      <c r="V214" s="173"/>
      <c r="W214" s="173"/>
      <c r="X214" s="173"/>
      <c r="Y214" s="173"/>
      <c r="Z214" s="173"/>
      <c r="AA214" s="173"/>
    </row>
    <row r="215" spans="1:27" ht="12.75">
      <c r="A215" s="703"/>
      <c r="B215" s="703"/>
      <c r="C215" s="813"/>
      <c r="D215" s="173"/>
      <c r="E215" s="173"/>
      <c r="F215" s="173"/>
      <c r="G215" s="173"/>
      <c r="H215" s="173"/>
      <c r="I215" s="173"/>
      <c r="J215" s="173"/>
      <c r="K215" s="173"/>
      <c r="L215" s="173"/>
      <c r="M215" s="173"/>
      <c r="N215" s="173"/>
      <c r="O215" s="173"/>
      <c r="P215" s="173"/>
      <c r="Q215" s="173"/>
      <c r="R215" s="173"/>
      <c r="S215" s="173"/>
      <c r="T215" s="173"/>
      <c r="U215" s="173"/>
      <c r="V215" s="173"/>
      <c r="W215" s="173"/>
      <c r="X215" s="173"/>
      <c r="Y215" s="173"/>
      <c r="Z215" s="173"/>
      <c r="AA215" s="173"/>
    </row>
    <row r="216" spans="1:27" ht="12.75">
      <c r="A216" s="703"/>
      <c r="B216" s="703"/>
      <c r="C216" s="813"/>
      <c r="D216" s="173"/>
      <c r="E216" s="173"/>
      <c r="F216" s="173"/>
      <c r="G216" s="173"/>
      <c r="H216" s="173"/>
      <c r="I216" s="173"/>
      <c r="J216" s="173"/>
      <c r="K216" s="173"/>
      <c r="L216" s="173"/>
      <c r="M216" s="173"/>
      <c r="N216" s="173"/>
      <c r="O216" s="173"/>
      <c r="P216" s="173"/>
      <c r="Q216" s="173"/>
      <c r="R216" s="173"/>
      <c r="S216" s="173"/>
      <c r="T216" s="173"/>
      <c r="U216" s="173"/>
      <c r="V216" s="173"/>
      <c r="W216" s="173"/>
      <c r="X216" s="173"/>
      <c r="Y216" s="173"/>
      <c r="Z216" s="173"/>
      <c r="AA216" s="173"/>
    </row>
    <row r="217" spans="1:27" ht="12.75">
      <c r="A217" s="703"/>
      <c r="B217" s="703"/>
      <c r="C217" s="813"/>
      <c r="D217" s="173"/>
      <c r="E217" s="173"/>
      <c r="F217" s="173"/>
      <c r="G217" s="173"/>
      <c r="H217" s="173"/>
      <c r="I217" s="173"/>
      <c r="J217" s="173"/>
      <c r="K217" s="173"/>
      <c r="L217" s="173"/>
      <c r="M217" s="173"/>
      <c r="N217" s="173"/>
      <c r="O217" s="173"/>
      <c r="P217" s="173"/>
      <c r="Q217" s="173"/>
      <c r="R217" s="173"/>
      <c r="S217" s="173"/>
      <c r="T217" s="173"/>
      <c r="U217" s="173"/>
      <c r="V217" s="173"/>
      <c r="W217" s="173"/>
      <c r="X217" s="173"/>
      <c r="Y217" s="173"/>
      <c r="Z217" s="173"/>
      <c r="AA217" s="173"/>
    </row>
    <row r="218" spans="1:27" ht="12.75">
      <c r="A218" s="703"/>
      <c r="B218" s="703"/>
      <c r="C218" s="813"/>
      <c r="D218" s="173"/>
      <c r="E218" s="173"/>
      <c r="F218" s="173"/>
      <c r="G218" s="173"/>
      <c r="H218" s="173"/>
      <c r="I218" s="173"/>
      <c r="J218" s="173"/>
      <c r="K218" s="173"/>
      <c r="L218" s="173"/>
      <c r="M218" s="173"/>
      <c r="N218" s="173"/>
      <c r="O218" s="173"/>
      <c r="P218" s="173"/>
      <c r="Q218" s="173"/>
      <c r="R218" s="173"/>
      <c r="S218" s="173"/>
      <c r="T218" s="173"/>
      <c r="U218" s="173"/>
      <c r="V218" s="173"/>
      <c r="W218" s="173"/>
      <c r="X218" s="173"/>
      <c r="Y218" s="173"/>
      <c r="Z218" s="173"/>
      <c r="AA218" s="173"/>
    </row>
    <row r="219" spans="1:27" ht="12.75">
      <c r="A219" s="703"/>
      <c r="B219" s="703"/>
      <c r="C219" s="813"/>
      <c r="D219" s="173"/>
      <c r="E219" s="173"/>
      <c r="F219" s="173"/>
      <c r="G219" s="173"/>
      <c r="H219" s="173"/>
      <c r="I219" s="173"/>
      <c r="J219" s="173"/>
      <c r="K219" s="173"/>
      <c r="L219" s="173"/>
      <c r="M219" s="173"/>
      <c r="N219" s="173"/>
      <c r="O219" s="173"/>
      <c r="P219" s="173"/>
      <c r="Q219" s="173"/>
      <c r="R219" s="173"/>
      <c r="S219" s="173"/>
      <c r="T219" s="173"/>
      <c r="U219" s="173"/>
      <c r="V219" s="173"/>
      <c r="W219" s="173"/>
      <c r="X219" s="173"/>
      <c r="Y219" s="173"/>
      <c r="Z219" s="173"/>
      <c r="AA219" s="173"/>
    </row>
    <row r="220" spans="1:27" ht="12.75">
      <c r="A220" s="703"/>
      <c r="B220" s="703"/>
      <c r="C220" s="813"/>
      <c r="D220" s="173"/>
      <c r="E220" s="173"/>
      <c r="F220" s="173"/>
      <c r="G220" s="173"/>
      <c r="H220" s="173"/>
      <c r="I220" s="173"/>
      <c r="J220" s="173"/>
      <c r="K220" s="173"/>
      <c r="L220" s="173"/>
      <c r="M220" s="173"/>
      <c r="N220" s="173"/>
      <c r="O220" s="173"/>
      <c r="P220" s="173"/>
      <c r="Q220" s="173"/>
      <c r="R220" s="173"/>
      <c r="S220" s="173"/>
      <c r="T220" s="173"/>
      <c r="U220" s="173"/>
      <c r="V220" s="173"/>
      <c r="W220" s="173"/>
      <c r="X220" s="173"/>
      <c r="Y220" s="173"/>
      <c r="Z220" s="173"/>
      <c r="AA220" s="173"/>
    </row>
    <row r="221" spans="1:27" ht="12.75">
      <c r="A221" s="703"/>
      <c r="B221" s="703"/>
      <c r="C221" s="813"/>
      <c r="D221" s="173"/>
      <c r="E221" s="173"/>
      <c r="F221" s="173"/>
      <c r="G221" s="173"/>
      <c r="H221" s="173"/>
      <c r="I221" s="173"/>
      <c r="J221" s="173"/>
      <c r="K221" s="173"/>
      <c r="L221" s="173"/>
      <c r="M221" s="173"/>
      <c r="N221" s="173"/>
      <c r="O221" s="173"/>
      <c r="P221" s="173"/>
      <c r="Q221" s="173"/>
      <c r="R221" s="173"/>
      <c r="S221" s="173"/>
      <c r="T221" s="173"/>
      <c r="U221" s="173"/>
      <c r="V221" s="173"/>
      <c r="W221" s="173"/>
      <c r="X221" s="173"/>
      <c r="Y221" s="173"/>
      <c r="Z221" s="173"/>
      <c r="AA221" s="173"/>
    </row>
    <row r="222" spans="1:27" ht="12.75">
      <c r="A222" s="703"/>
      <c r="B222" s="703"/>
      <c r="C222" s="813"/>
      <c r="D222" s="173"/>
      <c r="E222" s="173"/>
      <c r="F222" s="173"/>
      <c r="G222" s="173"/>
      <c r="H222" s="173"/>
      <c r="I222" s="173"/>
      <c r="J222" s="173"/>
      <c r="K222" s="173"/>
      <c r="L222" s="173"/>
      <c r="M222" s="173"/>
      <c r="N222" s="173"/>
      <c r="O222" s="173"/>
      <c r="P222" s="173"/>
      <c r="Q222" s="173"/>
      <c r="R222" s="173"/>
      <c r="S222" s="173"/>
      <c r="T222" s="173"/>
      <c r="U222" s="173"/>
      <c r="V222" s="173"/>
      <c r="W222" s="173"/>
      <c r="X222" s="173"/>
      <c r="Y222" s="173"/>
      <c r="Z222" s="173"/>
      <c r="AA222" s="173"/>
    </row>
    <row r="223" spans="1:27" ht="12.75">
      <c r="A223" s="703"/>
      <c r="B223" s="703"/>
      <c r="C223" s="813"/>
      <c r="D223" s="173"/>
      <c r="E223" s="173"/>
      <c r="F223" s="173"/>
      <c r="G223" s="173"/>
      <c r="H223" s="173"/>
      <c r="I223" s="173"/>
      <c r="J223" s="173"/>
      <c r="K223" s="173"/>
      <c r="L223" s="173"/>
      <c r="M223" s="173"/>
      <c r="N223" s="173"/>
      <c r="O223" s="173"/>
      <c r="P223" s="173"/>
      <c r="Q223" s="173"/>
      <c r="R223" s="173"/>
      <c r="S223" s="173"/>
      <c r="T223" s="173"/>
      <c r="U223" s="173"/>
      <c r="V223" s="173"/>
      <c r="W223" s="173"/>
      <c r="X223" s="173"/>
      <c r="Y223" s="173"/>
      <c r="Z223" s="173"/>
      <c r="AA223" s="173"/>
    </row>
    <row r="224" spans="1:27" ht="12.75">
      <c r="A224" s="703"/>
      <c r="B224" s="703"/>
      <c r="C224" s="813"/>
      <c r="D224" s="173"/>
      <c r="E224" s="173"/>
      <c r="F224" s="173"/>
      <c r="G224" s="173"/>
      <c r="H224" s="173"/>
      <c r="I224" s="173"/>
      <c r="J224" s="173"/>
      <c r="K224" s="173"/>
      <c r="L224" s="173"/>
      <c r="M224" s="173"/>
      <c r="N224" s="173"/>
      <c r="O224" s="173"/>
      <c r="P224" s="173"/>
      <c r="Q224" s="173"/>
      <c r="R224" s="173"/>
      <c r="S224" s="173"/>
      <c r="T224" s="173"/>
      <c r="U224" s="173"/>
      <c r="V224" s="173"/>
      <c r="W224" s="173"/>
      <c r="X224" s="173"/>
      <c r="Y224" s="173"/>
      <c r="Z224" s="173"/>
      <c r="AA224" s="173"/>
    </row>
    <row r="225" spans="1:27" ht="12.75">
      <c r="A225" s="703"/>
      <c r="B225" s="703"/>
      <c r="C225" s="813"/>
      <c r="D225" s="173"/>
      <c r="E225" s="173"/>
      <c r="F225" s="173"/>
      <c r="G225" s="173"/>
      <c r="H225" s="173"/>
      <c r="I225" s="173"/>
      <c r="J225" s="173"/>
      <c r="K225" s="173"/>
      <c r="L225" s="173"/>
      <c r="M225" s="173"/>
      <c r="N225" s="173"/>
      <c r="O225" s="173"/>
      <c r="P225" s="173"/>
      <c r="Q225" s="173"/>
      <c r="R225" s="173"/>
      <c r="S225" s="173"/>
      <c r="T225" s="173"/>
      <c r="U225" s="173"/>
      <c r="V225" s="173"/>
      <c r="W225" s="173"/>
      <c r="X225" s="173"/>
      <c r="Y225" s="173"/>
      <c r="Z225" s="173"/>
      <c r="AA225" s="173"/>
    </row>
    <row r="226" spans="1:27" ht="12.75">
      <c r="A226" s="703"/>
      <c r="B226" s="703"/>
      <c r="C226" s="813"/>
      <c r="D226" s="173"/>
      <c r="E226" s="173"/>
      <c r="F226" s="173"/>
      <c r="G226" s="173"/>
      <c r="H226" s="173"/>
      <c r="I226" s="173"/>
      <c r="J226" s="173"/>
      <c r="K226" s="173"/>
      <c r="L226" s="173"/>
      <c r="M226" s="173"/>
      <c r="N226" s="173"/>
      <c r="O226" s="173"/>
      <c r="P226" s="173"/>
      <c r="Q226" s="173"/>
      <c r="R226" s="173"/>
      <c r="S226" s="173"/>
      <c r="T226" s="173"/>
      <c r="U226" s="173"/>
      <c r="V226" s="173"/>
      <c r="W226" s="173"/>
      <c r="X226" s="173"/>
      <c r="Y226" s="173"/>
      <c r="Z226" s="173"/>
      <c r="AA226" s="173"/>
    </row>
    <row r="227" spans="1:27" ht="12.75">
      <c r="A227" s="703"/>
      <c r="B227" s="703"/>
      <c r="C227" s="813"/>
      <c r="D227" s="173"/>
      <c r="E227" s="173"/>
      <c r="F227" s="173"/>
      <c r="G227" s="173"/>
      <c r="H227" s="173"/>
      <c r="I227" s="173"/>
      <c r="J227" s="173"/>
      <c r="K227" s="173"/>
      <c r="L227" s="173"/>
      <c r="M227" s="173"/>
      <c r="N227" s="173"/>
      <c r="O227" s="173"/>
      <c r="P227" s="173"/>
      <c r="Q227" s="173"/>
      <c r="R227" s="173"/>
      <c r="S227" s="173"/>
      <c r="T227" s="173"/>
      <c r="U227" s="173"/>
      <c r="V227" s="173"/>
      <c r="W227" s="173"/>
      <c r="X227" s="173"/>
      <c r="Y227" s="173"/>
      <c r="Z227" s="173"/>
      <c r="AA227" s="173"/>
    </row>
    <row r="228" spans="1:27" ht="12.75">
      <c r="A228" s="703"/>
      <c r="B228" s="703"/>
      <c r="C228" s="813"/>
      <c r="D228" s="173"/>
      <c r="E228" s="173"/>
      <c r="F228" s="173"/>
      <c r="G228" s="173"/>
      <c r="H228" s="173"/>
      <c r="I228" s="173"/>
      <c r="J228" s="173"/>
      <c r="K228" s="173"/>
      <c r="L228" s="173"/>
      <c r="M228" s="173"/>
      <c r="N228" s="173"/>
      <c r="O228" s="173"/>
      <c r="P228" s="173"/>
      <c r="Q228" s="173"/>
      <c r="R228" s="173"/>
      <c r="S228" s="173"/>
      <c r="T228" s="173"/>
      <c r="U228" s="173"/>
      <c r="V228" s="173"/>
      <c r="W228" s="173"/>
      <c r="X228" s="173"/>
      <c r="Y228" s="173"/>
      <c r="Z228" s="173"/>
      <c r="AA228" s="173"/>
    </row>
    <row r="229" spans="1:27" ht="12.75">
      <c r="A229" s="703"/>
      <c r="B229" s="703"/>
      <c r="C229" s="813"/>
      <c r="D229" s="173"/>
      <c r="E229" s="173"/>
      <c r="F229" s="173"/>
      <c r="G229" s="173"/>
      <c r="H229" s="173"/>
      <c r="I229" s="173"/>
      <c r="J229" s="173"/>
      <c r="K229" s="173"/>
      <c r="L229" s="173"/>
      <c r="M229" s="173"/>
      <c r="N229" s="173"/>
      <c r="O229" s="173"/>
      <c r="P229" s="173"/>
      <c r="Q229" s="173"/>
      <c r="R229" s="173"/>
      <c r="S229" s="173"/>
      <c r="T229" s="173"/>
      <c r="U229" s="173"/>
      <c r="V229" s="173"/>
      <c r="W229" s="173"/>
      <c r="X229" s="173"/>
      <c r="Y229" s="173"/>
      <c r="Z229" s="173"/>
      <c r="AA229" s="173"/>
    </row>
    <row r="230" spans="1:27" ht="12.75">
      <c r="A230" s="703"/>
      <c r="B230" s="703"/>
      <c r="C230" s="813"/>
      <c r="D230" s="173"/>
      <c r="E230" s="173"/>
      <c r="F230" s="173"/>
      <c r="G230" s="173"/>
      <c r="H230" s="173"/>
      <c r="I230" s="173"/>
      <c r="J230" s="173"/>
      <c r="K230" s="173"/>
      <c r="L230" s="173"/>
      <c r="M230" s="173"/>
      <c r="N230" s="173"/>
      <c r="O230" s="173"/>
      <c r="P230" s="173"/>
      <c r="Q230" s="173"/>
      <c r="R230" s="173"/>
      <c r="S230" s="173"/>
      <c r="T230" s="173"/>
      <c r="U230" s="173"/>
      <c r="V230" s="173"/>
      <c r="W230" s="173"/>
      <c r="X230" s="173"/>
      <c r="Y230" s="173"/>
      <c r="Z230" s="173"/>
      <c r="AA230" s="173"/>
    </row>
    <row r="231" spans="1:27" ht="12.75">
      <c r="A231" s="703"/>
      <c r="B231" s="703"/>
      <c r="C231" s="813"/>
      <c r="D231" s="173"/>
      <c r="E231" s="173"/>
      <c r="F231" s="173"/>
      <c r="G231" s="173"/>
      <c r="H231" s="173"/>
      <c r="I231" s="173"/>
      <c r="J231" s="173"/>
      <c r="K231" s="173"/>
      <c r="L231" s="173"/>
      <c r="M231" s="173"/>
      <c r="N231" s="173"/>
      <c r="O231" s="173"/>
      <c r="P231" s="173"/>
      <c r="Q231" s="173"/>
      <c r="R231" s="173"/>
      <c r="S231" s="173"/>
      <c r="T231" s="173"/>
      <c r="U231" s="173"/>
      <c r="V231" s="173"/>
      <c r="W231" s="173"/>
      <c r="X231" s="173"/>
      <c r="Y231" s="173"/>
      <c r="Z231" s="173"/>
      <c r="AA231" s="173"/>
    </row>
    <row r="232" spans="1:27" ht="12.75">
      <c r="A232" s="703"/>
      <c r="B232" s="703"/>
      <c r="C232" s="813"/>
      <c r="D232" s="173"/>
      <c r="E232" s="173"/>
      <c r="F232" s="173"/>
      <c r="G232" s="173"/>
      <c r="H232" s="173"/>
      <c r="I232" s="173"/>
      <c r="J232" s="173"/>
      <c r="K232" s="173"/>
      <c r="L232" s="173"/>
      <c r="M232" s="173"/>
      <c r="N232" s="173"/>
      <c r="O232" s="173"/>
      <c r="P232" s="173"/>
      <c r="Q232" s="173"/>
      <c r="R232" s="173"/>
      <c r="S232" s="173"/>
      <c r="T232" s="173"/>
      <c r="U232" s="173"/>
      <c r="V232" s="173"/>
      <c r="W232" s="173"/>
      <c r="X232" s="173"/>
      <c r="Y232" s="173"/>
      <c r="Z232" s="173"/>
      <c r="AA232" s="173"/>
    </row>
    <row r="233" spans="1:27" ht="12.75">
      <c r="A233" s="703"/>
      <c r="B233" s="703"/>
      <c r="C233" s="813"/>
      <c r="D233" s="173"/>
      <c r="E233" s="173"/>
      <c r="F233" s="173"/>
      <c r="G233" s="173"/>
      <c r="H233" s="173"/>
      <c r="I233" s="173"/>
      <c r="J233" s="173"/>
      <c r="K233" s="173"/>
      <c r="L233" s="173"/>
      <c r="M233" s="173"/>
      <c r="N233" s="173"/>
      <c r="O233" s="173"/>
      <c r="P233" s="173"/>
      <c r="Q233" s="173"/>
      <c r="R233" s="173"/>
      <c r="S233" s="173"/>
      <c r="T233" s="173"/>
      <c r="U233" s="173"/>
      <c r="V233" s="173"/>
      <c r="W233" s="173"/>
      <c r="X233" s="173"/>
      <c r="Y233" s="173"/>
      <c r="Z233" s="173"/>
      <c r="AA233" s="173"/>
    </row>
    <row r="234" spans="1:27" ht="12.75">
      <c r="A234" s="703"/>
      <c r="B234" s="703"/>
      <c r="C234" s="813"/>
      <c r="D234" s="173"/>
      <c r="E234" s="173"/>
      <c r="F234" s="173"/>
      <c r="G234" s="173"/>
      <c r="H234" s="173"/>
      <c r="I234" s="173"/>
      <c r="J234" s="173"/>
      <c r="K234" s="173"/>
      <c r="L234" s="173"/>
      <c r="M234" s="173"/>
      <c r="N234" s="173"/>
      <c r="O234" s="173"/>
      <c r="P234" s="173"/>
      <c r="Q234" s="173"/>
      <c r="R234" s="173"/>
      <c r="S234" s="173"/>
      <c r="T234" s="173"/>
      <c r="U234" s="173"/>
      <c r="V234" s="173"/>
      <c r="W234" s="173"/>
      <c r="X234" s="173"/>
      <c r="Y234" s="173"/>
      <c r="Z234" s="173"/>
      <c r="AA234" s="173"/>
    </row>
    <row r="235" spans="1:27" ht="12.75">
      <c r="A235" s="703"/>
      <c r="B235" s="703"/>
      <c r="C235" s="813"/>
      <c r="D235" s="173"/>
      <c r="E235" s="173"/>
      <c r="F235" s="173"/>
      <c r="G235" s="173"/>
      <c r="H235" s="173"/>
      <c r="I235" s="173"/>
      <c r="J235" s="173"/>
      <c r="K235" s="173"/>
      <c r="L235" s="173"/>
      <c r="M235" s="173"/>
      <c r="N235" s="173"/>
      <c r="O235" s="173"/>
      <c r="P235" s="173"/>
      <c r="Q235" s="173"/>
      <c r="R235" s="173"/>
      <c r="S235" s="173"/>
      <c r="T235" s="173"/>
      <c r="U235" s="173"/>
      <c r="V235" s="173"/>
      <c r="W235" s="173"/>
      <c r="X235" s="173"/>
      <c r="Y235" s="173"/>
      <c r="Z235" s="173"/>
      <c r="AA235" s="173"/>
    </row>
    <row r="236" spans="1:27" ht="12.75">
      <c r="A236" s="703"/>
      <c r="B236" s="703"/>
      <c r="C236" s="813"/>
      <c r="D236" s="173"/>
      <c r="E236" s="173"/>
      <c r="F236" s="173"/>
      <c r="G236" s="173"/>
      <c r="H236" s="173"/>
      <c r="I236" s="173"/>
      <c r="J236" s="173"/>
      <c r="K236" s="173"/>
      <c r="L236" s="173"/>
      <c r="M236" s="173"/>
      <c r="N236" s="173"/>
      <c r="O236" s="173"/>
      <c r="P236" s="173"/>
      <c r="Q236" s="173"/>
      <c r="R236" s="173"/>
      <c r="S236" s="173"/>
      <c r="T236" s="173"/>
      <c r="U236" s="173"/>
      <c r="V236" s="173"/>
      <c r="W236" s="173"/>
      <c r="X236" s="173"/>
      <c r="Y236" s="173"/>
      <c r="Z236" s="173"/>
      <c r="AA236" s="173"/>
    </row>
    <row r="237" spans="1:27" ht="12.75">
      <c r="A237" s="703"/>
      <c r="B237" s="703"/>
      <c r="C237" s="813"/>
      <c r="D237" s="173"/>
      <c r="E237" s="173"/>
      <c r="F237" s="173"/>
      <c r="G237" s="173"/>
      <c r="H237" s="173"/>
      <c r="I237" s="173"/>
      <c r="J237" s="173"/>
      <c r="K237" s="173"/>
      <c r="L237" s="173"/>
      <c r="M237" s="173"/>
      <c r="N237" s="173"/>
      <c r="O237" s="173"/>
      <c r="P237" s="173"/>
      <c r="Q237" s="173"/>
      <c r="R237" s="173"/>
      <c r="S237" s="173"/>
      <c r="T237" s="173"/>
      <c r="U237" s="173"/>
      <c r="V237" s="173"/>
      <c r="W237" s="173"/>
      <c r="X237" s="173"/>
      <c r="Y237" s="173"/>
      <c r="Z237" s="173"/>
      <c r="AA237" s="173"/>
    </row>
    <row r="238" spans="1:27" ht="12.75">
      <c r="A238" s="703"/>
      <c r="B238" s="703"/>
      <c r="C238" s="813"/>
      <c r="D238" s="173"/>
      <c r="E238" s="173"/>
      <c r="F238" s="173"/>
      <c r="G238" s="173"/>
      <c r="H238" s="173"/>
      <c r="I238" s="173"/>
      <c r="J238" s="173"/>
      <c r="K238" s="173"/>
      <c r="L238" s="173"/>
      <c r="M238" s="173"/>
      <c r="N238" s="173"/>
      <c r="O238" s="173"/>
      <c r="P238" s="173"/>
      <c r="Q238" s="173"/>
      <c r="R238" s="173"/>
      <c r="S238" s="173"/>
      <c r="T238" s="173"/>
      <c r="U238" s="173"/>
      <c r="V238" s="173"/>
      <c r="W238" s="173"/>
      <c r="X238" s="173"/>
      <c r="Y238" s="173"/>
      <c r="Z238" s="173"/>
      <c r="AA238" s="173"/>
    </row>
    <row r="239" spans="1:27" ht="12.75">
      <c r="A239" s="703"/>
      <c r="B239" s="703"/>
      <c r="C239" s="813"/>
      <c r="D239" s="173"/>
      <c r="E239" s="173"/>
      <c r="F239" s="173"/>
      <c r="G239" s="173"/>
      <c r="H239" s="173"/>
      <c r="I239" s="173"/>
      <c r="J239" s="173"/>
      <c r="K239" s="173"/>
      <c r="L239" s="173"/>
      <c r="M239" s="173"/>
      <c r="N239" s="173"/>
      <c r="O239" s="173"/>
      <c r="P239" s="173"/>
      <c r="Q239" s="173"/>
      <c r="R239" s="173"/>
      <c r="S239" s="173"/>
      <c r="T239" s="173"/>
      <c r="U239" s="173"/>
      <c r="V239" s="173"/>
      <c r="W239" s="173"/>
      <c r="X239" s="173"/>
      <c r="Y239" s="173"/>
      <c r="Z239" s="173"/>
      <c r="AA239" s="173"/>
    </row>
    <row r="240" spans="1:27" ht="12.75">
      <c r="A240" s="703"/>
      <c r="B240" s="703"/>
      <c r="C240" s="813"/>
      <c r="D240" s="173"/>
      <c r="E240" s="173"/>
      <c r="F240" s="173"/>
      <c r="G240" s="173"/>
      <c r="H240" s="173"/>
      <c r="I240" s="173"/>
      <c r="J240" s="173"/>
      <c r="K240" s="173"/>
      <c r="L240" s="173"/>
      <c r="M240" s="173"/>
      <c r="N240" s="173"/>
      <c r="O240" s="173"/>
      <c r="P240" s="173"/>
      <c r="Q240" s="173"/>
      <c r="R240" s="173"/>
      <c r="S240" s="173"/>
      <c r="T240" s="173"/>
      <c r="U240" s="173"/>
      <c r="V240" s="173"/>
      <c r="W240" s="173"/>
      <c r="X240" s="173"/>
      <c r="Y240" s="173"/>
      <c r="Z240" s="173"/>
      <c r="AA240" s="173"/>
    </row>
    <row r="241" spans="1:27" ht="12.75">
      <c r="A241" s="703"/>
      <c r="B241" s="703"/>
      <c r="C241" s="813"/>
      <c r="D241" s="173"/>
      <c r="E241" s="173"/>
      <c r="F241" s="173"/>
      <c r="G241" s="173"/>
      <c r="H241" s="173"/>
      <c r="I241" s="173"/>
      <c r="J241" s="173"/>
      <c r="K241" s="173"/>
      <c r="L241" s="173"/>
      <c r="M241" s="173"/>
      <c r="N241" s="173"/>
      <c r="O241" s="173"/>
      <c r="P241" s="173"/>
      <c r="Q241" s="173"/>
      <c r="R241" s="173"/>
      <c r="S241" s="173"/>
      <c r="T241" s="173"/>
      <c r="U241" s="173"/>
      <c r="V241" s="173"/>
      <c r="W241" s="173"/>
      <c r="X241" s="173"/>
      <c r="Y241" s="173"/>
      <c r="Z241" s="173"/>
      <c r="AA241" s="173"/>
    </row>
    <row r="242" spans="1:27" ht="12.75">
      <c r="A242" s="703"/>
      <c r="B242" s="703"/>
      <c r="C242" s="813"/>
      <c r="D242" s="173"/>
      <c r="E242" s="173"/>
      <c r="F242" s="173"/>
      <c r="G242" s="173"/>
      <c r="H242" s="173"/>
      <c r="I242" s="173"/>
      <c r="J242" s="173"/>
      <c r="K242" s="173"/>
      <c r="L242" s="173"/>
      <c r="M242" s="173"/>
      <c r="N242" s="173"/>
      <c r="O242" s="173"/>
      <c r="P242" s="173"/>
      <c r="Q242" s="173"/>
      <c r="R242" s="173"/>
      <c r="S242" s="173"/>
      <c r="T242" s="173"/>
      <c r="U242" s="173"/>
      <c r="V242" s="173"/>
      <c r="W242" s="173"/>
      <c r="X242" s="173"/>
      <c r="Y242" s="173"/>
      <c r="Z242" s="173"/>
      <c r="AA242" s="173"/>
    </row>
    <row r="243" spans="1:27" ht="12.75">
      <c r="A243" s="703"/>
      <c r="B243" s="703"/>
      <c r="C243" s="813"/>
      <c r="D243" s="173"/>
      <c r="E243" s="173"/>
      <c r="F243" s="173"/>
      <c r="G243" s="173"/>
      <c r="H243" s="173"/>
      <c r="I243" s="173"/>
      <c r="J243" s="173"/>
      <c r="K243" s="173"/>
      <c r="L243" s="173"/>
      <c r="M243" s="173"/>
      <c r="N243" s="173"/>
      <c r="O243" s="173"/>
      <c r="P243" s="173"/>
      <c r="Q243" s="173"/>
      <c r="R243" s="173"/>
      <c r="S243" s="173"/>
      <c r="T243" s="173"/>
      <c r="U243" s="173"/>
      <c r="V243" s="173"/>
      <c r="W243" s="173"/>
      <c r="X243" s="173"/>
      <c r="Y243" s="173"/>
      <c r="Z243" s="173"/>
      <c r="AA243" s="173"/>
    </row>
    <row r="244" spans="1:27" ht="12.75">
      <c r="A244" s="703"/>
      <c r="B244" s="703"/>
      <c r="C244" s="813"/>
      <c r="D244" s="173"/>
      <c r="E244" s="173"/>
      <c r="F244" s="173"/>
      <c r="G244" s="173"/>
      <c r="H244" s="173"/>
      <c r="I244" s="173"/>
      <c r="J244" s="173"/>
      <c r="K244" s="173"/>
      <c r="L244" s="173"/>
      <c r="M244" s="173"/>
      <c r="N244" s="173"/>
      <c r="O244" s="173"/>
      <c r="P244" s="173"/>
      <c r="Q244" s="173"/>
      <c r="R244" s="173"/>
      <c r="S244" s="173"/>
      <c r="T244" s="173"/>
      <c r="U244" s="173"/>
      <c r="V244" s="173"/>
      <c r="W244" s="173"/>
      <c r="X244" s="173"/>
      <c r="Y244" s="173"/>
      <c r="Z244" s="173"/>
      <c r="AA244" s="173"/>
    </row>
    <row r="245" spans="1:27" ht="12.75">
      <c r="A245" s="703"/>
      <c r="B245" s="703"/>
      <c r="C245" s="813"/>
      <c r="D245" s="173"/>
      <c r="E245" s="173"/>
      <c r="F245" s="173"/>
      <c r="G245" s="173"/>
      <c r="H245" s="173"/>
      <c r="I245" s="173"/>
      <c r="J245" s="173"/>
      <c r="K245" s="173"/>
      <c r="L245" s="173"/>
      <c r="M245" s="173"/>
      <c r="N245" s="173"/>
      <c r="O245" s="173"/>
      <c r="P245" s="173"/>
      <c r="Q245" s="173"/>
      <c r="R245" s="173"/>
      <c r="S245" s="173"/>
      <c r="T245" s="173"/>
      <c r="U245" s="173"/>
      <c r="V245" s="173"/>
      <c r="W245" s="173"/>
      <c r="X245" s="173"/>
      <c r="Y245" s="173"/>
      <c r="Z245" s="173"/>
      <c r="AA245" s="173"/>
    </row>
    <row r="246" spans="1:27" ht="18.75">
      <c r="A246" s="828"/>
      <c r="B246" s="828"/>
      <c r="C246" s="829"/>
    </row>
    <row r="247" spans="1:27" ht="18.75">
      <c r="A247" s="828"/>
      <c r="B247" s="828"/>
      <c r="C247" s="829"/>
    </row>
    <row r="248" spans="1:27" ht="18.75">
      <c r="A248" s="828"/>
      <c r="B248" s="828"/>
      <c r="C248" s="829"/>
    </row>
    <row r="249" spans="1:27" ht="18.75">
      <c r="A249" s="828"/>
      <c r="B249" s="828"/>
      <c r="C249" s="829"/>
    </row>
    <row r="250" spans="1:27" ht="18.75">
      <c r="A250" s="828"/>
      <c r="B250" s="828"/>
      <c r="C250" s="829"/>
    </row>
    <row r="251" spans="1:27" ht="18.75">
      <c r="A251" s="828"/>
      <c r="B251" s="828"/>
      <c r="C251" s="829"/>
    </row>
    <row r="252" spans="1:27" ht="18.75">
      <c r="A252" s="828"/>
      <c r="B252" s="828"/>
      <c r="C252" s="829"/>
    </row>
    <row r="253" spans="1:27" ht="18.75">
      <c r="A253" s="828"/>
      <c r="B253" s="828"/>
      <c r="C253" s="829"/>
    </row>
    <row r="254" spans="1:27" ht="18.75">
      <c r="A254" s="828"/>
      <c r="B254" s="828"/>
      <c r="C254" s="829"/>
    </row>
    <row r="255" spans="1:27" ht="18.75">
      <c r="A255" s="828"/>
      <c r="B255" s="828"/>
      <c r="C255" s="829"/>
    </row>
    <row r="256" spans="1:27" ht="18.75">
      <c r="A256" s="828"/>
      <c r="B256" s="828"/>
      <c r="C256" s="829"/>
    </row>
    <row r="257" spans="1:3" ht="18.75">
      <c r="A257" s="828"/>
      <c r="B257" s="828"/>
      <c r="C257" s="829"/>
    </row>
    <row r="258" spans="1:3" ht="18.75">
      <c r="A258" s="828"/>
      <c r="B258" s="828"/>
      <c r="C258" s="829"/>
    </row>
    <row r="259" spans="1:3" ht="18.75">
      <c r="A259" s="828"/>
      <c r="B259" s="828"/>
      <c r="C259" s="829"/>
    </row>
    <row r="260" spans="1:3" ht="18.75">
      <c r="A260" s="828"/>
      <c r="B260" s="828"/>
      <c r="C260" s="829"/>
    </row>
    <row r="261" spans="1:3" ht="18.75">
      <c r="A261" s="828"/>
      <c r="B261" s="828"/>
      <c r="C261" s="829"/>
    </row>
    <row r="262" spans="1:3" ht="18.75">
      <c r="A262" s="828"/>
      <c r="B262" s="828"/>
      <c r="C262" s="829"/>
    </row>
    <row r="263" spans="1:3" ht="18.75">
      <c r="A263" s="828"/>
      <c r="B263" s="828"/>
      <c r="C263" s="829"/>
    </row>
    <row r="264" spans="1:3" ht="18.75">
      <c r="A264" s="828"/>
      <c r="B264" s="828"/>
      <c r="C264" s="829"/>
    </row>
    <row r="265" spans="1:3" ht="18.75">
      <c r="A265" s="828"/>
      <c r="B265" s="828"/>
      <c r="C265" s="829"/>
    </row>
    <row r="266" spans="1:3" ht="18.75">
      <c r="A266" s="828"/>
      <c r="B266" s="828"/>
      <c r="C266" s="829"/>
    </row>
    <row r="267" spans="1:3" ht="18.75">
      <c r="A267" s="828"/>
      <c r="B267" s="828"/>
      <c r="C267" s="829"/>
    </row>
    <row r="268" spans="1:3" ht="18.75">
      <c r="A268" s="828"/>
      <c r="B268" s="828"/>
      <c r="C268" s="829"/>
    </row>
    <row r="269" spans="1:3" ht="18.75">
      <c r="A269" s="828"/>
      <c r="B269" s="828"/>
      <c r="C269" s="829"/>
    </row>
    <row r="270" spans="1:3" ht="18.75">
      <c r="A270" s="828"/>
      <c r="B270" s="828"/>
      <c r="C270" s="829"/>
    </row>
    <row r="271" spans="1:3" ht="18.75">
      <c r="A271" s="828"/>
      <c r="B271" s="828"/>
      <c r="C271" s="829"/>
    </row>
    <row r="272" spans="1:3" ht="18.75">
      <c r="A272" s="828"/>
      <c r="B272" s="828"/>
      <c r="C272" s="829"/>
    </row>
    <row r="273" spans="1:3" ht="18.75">
      <c r="A273" s="828"/>
      <c r="B273" s="828"/>
      <c r="C273" s="829"/>
    </row>
    <row r="274" spans="1:3" ht="18.75">
      <c r="A274" s="828"/>
      <c r="B274" s="828"/>
      <c r="C274" s="829"/>
    </row>
    <row r="275" spans="1:3" ht="18.75">
      <c r="A275" s="828"/>
      <c r="B275" s="828"/>
      <c r="C275" s="829"/>
    </row>
    <row r="276" spans="1:3" ht="18.75">
      <c r="A276" s="828"/>
      <c r="B276" s="828"/>
      <c r="C276" s="829"/>
    </row>
    <row r="277" spans="1:3" ht="18.75">
      <c r="A277" s="828"/>
      <c r="B277" s="828"/>
      <c r="C277" s="829"/>
    </row>
    <row r="278" spans="1:3" ht="18.75">
      <c r="A278" s="828"/>
      <c r="B278" s="828"/>
      <c r="C278" s="829"/>
    </row>
    <row r="279" spans="1:3" ht="18.75">
      <c r="A279" s="828"/>
      <c r="B279" s="828"/>
      <c r="C279" s="829"/>
    </row>
    <row r="280" spans="1:3" ht="18.75">
      <c r="A280" s="828"/>
      <c r="B280" s="828"/>
      <c r="C280" s="829"/>
    </row>
    <row r="281" spans="1:3" ht="18.75">
      <c r="A281" s="828"/>
      <c r="B281" s="828"/>
      <c r="C281" s="829"/>
    </row>
    <row r="282" spans="1:3" ht="18.75">
      <c r="A282" s="828"/>
      <c r="B282" s="828"/>
      <c r="C282" s="829"/>
    </row>
    <row r="283" spans="1:3" ht="18.75">
      <c r="A283" s="828"/>
      <c r="B283" s="828"/>
      <c r="C283" s="829"/>
    </row>
    <row r="284" spans="1:3" ht="18.75">
      <c r="A284" s="828"/>
      <c r="B284" s="828"/>
      <c r="C284" s="829"/>
    </row>
    <row r="285" spans="1:3" ht="18.75">
      <c r="A285" s="828"/>
      <c r="B285" s="828"/>
      <c r="C285" s="829"/>
    </row>
    <row r="286" spans="1:3" ht="18.75">
      <c r="A286" s="828"/>
      <c r="B286" s="828"/>
      <c r="C286" s="829"/>
    </row>
    <row r="287" spans="1:3" ht="18.75">
      <c r="A287" s="828"/>
      <c r="B287" s="828"/>
      <c r="C287" s="829"/>
    </row>
    <row r="288" spans="1:3" ht="18.75">
      <c r="A288" s="828"/>
      <c r="B288" s="828"/>
      <c r="C288" s="829"/>
    </row>
    <row r="289" spans="1:3" ht="18.75">
      <c r="A289" s="828"/>
      <c r="B289" s="828"/>
      <c r="C289" s="829"/>
    </row>
    <row r="290" spans="1:3" ht="18.75">
      <c r="A290" s="828"/>
      <c r="B290" s="828"/>
      <c r="C290" s="829"/>
    </row>
    <row r="291" spans="1:3" ht="18.75">
      <c r="A291" s="828"/>
      <c r="B291" s="828"/>
      <c r="C291" s="829"/>
    </row>
    <row r="292" spans="1:3" ht="18.75">
      <c r="A292" s="828"/>
      <c r="B292" s="828"/>
      <c r="C292" s="829"/>
    </row>
    <row r="293" spans="1:3" ht="18.75">
      <c r="A293" s="828"/>
      <c r="B293" s="828"/>
      <c r="C293" s="829"/>
    </row>
    <row r="294" spans="1:3" ht="18.75">
      <c r="A294" s="828"/>
      <c r="B294" s="828"/>
      <c r="C294" s="829"/>
    </row>
    <row r="295" spans="1:3" ht="18.75">
      <c r="A295" s="828"/>
      <c r="B295" s="828"/>
      <c r="C295" s="829"/>
    </row>
    <row r="296" spans="1:3" ht="18.75">
      <c r="A296" s="828"/>
      <c r="B296" s="828"/>
      <c r="C296" s="829"/>
    </row>
    <row r="297" spans="1:3" ht="18.75">
      <c r="A297" s="828"/>
      <c r="B297" s="828"/>
      <c r="C297" s="829"/>
    </row>
    <row r="298" spans="1:3" ht="18.75">
      <c r="A298" s="828"/>
      <c r="B298" s="828"/>
      <c r="C298" s="829"/>
    </row>
    <row r="299" spans="1:3" ht="18.75">
      <c r="A299" s="828"/>
      <c r="B299" s="828"/>
      <c r="C299" s="829"/>
    </row>
    <row r="300" spans="1:3" ht="18.75">
      <c r="A300" s="828"/>
      <c r="B300" s="828"/>
      <c r="C300" s="829"/>
    </row>
    <row r="301" spans="1:3" ht="18.75">
      <c r="A301" s="828"/>
      <c r="B301" s="828"/>
      <c r="C301" s="829"/>
    </row>
    <row r="302" spans="1:3" ht="18.75">
      <c r="A302" s="828"/>
      <c r="B302" s="828"/>
      <c r="C302" s="829"/>
    </row>
    <row r="303" spans="1:3" ht="18.75">
      <c r="A303" s="828"/>
      <c r="B303" s="828"/>
      <c r="C303" s="829"/>
    </row>
    <row r="304" spans="1:3" ht="18.75">
      <c r="A304" s="828"/>
      <c r="B304" s="828"/>
      <c r="C304" s="829"/>
    </row>
    <row r="305" spans="1:3" ht="18.75">
      <c r="A305" s="828"/>
      <c r="B305" s="828"/>
      <c r="C305" s="829"/>
    </row>
    <row r="306" spans="1:3" ht="18.75">
      <c r="A306" s="828"/>
      <c r="B306" s="828"/>
      <c r="C306" s="829"/>
    </row>
    <row r="307" spans="1:3" ht="18.75">
      <c r="A307" s="828"/>
      <c r="B307" s="828"/>
      <c r="C307" s="829"/>
    </row>
    <row r="308" spans="1:3" ht="18.75">
      <c r="A308" s="828"/>
      <c r="B308" s="828"/>
      <c r="C308" s="829"/>
    </row>
    <row r="309" spans="1:3" ht="18.75">
      <c r="A309" s="828"/>
      <c r="B309" s="828"/>
      <c r="C309" s="829"/>
    </row>
    <row r="310" spans="1:3" ht="18.75">
      <c r="A310" s="828"/>
      <c r="B310" s="828"/>
      <c r="C310" s="829"/>
    </row>
    <row r="311" spans="1:3" ht="18.75">
      <c r="A311" s="828"/>
      <c r="B311" s="828"/>
      <c r="C311" s="829"/>
    </row>
    <row r="312" spans="1:3" ht="18.75">
      <c r="A312" s="828"/>
      <c r="B312" s="828"/>
      <c r="C312" s="829"/>
    </row>
    <row r="313" spans="1:3" ht="18.75">
      <c r="A313" s="828"/>
      <c r="B313" s="828"/>
      <c r="C313" s="829"/>
    </row>
    <row r="314" spans="1:3" ht="18.75">
      <c r="A314" s="828"/>
      <c r="B314" s="828"/>
      <c r="C314" s="829"/>
    </row>
    <row r="315" spans="1:3" ht="18.75">
      <c r="A315" s="828"/>
      <c r="B315" s="828"/>
      <c r="C315" s="829"/>
    </row>
    <row r="316" spans="1:3" ht="18.75">
      <c r="A316" s="828"/>
      <c r="B316" s="828"/>
      <c r="C316" s="829"/>
    </row>
    <row r="317" spans="1:3" ht="18.75">
      <c r="A317" s="828"/>
      <c r="B317" s="828"/>
      <c r="C317" s="829"/>
    </row>
    <row r="318" spans="1:3" ht="18.75">
      <c r="A318" s="828"/>
      <c r="B318" s="828"/>
      <c r="C318" s="829"/>
    </row>
    <row r="319" spans="1:3" ht="18.75">
      <c r="A319" s="828"/>
      <c r="B319" s="828"/>
      <c r="C319" s="829"/>
    </row>
    <row r="320" spans="1:3" ht="18.75">
      <c r="A320" s="828"/>
      <c r="B320" s="828"/>
      <c r="C320" s="829"/>
    </row>
    <row r="321" spans="1:3" ht="18.75">
      <c r="A321" s="828"/>
      <c r="B321" s="828"/>
      <c r="C321" s="829"/>
    </row>
    <row r="322" spans="1:3" ht="18.75">
      <c r="A322" s="828"/>
      <c r="B322" s="828"/>
      <c r="C322" s="829"/>
    </row>
    <row r="323" spans="1:3" ht="18.75">
      <c r="A323" s="828"/>
      <c r="B323" s="828"/>
      <c r="C323" s="829"/>
    </row>
    <row r="324" spans="1:3" ht="18.75">
      <c r="A324" s="828"/>
      <c r="B324" s="828"/>
      <c r="C324" s="829"/>
    </row>
    <row r="325" spans="1:3" ht="18.75">
      <c r="A325" s="828"/>
      <c r="B325" s="828"/>
      <c r="C325" s="829"/>
    </row>
    <row r="326" spans="1:3" ht="18.75">
      <c r="A326" s="828"/>
      <c r="B326" s="828"/>
      <c r="C326" s="829"/>
    </row>
    <row r="327" spans="1:3" ht="18.75">
      <c r="A327" s="828"/>
      <c r="B327" s="828"/>
      <c r="C327" s="829"/>
    </row>
    <row r="328" spans="1:3" ht="18.75">
      <c r="A328" s="828"/>
      <c r="B328" s="828"/>
      <c r="C328" s="829"/>
    </row>
    <row r="329" spans="1:3" ht="18.75">
      <c r="A329" s="828"/>
      <c r="B329" s="828"/>
      <c r="C329" s="829"/>
    </row>
    <row r="330" spans="1:3" ht="18.75">
      <c r="A330" s="828"/>
      <c r="B330" s="828"/>
      <c r="C330" s="829"/>
    </row>
    <row r="331" spans="1:3" ht="18.75">
      <c r="A331" s="828"/>
      <c r="B331" s="828"/>
      <c r="C331" s="829"/>
    </row>
    <row r="332" spans="1:3" ht="18.75">
      <c r="A332" s="828"/>
      <c r="B332" s="828"/>
      <c r="C332" s="829"/>
    </row>
    <row r="333" spans="1:3" ht="18.75">
      <c r="A333" s="828"/>
      <c r="B333" s="828"/>
      <c r="C333" s="829"/>
    </row>
    <row r="334" spans="1:3" ht="18.75">
      <c r="A334" s="828"/>
      <c r="B334" s="828"/>
      <c r="C334" s="829"/>
    </row>
    <row r="335" spans="1:3" ht="18.75">
      <c r="A335" s="828"/>
      <c r="B335" s="828"/>
      <c r="C335" s="829"/>
    </row>
    <row r="336" spans="1:3" ht="18.75">
      <c r="A336" s="828"/>
      <c r="B336" s="828"/>
      <c r="C336" s="829"/>
    </row>
    <row r="337" spans="1:3" ht="18.75">
      <c r="A337" s="828"/>
      <c r="B337" s="828"/>
      <c r="C337" s="829"/>
    </row>
    <row r="338" spans="1:3" ht="18.75">
      <c r="A338" s="828"/>
      <c r="B338" s="828"/>
      <c r="C338" s="829"/>
    </row>
    <row r="339" spans="1:3" ht="18.75">
      <c r="A339" s="828"/>
      <c r="B339" s="828"/>
      <c r="C339" s="829"/>
    </row>
    <row r="340" spans="1:3" ht="18.75">
      <c r="A340" s="828"/>
      <c r="B340" s="828"/>
      <c r="C340" s="829"/>
    </row>
    <row r="341" spans="1:3" ht="18.75">
      <c r="A341" s="828"/>
      <c r="B341" s="828"/>
      <c r="C341" s="829"/>
    </row>
    <row r="342" spans="1:3" ht="18.75">
      <c r="A342" s="828"/>
      <c r="B342" s="828"/>
      <c r="C342" s="829"/>
    </row>
    <row r="343" spans="1:3" ht="18.75">
      <c r="A343" s="828"/>
      <c r="B343" s="828"/>
      <c r="C343" s="829"/>
    </row>
    <row r="344" spans="1:3" ht="18.75">
      <c r="A344" s="828"/>
      <c r="B344" s="828"/>
      <c r="C344" s="829"/>
    </row>
    <row r="345" spans="1:3" ht="18.75">
      <c r="A345" s="828"/>
      <c r="B345" s="828"/>
      <c r="C345" s="829"/>
    </row>
    <row r="346" spans="1:3" ht="18.75">
      <c r="A346" s="828"/>
      <c r="B346" s="828"/>
      <c r="C346" s="829"/>
    </row>
    <row r="347" spans="1:3" ht="18.75">
      <c r="A347" s="828"/>
      <c r="B347" s="828"/>
      <c r="C347" s="829"/>
    </row>
    <row r="348" spans="1:3" ht="18.75">
      <c r="A348" s="828"/>
      <c r="B348" s="828"/>
      <c r="C348" s="829"/>
    </row>
    <row r="349" spans="1:3" ht="18.75">
      <c r="A349" s="828"/>
      <c r="B349" s="828"/>
      <c r="C349" s="829"/>
    </row>
    <row r="350" spans="1:3" ht="18.75">
      <c r="A350" s="828"/>
      <c r="B350" s="828"/>
      <c r="C350" s="829"/>
    </row>
    <row r="351" spans="1:3" ht="18.75">
      <c r="A351" s="828"/>
      <c r="B351" s="828"/>
      <c r="C351" s="829"/>
    </row>
    <row r="352" spans="1:3" ht="18.75">
      <c r="A352" s="828"/>
      <c r="B352" s="828"/>
      <c r="C352" s="829"/>
    </row>
    <row r="353" spans="1:3" ht="18.75">
      <c r="A353" s="828"/>
      <c r="B353" s="828"/>
      <c r="C353" s="829"/>
    </row>
    <row r="354" spans="1:3" ht="18.75">
      <c r="A354" s="828"/>
      <c r="B354" s="828"/>
      <c r="C354" s="829"/>
    </row>
    <row r="355" spans="1:3" ht="18.75">
      <c r="A355" s="828"/>
      <c r="B355" s="828"/>
      <c r="C355" s="829"/>
    </row>
    <row r="356" spans="1:3" ht="18.75">
      <c r="A356" s="828"/>
      <c r="B356" s="828"/>
      <c r="C356" s="829"/>
    </row>
    <row r="357" spans="1:3" ht="18.75">
      <c r="A357" s="828"/>
      <c r="B357" s="828"/>
      <c r="C357" s="829"/>
    </row>
    <row r="358" spans="1:3" ht="18.75">
      <c r="A358" s="828"/>
      <c r="B358" s="828"/>
      <c r="C358" s="829"/>
    </row>
    <row r="359" spans="1:3" ht="18.75">
      <c r="A359" s="828"/>
      <c r="B359" s="828"/>
      <c r="C359" s="829"/>
    </row>
    <row r="360" spans="1:3" ht="18.75">
      <c r="A360" s="828"/>
      <c r="B360" s="828"/>
      <c r="C360" s="829"/>
    </row>
    <row r="361" spans="1:3" ht="18.75">
      <c r="A361" s="828"/>
      <c r="B361" s="828"/>
      <c r="C361" s="829"/>
    </row>
    <row r="362" spans="1:3" ht="18.75">
      <c r="A362" s="828"/>
      <c r="B362" s="828"/>
      <c r="C362" s="829"/>
    </row>
    <row r="363" spans="1:3" ht="18.75">
      <c r="A363" s="828"/>
      <c r="B363" s="828"/>
      <c r="C363" s="829"/>
    </row>
    <row r="364" spans="1:3" ht="18.75">
      <c r="A364" s="828"/>
      <c r="B364" s="828"/>
      <c r="C364" s="829"/>
    </row>
    <row r="365" spans="1:3" ht="18.75">
      <c r="A365" s="828"/>
      <c r="B365" s="828"/>
      <c r="C365" s="829"/>
    </row>
    <row r="366" spans="1:3" ht="18.75">
      <c r="A366" s="828"/>
      <c r="B366" s="828"/>
      <c r="C366" s="829"/>
    </row>
    <row r="367" spans="1:3" ht="18.75">
      <c r="A367" s="828"/>
      <c r="B367" s="828"/>
      <c r="C367" s="829"/>
    </row>
    <row r="368" spans="1:3" ht="18.75">
      <c r="A368" s="828"/>
      <c r="B368" s="828"/>
      <c r="C368" s="829"/>
    </row>
    <row r="369" spans="1:3" ht="18.75">
      <c r="A369" s="828"/>
      <c r="B369" s="828"/>
      <c r="C369" s="829"/>
    </row>
    <row r="370" spans="1:3" ht="18.75">
      <c r="A370" s="828"/>
      <c r="B370" s="828"/>
      <c r="C370" s="829"/>
    </row>
    <row r="371" spans="1:3" ht="18.75">
      <c r="A371" s="828"/>
      <c r="B371" s="828"/>
      <c r="C371" s="829"/>
    </row>
    <row r="372" spans="1:3" ht="18.75">
      <c r="A372" s="828"/>
      <c r="B372" s="828"/>
      <c r="C372" s="829"/>
    </row>
    <row r="373" spans="1:3" ht="18.75">
      <c r="A373" s="828"/>
      <c r="B373" s="828"/>
      <c r="C373" s="829"/>
    </row>
    <row r="374" spans="1:3" ht="18.75">
      <c r="A374" s="828"/>
      <c r="B374" s="828"/>
      <c r="C374" s="829"/>
    </row>
    <row r="375" spans="1:3" ht="18.75">
      <c r="A375" s="828"/>
      <c r="B375" s="828"/>
      <c r="C375" s="829"/>
    </row>
    <row r="376" spans="1:3" ht="18.75">
      <c r="A376" s="828"/>
      <c r="B376" s="828"/>
      <c r="C376" s="829"/>
    </row>
    <row r="377" spans="1:3" ht="18.75">
      <c r="A377" s="828"/>
      <c r="B377" s="828"/>
      <c r="C377" s="829"/>
    </row>
    <row r="378" spans="1:3" ht="18.75">
      <c r="A378" s="828"/>
      <c r="B378" s="828"/>
      <c r="C378" s="829"/>
    </row>
    <row r="379" spans="1:3" ht="18.75">
      <c r="A379" s="828"/>
      <c r="B379" s="828"/>
      <c r="C379" s="829"/>
    </row>
    <row r="380" spans="1:3" ht="18.75">
      <c r="A380" s="828"/>
      <c r="B380" s="828"/>
      <c r="C380" s="829"/>
    </row>
    <row r="381" spans="1:3" ht="18.75">
      <c r="A381" s="828"/>
      <c r="B381" s="828"/>
      <c r="C381" s="829"/>
    </row>
    <row r="382" spans="1:3" ht="18.75">
      <c r="A382" s="828"/>
      <c r="B382" s="828"/>
      <c r="C382" s="829"/>
    </row>
    <row r="383" spans="1:3" ht="18.75">
      <c r="A383" s="828"/>
      <c r="B383" s="828"/>
      <c r="C383" s="829"/>
    </row>
    <row r="384" spans="1:3" ht="18.75">
      <c r="A384" s="828"/>
      <c r="B384" s="828"/>
      <c r="C384" s="829"/>
    </row>
    <row r="385" spans="1:3" ht="18.75">
      <c r="A385" s="828"/>
      <c r="B385" s="828"/>
      <c r="C385" s="829"/>
    </row>
    <row r="386" spans="1:3" ht="18.75">
      <c r="A386" s="828"/>
      <c r="B386" s="828"/>
      <c r="C386" s="829"/>
    </row>
    <row r="387" spans="1:3" ht="18.75">
      <c r="A387" s="828"/>
      <c r="B387" s="828"/>
      <c r="C387" s="829"/>
    </row>
    <row r="388" spans="1:3" ht="18.75">
      <c r="A388" s="828"/>
      <c r="B388" s="828"/>
      <c r="C388" s="829"/>
    </row>
    <row r="389" spans="1:3" ht="18.75">
      <c r="A389" s="828"/>
      <c r="B389" s="828"/>
      <c r="C389" s="829"/>
    </row>
    <row r="390" spans="1:3" ht="18.75">
      <c r="A390" s="828"/>
      <c r="B390" s="828"/>
      <c r="C390" s="829"/>
    </row>
    <row r="391" spans="1:3" ht="18.75">
      <c r="A391" s="828"/>
      <c r="B391" s="828"/>
      <c r="C391" s="829"/>
    </row>
    <row r="392" spans="1:3" ht="18.75">
      <c r="A392" s="828"/>
      <c r="B392" s="828"/>
      <c r="C392" s="829"/>
    </row>
    <row r="393" spans="1:3" ht="18.75">
      <c r="A393" s="828"/>
      <c r="B393" s="828"/>
      <c r="C393" s="829"/>
    </row>
    <row r="394" spans="1:3" ht="18.75">
      <c r="A394" s="828"/>
      <c r="B394" s="828"/>
      <c r="C394" s="829"/>
    </row>
    <row r="395" spans="1:3" ht="18.75">
      <c r="A395" s="828"/>
      <c r="B395" s="828"/>
      <c r="C395" s="829"/>
    </row>
    <row r="396" spans="1:3" ht="18.75">
      <c r="A396" s="828"/>
      <c r="B396" s="828"/>
      <c r="C396" s="829"/>
    </row>
    <row r="397" spans="1:3" ht="18.75">
      <c r="A397" s="828"/>
      <c r="B397" s="828"/>
      <c r="C397" s="829"/>
    </row>
    <row r="398" spans="1:3" ht="18.75">
      <c r="A398" s="828"/>
      <c r="B398" s="828"/>
      <c r="C398" s="829"/>
    </row>
    <row r="399" spans="1:3" ht="18.75">
      <c r="A399" s="828"/>
      <c r="B399" s="828"/>
      <c r="C399" s="829"/>
    </row>
    <row r="400" spans="1:3" ht="18.75">
      <c r="A400" s="828"/>
      <c r="B400" s="828"/>
      <c r="C400" s="829"/>
    </row>
    <row r="401" spans="1:3" ht="18.75">
      <c r="A401" s="828"/>
      <c r="B401" s="828"/>
      <c r="C401" s="829"/>
    </row>
    <row r="402" spans="1:3" ht="18.75">
      <c r="A402" s="828"/>
      <c r="B402" s="828"/>
      <c r="C402" s="829"/>
    </row>
    <row r="403" spans="1:3" ht="18.75">
      <c r="A403" s="828"/>
      <c r="B403" s="828"/>
      <c r="C403" s="829"/>
    </row>
    <row r="404" spans="1:3" ht="18.75">
      <c r="A404" s="828"/>
      <c r="B404" s="828"/>
      <c r="C404" s="829"/>
    </row>
    <row r="405" spans="1:3" ht="18.75">
      <c r="A405" s="828"/>
      <c r="B405" s="828"/>
      <c r="C405" s="829"/>
    </row>
    <row r="406" spans="1:3" ht="18.75">
      <c r="A406" s="828"/>
      <c r="B406" s="828"/>
      <c r="C406" s="829"/>
    </row>
    <row r="407" spans="1:3" ht="18.75">
      <c r="A407" s="828"/>
      <c r="B407" s="828"/>
      <c r="C407" s="829"/>
    </row>
    <row r="408" spans="1:3" ht="18.75">
      <c r="A408" s="828"/>
      <c r="B408" s="828"/>
      <c r="C408" s="829"/>
    </row>
    <row r="409" spans="1:3" ht="18.75">
      <c r="A409" s="828"/>
      <c r="B409" s="828"/>
      <c r="C409" s="829"/>
    </row>
    <row r="410" spans="1:3" ht="18.75">
      <c r="A410" s="828"/>
      <c r="B410" s="828"/>
      <c r="C410" s="829"/>
    </row>
    <row r="411" spans="1:3" ht="18.75">
      <c r="A411" s="828"/>
      <c r="B411" s="828"/>
      <c r="C411" s="829"/>
    </row>
    <row r="412" spans="1:3" ht="18.75">
      <c r="A412" s="828"/>
      <c r="B412" s="828"/>
      <c r="C412" s="829"/>
    </row>
    <row r="413" spans="1:3" ht="18.75">
      <c r="A413" s="828"/>
      <c r="B413" s="828"/>
      <c r="C413" s="829"/>
    </row>
    <row r="414" spans="1:3" ht="18.75">
      <c r="A414" s="828"/>
      <c r="B414" s="828"/>
      <c r="C414" s="829"/>
    </row>
    <row r="415" spans="1:3" ht="18.75">
      <c r="A415" s="828"/>
      <c r="B415" s="828"/>
      <c r="C415" s="829"/>
    </row>
    <row r="416" spans="1:3" ht="18.75">
      <c r="A416" s="828"/>
      <c r="B416" s="828"/>
      <c r="C416" s="829"/>
    </row>
    <row r="417" spans="1:3" ht="18.75">
      <c r="A417" s="828"/>
      <c r="B417" s="828"/>
      <c r="C417" s="829"/>
    </row>
    <row r="418" spans="1:3" ht="18.75">
      <c r="A418" s="828"/>
      <c r="B418" s="828"/>
      <c r="C418" s="829"/>
    </row>
    <row r="419" spans="1:3" ht="18.75">
      <c r="A419" s="828"/>
      <c r="B419" s="828"/>
      <c r="C419" s="829"/>
    </row>
    <row r="420" spans="1:3" ht="18.75">
      <c r="A420" s="828"/>
      <c r="B420" s="828"/>
      <c r="C420" s="829"/>
    </row>
    <row r="421" spans="1:3" ht="18.75">
      <c r="A421" s="828"/>
      <c r="B421" s="828"/>
      <c r="C421" s="829"/>
    </row>
    <row r="422" spans="1:3" ht="18.75">
      <c r="A422" s="828"/>
      <c r="B422" s="828"/>
      <c r="C422" s="829"/>
    </row>
    <row r="423" spans="1:3" ht="18.75">
      <c r="A423" s="828"/>
      <c r="B423" s="828"/>
      <c r="C423" s="829"/>
    </row>
    <row r="424" spans="1:3" ht="18.75">
      <c r="A424" s="828"/>
      <c r="B424" s="828"/>
      <c r="C424" s="829"/>
    </row>
    <row r="425" spans="1:3" ht="18.75">
      <c r="A425" s="828"/>
      <c r="B425" s="828"/>
      <c r="C425" s="829"/>
    </row>
    <row r="426" spans="1:3" ht="18.75">
      <c r="A426" s="828"/>
      <c r="B426" s="828"/>
      <c r="C426" s="829"/>
    </row>
    <row r="427" spans="1:3" ht="18.75">
      <c r="A427" s="828"/>
      <c r="B427" s="828"/>
      <c r="C427" s="829"/>
    </row>
    <row r="428" spans="1:3" ht="18.75">
      <c r="A428" s="828"/>
      <c r="B428" s="828"/>
      <c r="C428" s="829"/>
    </row>
    <row r="429" spans="1:3" ht="18.75">
      <c r="A429" s="828"/>
      <c r="B429" s="828"/>
      <c r="C429" s="829"/>
    </row>
    <row r="430" spans="1:3" ht="18.75">
      <c r="A430" s="828"/>
      <c r="B430" s="828"/>
      <c r="C430" s="829"/>
    </row>
    <row r="431" spans="1:3" ht="18.75">
      <c r="A431" s="828"/>
      <c r="B431" s="828"/>
      <c r="C431" s="829"/>
    </row>
    <row r="432" spans="1:3" ht="18.75">
      <c r="A432" s="828"/>
      <c r="B432" s="828"/>
      <c r="C432" s="829"/>
    </row>
    <row r="433" spans="1:3" ht="18.75">
      <c r="A433" s="828"/>
      <c r="B433" s="828"/>
      <c r="C433" s="829"/>
    </row>
    <row r="434" spans="1:3" ht="18.75">
      <c r="A434" s="828"/>
      <c r="B434" s="828"/>
      <c r="C434" s="829"/>
    </row>
    <row r="435" spans="1:3" ht="18.75">
      <c r="A435" s="828"/>
      <c r="B435" s="828"/>
      <c r="C435" s="829"/>
    </row>
    <row r="436" spans="1:3" ht="18.75">
      <c r="A436" s="828"/>
      <c r="B436" s="828"/>
      <c r="C436" s="829"/>
    </row>
    <row r="437" spans="1:3" ht="18.75">
      <c r="A437" s="828"/>
      <c r="B437" s="828"/>
      <c r="C437" s="829"/>
    </row>
    <row r="438" spans="1:3" ht="18.75">
      <c r="A438" s="828"/>
      <c r="B438" s="828"/>
      <c r="C438" s="829"/>
    </row>
    <row r="439" spans="1:3" ht="18.75">
      <c r="A439" s="828"/>
      <c r="B439" s="828"/>
      <c r="C439" s="829"/>
    </row>
    <row r="440" spans="1:3" ht="18.75">
      <c r="A440" s="828"/>
      <c r="B440" s="828"/>
      <c r="C440" s="829"/>
    </row>
    <row r="441" spans="1:3" ht="18.75">
      <c r="A441" s="828"/>
      <c r="B441" s="828"/>
      <c r="C441" s="829"/>
    </row>
    <row r="442" spans="1:3" ht="18.75">
      <c r="A442" s="828"/>
      <c r="B442" s="828"/>
      <c r="C442" s="829"/>
    </row>
    <row r="443" spans="1:3" ht="18.75">
      <c r="A443" s="828"/>
      <c r="B443" s="828"/>
      <c r="C443" s="829"/>
    </row>
    <row r="444" spans="1:3" ht="18.75">
      <c r="A444" s="828"/>
      <c r="B444" s="828"/>
      <c r="C444" s="829"/>
    </row>
    <row r="445" spans="1:3" ht="18.75">
      <c r="A445" s="828"/>
      <c r="B445" s="828"/>
      <c r="C445" s="829"/>
    </row>
    <row r="446" spans="1:3" ht="18.75">
      <c r="A446" s="828"/>
      <c r="B446" s="828"/>
      <c r="C446" s="829"/>
    </row>
    <row r="447" spans="1:3" ht="18.75">
      <c r="A447" s="828"/>
      <c r="B447" s="828"/>
      <c r="C447" s="829"/>
    </row>
    <row r="448" spans="1:3" ht="18.75">
      <c r="A448" s="828"/>
      <c r="B448" s="828"/>
      <c r="C448" s="829"/>
    </row>
    <row r="449" spans="1:3" ht="18.75">
      <c r="A449" s="828"/>
      <c r="B449" s="828"/>
      <c r="C449" s="829"/>
    </row>
    <row r="450" spans="1:3" ht="18.75">
      <c r="A450" s="828"/>
      <c r="B450" s="828"/>
      <c r="C450" s="829"/>
    </row>
    <row r="451" spans="1:3" ht="18.75">
      <c r="A451" s="828"/>
      <c r="B451" s="828"/>
      <c r="C451" s="829"/>
    </row>
    <row r="452" spans="1:3" ht="18.75">
      <c r="A452" s="828"/>
      <c r="B452" s="828"/>
      <c r="C452" s="829"/>
    </row>
    <row r="453" spans="1:3" ht="18.75">
      <c r="A453" s="828"/>
      <c r="B453" s="828"/>
      <c r="C453" s="829"/>
    </row>
    <row r="454" spans="1:3" ht="18.75">
      <c r="A454" s="828"/>
      <c r="B454" s="828"/>
      <c r="C454" s="829"/>
    </row>
    <row r="455" spans="1:3" ht="18.75">
      <c r="A455" s="828"/>
      <c r="B455" s="828"/>
      <c r="C455" s="829"/>
    </row>
    <row r="456" spans="1:3" ht="18.75">
      <c r="A456" s="828"/>
      <c r="B456" s="828"/>
      <c r="C456" s="829"/>
    </row>
    <row r="457" spans="1:3" ht="18.75">
      <c r="A457" s="828"/>
      <c r="B457" s="828"/>
      <c r="C457" s="829"/>
    </row>
    <row r="458" spans="1:3" ht="18.75">
      <c r="A458" s="828"/>
      <c r="B458" s="828"/>
      <c r="C458" s="829"/>
    </row>
    <row r="459" spans="1:3" ht="18.75">
      <c r="A459" s="828"/>
      <c r="B459" s="828"/>
      <c r="C459" s="829"/>
    </row>
    <row r="460" spans="1:3" ht="18.75">
      <c r="A460" s="828"/>
      <c r="B460" s="828"/>
      <c r="C460" s="829"/>
    </row>
    <row r="461" spans="1:3" ht="18.75">
      <c r="A461" s="828"/>
      <c r="B461" s="828"/>
      <c r="C461" s="829"/>
    </row>
    <row r="462" spans="1:3" ht="18.75">
      <c r="A462" s="828"/>
      <c r="B462" s="828"/>
      <c r="C462" s="829"/>
    </row>
    <row r="463" spans="1:3" ht="18.75">
      <c r="A463" s="828"/>
      <c r="B463" s="828"/>
      <c r="C463" s="829"/>
    </row>
    <row r="464" spans="1:3" ht="18.75">
      <c r="A464" s="828"/>
      <c r="B464" s="828"/>
      <c r="C464" s="829"/>
    </row>
    <row r="465" spans="1:3" ht="18.75">
      <c r="A465" s="828"/>
      <c r="B465" s="828"/>
      <c r="C465" s="829"/>
    </row>
    <row r="466" spans="1:3" ht="18.75">
      <c r="A466" s="828"/>
      <c r="B466" s="828"/>
      <c r="C466" s="829"/>
    </row>
    <row r="467" spans="1:3" ht="18.75">
      <c r="A467" s="828"/>
      <c r="B467" s="828"/>
      <c r="C467" s="829"/>
    </row>
    <row r="468" spans="1:3" ht="18.75">
      <c r="A468" s="828"/>
      <c r="B468" s="828"/>
      <c r="C468" s="829"/>
    </row>
    <row r="469" spans="1:3" ht="18.75">
      <c r="A469" s="828"/>
      <c r="B469" s="828"/>
      <c r="C469" s="829"/>
    </row>
    <row r="470" spans="1:3" ht="18.75">
      <c r="A470" s="828"/>
      <c r="B470" s="828"/>
      <c r="C470" s="829"/>
    </row>
    <row r="471" spans="1:3" ht="18.75">
      <c r="A471" s="828"/>
      <c r="B471" s="828"/>
      <c r="C471" s="829"/>
    </row>
    <row r="472" spans="1:3" ht="18.75">
      <c r="A472" s="828"/>
      <c r="B472" s="828"/>
      <c r="C472" s="829"/>
    </row>
    <row r="473" spans="1:3" ht="18.75">
      <c r="A473" s="828"/>
      <c r="B473" s="828"/>
      <c r="C473" s="829"/>
    </row>
    <row r="474" spans="1:3" ht="18.75">
      <c r="A474" s="828"/>
      <c r="B474" s="828"/>
      <c r="C474" s="829"/>
    </row>
    <row r="475" spans="1:3" ht="18.75">
      <c r="A475" s="828"/>
      <c r="B475" s="828"/>
      <c r="C475" s="829"/>
    </row>
    <row r="476" spans="1:3" ht="18.75">
      <c r="A476" s="828"/>
      <c r="B476" s="828"/>
      <c r="C476" s="829"/>
    </row>
    <row r="477" spans="1:3" ht="18.75">
      <c r="A477" s="828"/>
      <c r="B477" s="828"/>
      <c r="C477" s="829"/>
    </row>
    <row r="478" spans="1:3" ht="18.75">
      <c r="A478" s="828"/>
      <c r="B478" s="828"/>
      <c r="C478" s="829"/>
    </row>
    <row r="479" spans="1:3" ht="18.75">
      <c r="A479" s="828"/>
      <c r="B479" s="828"/>
      <c r="C479" s="829"/>
    </row>
    <row r="480" spans="1:3" ht="18.75">
      <c r="A480" s="828"/>
      <c r="B480" s="828"/>
      <c r="C480" s="829"/>
    </row>
    <row r="481" spans="1:3" ht="18.75">
      <c r="A481" s="828"/>
      <c r="B481" s="828"/>
      <c r="C481" s="829"/>
    </row>
    <row r="482" spans="1:3" ht="18.75">
      <c r="A482" s="828"/>
      <c r="B482" s="828"/>
      <c r="C482" s="829"/>
    </row>
    <row r="483" spans="1:3" ht="18.75">
      <c r="A483" s="828"/>
      <c r="B483" s="828"/>
      <c r="C483" s="829"/>
    </row>
    <row r="484" spans="1:3" ht="18.75">
      <c r="A484" s="828"/>
      <c r="B484" s="828"/>
      <c r="C484" s="829"/>
    </row>
    <row r="485" spans="1:3" ht="18.75">
      <c r="A485" s="828"/>
      <c r="B485" s="828"/>
      <c r="C485" s="829"/>
    </row>
    <row r="486" spans="1:3" ht="18.75">
      <c r="A486" s="828"/>
      <c r="B486" s="828"/>
      <c r="C486" s="829"/>
    </row>
    <row r="487" spans="1:3" ht="18.75">
      <c r="A487" s="828"/>
      <c r="B487" s="828"/>
      <c r="C487" s="829"/>
    </row>
    <row r="488" spans="1:3" ht="18.75">
      <c r="A488" s="828"/>
      <c r="B488" s="828"/>
      <c r="C488" s="829"/>
    </row>
    <row r="489" spans="1:3" ht="18.75">
      <c r="A489" s="828"/>
      <c r="B489" s="828"/>
      <c r="C489" s="829"/>
    </row>
    <row r="490" spans="1:3" ht="18.75">
      <c r="A490" s="828"/>
      <c r="B490" s="828"/>
      <c r="C490" s="829"/>
    </row>
    <row r="491" spans="1:3" ht="18.75">
      <c r="A491" s="828"/>
      <c r="B491" s="828"/>
      <c r="C491" s="829"/>
    </row>
    <row r="492" spans="1:3" ht="18.75">
      <c r="A492" s="828"/>
      <c r="B492" s="828"/>
      <c r="C492" s="829"/>
    </row>
    <row r="493" spans="1:3" ht="18.75">
      <c r="A493" s="828"/>
      <c r="B493" s="828"/>
      <c r="C493" s="829"/>
    </row>
    <row r="494" spans="1:3" ht="18.75">
      <c r="A494" s="828"/>
      <c r="B494" s="828"/>
      <c r="C494" s="829"/>
    </row>
    <row r="495" spans="1:3" ht="18.75">
      <c r="A495" s="828"/>
      <c r="B495" s="828"/>
      <c r="C495" s="829"/>
    </row>
    <row r="496" spans="1:3" ht="18.75">
      <c r="A496" s="828"/>
      <c r="B496" s="828"/>
      <c r="C496" s="829"/>
    </row>
    <row r="497" spans="1:3" ht="18.75">
      <c r="A497" s="828"/>
      <c r="B497" s="828"/>
      <c r="C497" s="829"/>
    </row>
    <row r="498" spans="1:3" ht="18.75">
      <c r="A498" s="828"/>
      <c r="B498" s="828"/>
      <c r="C498" s="829"/>
    </row>
    <row r="499" spans="1:3" ht="18.75">
      <c r="A499" s="828"/>
      <c r="B499" s="828"/>
      <c r="C499" s="829"/>
    </row>
    <row r="500" spans="1:3" ht="18.75">
      <c r="A500" s="828"/>
      <c r="B500" s="828"/>
      <c r="C500" s="829"/>
    </row>
    <row r="501" spans="1:3" ht="18.75">
      <c r="A501" s="828"/>
      <c r="B501" s="828"/>
      <c r="C501" s="829"/>
    </row>
    <row r="502" spans="1:3" ht="18.75">
      <c r="A502" s="828"/>
      <c r="B502" s="828"/>
      <c r="C502" s="829"/>
    </row>
    <row r="503" spans="1:3" ht="18.75">
      <c r="A503" s="828"/>
      <c r="B503" s="828"/>
      <c r="C503" s="829"/>
    </row>
    <row r="504" spans="1:3" ht="18.75">
      <c r="A504" s="828"/>
      <c r="B504" s="828"/>
      <c r="C504" s="829"/>
    </row>
    <row r="505" spans="1:3" ht="18.75">
      <c r="A505" s="828"/>
      <c r="B505" s="828"/>
      <c r="C505" s="829"/>
    </row>
    <row r="506" spans="1:3" ht="18.75">
      <c r="A506" s="828"/>
      <c r="B506" s="828"/>
      <c r="C506" s="829"/>
    </row>
    <row r="507" spans="1:3" ht="18.75">
      <c r="A507" s="828"/>
      <c r="B507" s="828"/>
      <c r="C507" s="829"/>
    </row>
    <row r="508" spans="1:3" ht="18.75">
      <c r="A508" s="828"/>
      <c r="B508" s="828"/>
      <c r="C508" s="829"/>
    </row>
    <row r="509" spans="1:3" ht="18.75">
      <c r="A509" s="828"/>
      <c r="B509" s="828"/>
      <c r="C509" s="829"/>
    </row>
    <row r="510" spans="1:3" ht="18.75">
      <c r="A510" s="828"/>
      <c r="B510" s="828"/>
      <c r="C510" s="829"/>
    </row>
    <row r="511" spans="1:3" ht="18.75">
      <c r="A511" s="828"/>
      <c r="B511" s="828"/>
      <c r="C511" s="829"/>
    </row>
    <row r="512" spans="1:3" ht="18.75">
      <c r="A512" s="828"/>
      <c r="B512" s="828"/>
      <c r="C512" s="829"/>
    </row>
    <row r="513" spans="1:3" ht="18.75">
      <c r="A513" s="828"/>
      <c r="B513" s="828"/>
      <c r="C513" s="829"/>
    </row>
    <row r="514" spans="1:3" ht="18.75">
      <c r="A514" s="828"/>
      <c r="B514" s="828"/>
      <c r="C514" s="829"/>
    </row>
    <row r="515" spans="1:3" ht="18.75">
      <c r="A515" s="828"/>
      <c r="B515" s="828"/>
      <c r="C515" s="829"/>
    </row>
    <row r="516" spans="1:3" ht="18.75">
      <c r="A516" s="828"/>
      <c r="B516" s="828"/>
      <c r="C516" s="829"/>
    </row>
    <row r="517" spans="1:3" ht="18.75">
      <c r="A517" s="828"/>
      <c r="B517" s="828"/>
      <c r="C517" s="829"/>
    </row>
    <row r="518" spans="1:3" ht="18.75">
      <c r="A518" s="828"/>
      <c r="B518" s="828"/>
      <c r="C518" s="829"/>
    </row>
    <row r="519" spans="1:3" ht="18.75">
      <c r="A519" s="828"/>
      <c r="B519" s="828"/>
      <c r="C519" s="829"/>
    </row>
    <row r="520" spans="1:3" ht="18.75">
      <c r="A520" s="828"/>
      <c r="B520" s="828"/>
      <c r="C520" s="829"/>
    </row>
    <row r="521" spans="1:3" ht="18.75">
      <c r="A521" s="828"/>
      <c r="B521" s="828"/>
      <c r="C521" s="829"/>
    </row>
    <row r="522" spans="1:3" ht="18.75">
      <c r="A522" s="828"/>
      <c r="B522" s="828"/>
      <c r="C522" s="829"/>
    </row>
    <row r="523" spans="1:3" ht="18.75">
      <c r="A523" s="828"/>
      <c r="B523" s="828"/>
      <c r="C523" s="829"/>
    </row>
    <row r="524" spans="1:3" ht="18.75">
      <c r="A524" s="828"/>
      <c r="B524" s="828"/>
      <c r="C524" s="829"/>
    </row>
    <row r="525" spans="1:3" ht="18.75">
      <c r="A525" s="828"/>
      <c r="B525" s="828"/>
      <c r="C525" s="829"/>
    </row>
    <row r="526" spans="1:3" ht="18.75">
      <c r="A526" s="828"/>
      <c r="B526" s="828"/>
      <c r="C526" s="829"/>
    </row>
    <row r="527" spans="1:3" ht="18.75">
      <c r="A527" s="828"/>
      <c r="B527" s="828"/>
      <c r="C527" s="829"/>
    </row>
    <row r="528" spans="1:3" ht="18.75">
      <c r="A528" s="828"/>
      <c r="B528" s="828"/>
      <c r="C528" s="829"/>
    </row>
    <row r="529" spans="1:3" ht="18.75">
      <c r="A529" s="828"/>
      <c r="B529" s="828"/>
      <c r="C529" s="829"/>
    </row>
    <row r="530" spans="1:3" ht="18.75">
      <c r="A530" s="828"/>
      <c r="B530" s="828"/>
      <c r="C530" s="829"/>
    </row>
    <row r="531" spans="1:3" ht="18.75">
      <c r="A531" s="828"/>
      <c r="B531" s="828"/>
      <c r="C531" s="829"/>
    </row>
    <row r="532" spans="1:3" ht="18.75">
      <c r="A532" s="828"/>
      <c r="B532" s="828"/>
      <c r="C532" s="829"/>
    </row>
    <row r="533" spans="1:3" ht="18.75">
      <c r="A533" s="828"/>
      <c r="B533" s="828"/>
      <c r="C533" s="829"/>
    </row>
    <row r="534" spans="1:3" ht="18.75">
      <c r="A534" s="828"/>
      <c r="B534" s="828"/>
      <c r="C534" s="829"/>
    </row>
    <row r="535" spans="1:3" ht="18.75">
      <c r="A535" s="828"/>
      <c r="B535" s="828"/>
      <c r="C535" s="829"/>
    </row>
    <row r="536" spans="1:3" ht="18.75">
      <c r="A536" s="828"/>
      <c r="B536" s="828"/>
      <c r="C536" s="829"/>
    </row>
    <row r="537" spans="1:3" ht="18.75">
      <c r="A537" s="828"/>
      <c r="B537" s="828"/>
      <c r="C537" s="829"/>
    </row>
    <row r="538" spans="1:3" ht="18.75">
      <c r="A538" s="828"/>
      <c r="B538" s="828"/>
      <c r="C538" s="829"/>
    </row>
    <row r="539" spans="1:3" ht="18.75">
      <c r="A539" s="828"/>
      <c r="B539" s="828"/>
      <c r="C539" s="829"/>
    </row>
    <row r="540" spans="1:3" ht="18.75">
      <c r="A540" s="828"/>
      <c r="B540" s="828"/>
      <c r="C540" s="829"/>
    </row>
    <row r="541" spans="1:3" ht="18.75">
      <c r="A541" s="828"/>
      <c r="B541" s="828"/>
      <c r="C541" s="829"/>
    </row>
    <row r="542" spans="1:3" ht="18.75">
      <c r="A542" s="828"/>
      <c r="B542" s="828"/>
      <c r="C542" s="829"/>
    </row>
    <row r="543" spans="1:3" ht="18.75">
      <c r="A543" s="828"/>
      <c r="B543" s="828"/>
      <c r="C543" s="829"/>
    </row>
    <row r="544" spans="1:3" ht="18.75">
      <c r="A544" s="828"/>
      <c r="B544" s="828"/>
      <c r="C544" s="829"/>
    </row>
    <row r="545" spans="1:3" ht="18.75">
      <c r="A545" s="828"/>
      <c r="B545" s="828"/>
      <c r="C545" s="829"/>
    </row>
    <row r="546" spans="1:3" ht="18.75">
      <c r="A546" s="828"/>
      <c r="B546" s="828"/>
      <c r="C546" s="829"/>
    </row>
    <row r="547" spans="1:3" ht="18.75">
      <c r="A547" s="828"/>
      <c r="B547" s="828"/>
      <c r="C547" s="829"/>
    </row>
    <row r="548" spans="1:3" ht="18.75">
      <c r="A548" s="828"/>
      <c r="B548" s="828"/>
      <c r="C548" s="829"/>
    </row>
    <row r="549" spans="1:3" ht="18.75">
      <c r="A549" s="828"/>
      <c r="B549" s="828"/>
      <c r="C549" s="829"/>
    </row>
    <row r="550" spans="1:3" ht="18.75">
      <c r="A550" s="828"/>
      <c r="B550" s="828"/>
      <c r="C550" s="829"/>
    </row>
    <row r="551" spans="1:3" ht="18.75">
      <c r="A551" s="828"/>
      <c r="B551" s="828"/>
      <c r="C551" s="829"/>
    </row>
    <row r="552" spans="1:3" ht="18.75">
      <c r="A552" s="828"/>
      <c r="B552" s="828"/>
      <c r="C552" s="829"/>
    </row>
    <row r="553" spans="1:3" ht="18.75">
      <c r="A553" s="828"/>
      <c r="B553" s="828"/>
      <c r="C553" s="829"/>
    </row>
    <row r="554" spans="1:3" ht="18.75">
      <c r="A554" s="828"/>
      <c r="B554" s="828"/>
      <c r="C554" s="829"/>
    </row>
    <row r="555" spans="1:3" ht="18.75">
      <c r="A555" s="828"/>
      <c r="B555" s="828"/>
      <c r="C555" s="829"/>
    </row>
    <row r="556" spans="1:3" ht="18.75">
      <c r="A556" s="828"/>
      <c r="B556" s="828"/>
      <c r="C556" s="829"/>
    </row>
    <row r="557" spans="1:3" ht="18.75">
      <c r="A557" s="828"/>
      <c r="B557" s="828"/>
      <c r="C557" s="829"/>
    </row>
    <row r="558" spans="1:3" ht="18.75">
      <c r="A558" s="828"/>
      <c r="B558" s="828"/>
      <c r="C558" s="829"/>
    </row>
    <row r="559" spans="1:3" ht="18.75">
      <c r="A559" s="828"/>
      <c r="B559" s="828"/>
      <c r="C559" s="829"/>
    </row>
    <row r="560" spans="1:3" ht="18.75">
      <c r="A560" s="828"/>
      <c r="B560" s="828"/>
      <c r="C560" s="829"/>
    </row>
    <row r="561" spans="1:3" ht="18.75">
      <c r="A561" s="828"/>
      <c r="B561" s="828"/>
      <c r="C561" s="829"/>
    </row>
    <row r="562" spans="1:3" ht="18.75">
      <c r="A562" s="828"/>
      <c r="B562" s="828"/>
      <c r="C562" s="829"/>
    </row>
    <row r="563" spans="1:3" ht="18.75">
      <c r="A563" s="828"/>
      <c r="B563" s="828"/>
      <c r="C563" s="829"/>
    </row>
    <row r="564" spans="1:3" ht="18.75">
      <c r="A564" s="828"/>
      <c r="B564" s="828"/>
      <c r="C564" s="829"/>
    </row>
    <row r="565" spans="1:3" ht="18.75">
      <c r="A565" s="828"/>
      <c r="B565" s="828"/>
      <c r="C565" s="829"/>
    </row>
    <row r="566" spans="1:3" ht="18.75">
      <c r="A566" s="828"/>
      <c r="B566" s="828"/>
      <c r="C566" s="829"/>
    </row>
    <row r="567" spans="1:3" ht="18.75">
      <c r="A567" s="828"/>
      <c r="B567" s="828"/>
      <c r="C567" s="829"/>
    </row>
    <row r="568" spans="1:3" ht="18.75">
      <c r="A568" s="828"/>
      <c r="B568" s="828"/>
      <c r="C568" s="829"/>
    </row>
    <row r="569" spans="1:3" ht="18.75">
      <c r="A569" s="828"/>
      <c r="B569" s="828"/>
      <c r="C569" s="829"/>
    </row>
    <row r="570" spans="1:3" ht="18.75">
      <c r="A570" s="828"/>
      <c r="B570" s="828"/>
      <c r="C570" s="829"/>
    </row>
    <row r="571" spans="1:3" ht="18.75">
      <c r="A571" s="828"/>
      <c r="B571" s="828"/>
      <c r="C571" s="829"/>
    </row>
    <row r="572" spans="1:3" ht="18.75">
      <c r="A572" s="828"/>
      <c r="B572" s="828"/>
      <c r="C572" s="829"/>
    </row>
    <row r="573" spans="1:3" ht="18.75">
      <c r="A573" s="828"/>
      <c r="B573" s="828"/>
      <c r="C573" s="829"/>
    </row>
    <row r="574" spans="1:3" ht="18.75">
      <c r="A574" s="828"/>
      <c r="B574" s="828"/>
      <c r="C574" s="829"/>
    </row>
    <row r="575" spans="1:3" ht="18.75">
      <c r="A575" s="828"/>
      <c r="B575" s="828"/>
      <c r="C575" s="829"/>
    </row>
    <row r="576" spans="1:3" ht="18.75">
      <c r="A576" s="828"/>
      <c r="B576" s="828"/>
      <c r="C576" s="829"/>
    </row>
    <row r="577" spans="1:3" ht="18.75">
      <c r="A577" s="828"/>
      <c r="B577" s="828"/>
      <c r="C577" s="829"/>
    </row>
    <row r="578" spans="1:3" ht="18.75">
      <c r="A578" s="828"/>
      <c r="B578" s="828"/>
      <c r="C578" s="829"/>
    </row>
    <row r="579" spans="1:3" ht="18.75">
      <c r="A579" s="828"/>
      <c r="B579" s="828"/>
      <c r="C579" s="829"/>
    </row>
    <row r="580" spans="1:3" ht="18.75">
      <c r="A580" s="828"/>
      <c r="B580" s="828"/>
      <c r="C580" s="829"/>
    </row>
    <row r="581" spans="1:3" ht="18.75">
      <c r="A581" s="828"/>
      <c r="B581" s="828"/>
      <c r="C581" s="829"/>
    </row>
    <row r="582" spans="1:3" ht="18.75">
      <c r="A582" s="828"/>
      <c r="B582" s="828"/>
      <c r="C582" s="829"/>
    </row>
    <row r="583" spans="1:3" ht="18.75">
      <c r="A583" s="828"/>
      <c r="B583" s="828"/>
      <c r="C583" s="829"/>
    </row>
    <row r="584" spans="1:3" ht="18.75">
      <c r="A584" s="828"/>
      <c r="B584" s="828"/>
      <c r="C584" s="829"/>
    </row>
    <row r="585" spans="1:3" ht="18.75">
      <c r="A585" s="828"/>
      <c r="B585" s="828"/>
      <c r="C585" s="829"/>
    </row>
    <row r="586" spans="1:3" ht="18.75">
      <c r="A586" s="828"/>
      <c r="B586" s="828"/>
      <c r="C586" s="829"/>
    </row>
    <row r="587" spans="1:3" ht="18.75">
      <c r="A587" s="828"/>
      <c r="B587" s="828"/>
      <c r="C587" s="829"/>
    </row>
    <row r="588" spans="1:3" ht="18.75">
      <c r="A588" s="828"/>
      <c r="B588" s="828"/>
      <c r="C588" s="829"/>
    </row>
    <row r="589" spans="1:3" ht="18.75">
      <c r="A589" s="828"/>
      <c r="B589" s="828"/>
      <c r="C589" s="829"/>
    </row>
    <row r="590" spans="1:3" ht="18.75">
      <c r="A590" s="828"/>
      <c r="B590" s="828"/>
      <c r="C590" s="829"/>
    </row>
    <row r="591" spans="1:3" ht="18.75">
      <c r="A591" s="828"/>
      <c r="B591" s="828"/>
      <c r="C591" s="829"/>
    </row>
    <row r="592" spans="1:3" ht="18.75">
      <c r="A592" s="828"/>
      <c r="B592" s="828"/>
      <c r="C592" s="829"/>
    </row>
    <row r="593" spans="1:3" ht="18.75">
      <c r="A593" s="828"/>
      <c r="B593" s="828"/>
      <c r="C593" s="829"/>
    </row>
    <row r="594" spans="1:3" ht="18.75">
      <c r="A594" s="828"/>
      <c r="B594" s="828"/>
      <c r="C594" s="829"/>
    </row>
    <row r="595" spans="1:3" ht="18.75">
      <c r="A595" s="828"/>
      <c r="B595" s="828"/>
      <c r="C595" s="829"/>
    </row>
    <row r="596" spans="1:3" ht="18.75">
      <c r="A596" s="828"/>
      <c r="B596" s="828"/>
      <c r="C596" s="829"/>
    </row>
    <row r="597" spans="1:3" ht="18.75">
      <c r="A597" s="828"/>
      <c r="B597" s="828"/>
      <c r="C597" s="829"/>
    </row>
    <row r="598" spans="1:3" ht="18.75">
      <c r="A598" s="828"/>
      <c r="B598" s="828"/>
      <c r="C598" s="829"/>
    </row>
    <row r="599" spans="1:3" ht="18.75">
      <c r="A599" s="828"/>
      <c r="B599" s="828"/>
      <c r="C599" s="829"/>
    </row>
    <row r="600" spans="1:3" ht="18.75">
      <c r="A600" s="828"/>
      <c r="B600" s="828"/>
      <c r="C600" s="829"/>
    </row>
    <row r="601" spans="1:3" ht="18.75">
      <c r="A601" s="828"/>
      <c r="B601" s="828"/>
      <c r="C601" s="829"/>
    </row>
    <row r="602" spans="1:3" ht="18.75">
      <c r="A602" s="828"/>
      <c r="B602" s="828"/>
      <c r="C602" s="829"/>
    </row>
    <row r="603" spans="1:3" ht="18.75">
      <c r="A603" s="828"/>
      <c r="B603" s="828"/>
      <c r="C603" s="829"/>
    </row>
    <row r="604" spans="1:3" ht="18.75">
      <c r="A604" s="828"/>
      <c r="B604" s="828"/>
      <c r="C604" s="829"/>
    </row>
    <row r="605" spans="1:3" ht="18.75">
      <c r="A605" s="828"/>
      <c r="B605" s="828"/>
      <c r="C605" s="829"/>
    </row>
    <row r="606" spans="1:3" ht="18.75">
      <c r="A606" s="828"/>
      <c r="B606" s="828"/>
      <c r="C606" s="829"/>
    </row>
    <row r="607" spans="1:3" ht="18.75">
      <c r="A607" s="828"/>
      <c r="B607" s="828"/>
      <c r="C607" s="829"/>
    </row>
    <row r="608" spans="1:3" ht="18.75">
      <c r="A608" s="828"/>
      <c r="B608" s="828"/>
      <c r="C608" s="829"/>
    </row>
    <row r="609" spans="1:3" ht="18.75">
      <c r="A609" s="828"/>
      <c r="B609" s="828"/>
      <c r="C609" s="829"/>
    </row>
    <row r="610" spans="1:3" ht="18.75">
      <c r="A610" s="828"/>
      <c r="B610" s="828"/>
      <c r="C610" s="829"/>
    </row>
    <row r="611" spans="1:3" ht="18.75">
      <c r="A611" s="828"/>
      <c r="B611" s="828"/>
      <c r="C611" s="829"/>
    </row>
    <row r="612" spans="1:3" ht="18.75">
      <c r="A612" s="828"/>
      <c r="B612" s="828"/>
      <c r="C612" s="829"/>
    </row>
    <row r="613" spans="1:3" ht="18.75">
      <c r="A613" s="828"/>
      <c r="B613" s="828"/>
      <c r="C613" s="829"/>
    </row>
    <row r="614" spans="1:3" ht="18.75">
      <c r="A614" s="828"/>
      <c r="B614" s="828"/>
      <c r="C614" s="829"/>
    </row>
    <row r="615" spans="1:3" ht="18.75">
      <c r="A615" s="828"/>
      <c r="B615" s="828"/>
      <c r="C615" s="829"/>
    </row>
    <row r="616" spans="1:3" ht="18.75">
      <c r="A616" s="828"/>
      <c r="B616" s="828"/>
      <c r="C616" s="829"/>
    </row>
    <row r="617" spans="1:3" ht="18.75">
      <c r="A617" s="828"/>
      <c r="B617" s="828"/>
      <c r="C617" s="829"/>
    </row>
    <row r="618" spans="1:3" ht="18.75">
      <c r="A618" s="828"/>
      <c r="B618" s="828"/>
      <c r="C618" s="829"/>
    </row>
    <row r="619" spans="1:3" ht="18.75">
      <c r="A619" s="828"/>
      <c r="B619" s="828"/>
      <c r="C619" s="829"/>
    </row>
    <row r="620" spans="1:3" ht="18.75">
      <c r="A620" s="828"/>
      <c r="B620" s="828"/>
      <c r="C620" s="829"/>
    </row>
    <row r="621" spans="1:3" ht="18.75">
      <c r="A621" s="828"/>
      <c r="B621" s="828"/>
      <c r="C621" s="829"/>
    </row>
    <row r="622" spans="1:3" ht="18.75">
      <c r="A622" s="828"/>
      <c r="B622" s="828"/>
      <c r="C622" s="829"/>
    </row>
    <row r="623" spans="1:3" ht="18.75">
      <c r="A623" s="828"/>
      <c r="B623" s="828"/>
      <c r="C623" s="829"/>
    </row>
    <row r="624" spans="1:3" ht="18.75">
      <c r="A624" s="828"/>
      <c r="B624" s="828"/>
      <c r="C624" s="829"/>
    </row>
    <row r="625" spans="1:3" ht="18.75">
      <c r="A625" s="828"/>
      <c r="B625" s="828"/>
      <c r="C625" s="829"/>
    </row>
    <row r="626" spans="1:3" ht="18.75">
      <c r="A626" s="828"/>
      <c r="B626" s="828"/>
      <c r="C626" s="829"/>
    </row>
    <row r="627" spans="1:3" ht="18.75">
      <c r="A627" s="828"/>
      <c r="B627" s="828"/>
      <c r="C627" s="829"/>
    </row>
    <row r="628" spans="1:3" ht="18.75">
      <c r="A628" s="828"/>
      <c r="B628" s="828"/>
      <c r="C628" s="829"/>
    </row>
    <row r="629" spans="1:3" ht="18.75">
      <c r="A629" s="828"/>
      <c r="B629" s="828"/>
      <c r="C629" s="829"/>
    </row>
    <row r="630" spans="1:3" ht="18.75">
      <c r="A630" s="828"/>
      <c r="B630" s="828"/>
      <c r="C630" s="829"/>
    </row>
    <row r="631" spans="1:3" ht="18.75">
      <c r="A631" s="828"/>
      <c r="B631" s="828"/>
      <c r="C631" s="829"/>
    </row>
    <row r="632" spans="1:3" ht="18.75">
      <c r="A632" s="828"/>
      <c r="B632" s="828"/>
      <c r="C632" s="829"/>
    </row>
    <row r="633" spans="1:3" ht="18.75">
      <c r="A633" s="828"/>
      <c r="B633" s="828"/>
      <c r="C633" s="829"/>
    </row>
    <row r="634" spans="1:3" ht="18.75">
      <c r="A634" s="828"/>
      <c r="B634" s="828"/>
      <c r="C634" s="829"/>
    </row>
    <row r="635" spans="1:3" ht="18.75">
      <c r="A635" s="828"/>
      <c r="B635" s="828"/>
      <c r="C635" s="829"/>
    </row>
    <row r="636" spans="1:3" ht="18.75">
      <c r="A636" s="828"/>
      <c r="B636" s="828"/>
      <c r="C636" s="829"/>
    </row>
    <row r="637" spans="1:3" ht="18.75">
      <c r="A637" s="828"/>
      <c r="B637" s="828"/>
      <c r="C637" s="829"/>
    </row>
    <row r="638" spans="1:3" ht="18.75">
      <c r="A638" s="828"/>
      <c r="B638" s="828"/>
      <c r="C638" s="829"/>
    </row>
    <row r="639" spans="1:3" ht="18.75">
      <c r="A639" s="828"/>
      <c r="B639" s="828"/>
      <c r="C639" s="829"/>
    </row>
    <row r="640" spans="1:3" ht="18.75">
      <c r="A640" s="828"/>
      <c r="B640" s="828"/>
      <c r="C640" s="829"/>
    </row>
    <row r="641" spans="1:3" ht="18.75">
      <c r="A641" s="828"/>
      <c r="B641" s="828"/>
      <c r="C641" s="829"/>
    </row>
    <row r="642" spans="1:3" ht="18.75">
      <c r="A642" s="828"/>
      <c r="B642" s="828"/>
      <c r="C642" s="829"/>
    </row>
    <row r="643" spans="1:3" ht="18.75">
      <c r="A643" s="828"/>
      <c r="B643" s="828"/>
      <c r="C643" s="829"/>
    </row>
    <row r="644" spans="1:3" ht="18.75">
      <c r="A644" s="828"/>
      <c r="B644" s="828"/>
      <c r="C644" s="829"/>
    </row>
    <row r="645" spans="1:3" ht="18.75">
      <c r="A645" s="828"/>
      <c r="B645" s="828"/>
      <c r="C645" s="829"/>
    </row>
    <row r="646" spans="1:3" ht="18.75">
      <c r="A646" s="828"/>
      <c r="B646" s="828"/>
      <c r="C646" s="829"/>
    </row>
    <row r="647" spans="1:3" ht="18.75">
      <c r="A647" s="828"/>
      <c r="B647" s="828"/>
      <c r="C647" s="829"/>
    </row>
    <row r="648" spans="1:3" ht="18.75">
      <c r="A648" s="828"/>
      <c r="B648" s="828"/>
      <c r="C648" s="829"/>
    </row>
    <row r="649" spans="1:3" ht="18.75">
      <c r="A649" s="828"/>
      <c r="B649" s="828"/>
      <c r="C649" s="829"/>
    </row>
    <row r="650" spans="1:3" ht="18.75">
      <c r="A650" s="828"/>
      <c r="B650" s="828"/>
      <c r="C650" s="829"/>
    </row>
    <row r="651" spans="1:3" ht="18.75">
      <c r="A651" s="828"/>
      <c r="B651" s="828"/>
      <c r="C651" s="829"/>
    </row>
    <row r="652" spans="1:3" ht="18.75">
      <c r="A652" s="828"/>
      <c r="B652" s="828"/>
      <c r="C652" s="829"/>
    </row>
    <row r="653" spans="1:3" ht="18.75">
      <c r="A653" s="828"/>
      <c r="B653" s="828"/>
      <c r="C653" s="829"/>
    </row>
    <row r="654" spans="1:3" ht="18.75">
      <c r="A654" s="828"/>
      <c r="B654" s="828"/>
      <c r="C654" s="829"/>
    </row>
    <row r="655" spans="1:3" ht="18.75">
      <c r="A655" s="828"/>
      <c r="B655" s="828"/>
      <c r="C655" s="829"/>
    </row>
    <row r="656" spans="1:3" ht="18.75">
      <c r="A656" s="828"/>
      <c r="B656" s="828"/>
      <c r="C656" s="829"/>
    </row>
    <row r="657" spans="1:3" ht="18.75">
      <c r="A657" s="828"/>
      <c r="B657" s="828"/>
      <c r="C657" s="829"/>
    </row>
    <row r="658" spans="1:3" ht="18.75">
      <c r="A658" s="828"/>
      <c r="B658" s="828"/>
      <c r="C658" s="829"/>
    </row>
    <row r="659" spans="1:3" ht="18.75">
      <c r="A659" s="828"/>
      <c r="B659" s="828"/>
      <c r="C659" s="829"/>
    </row>
    <row r="660" spans="1:3" ht="18.75">
      <c r="A660" s="828"/>
      <c r="B660" s="828"/>
      <c r="C660" s="829"/>
    </row>
    <row r="661" spans="1:3" ht="18.75">
      <c r="A661" s="828"/>
      <c r="B661" s="828"/>
      <c r="C661" s="829"/>
    </row>
    <row r="662" spans="1:3" ht="18.75">
      <c r="A662" s="828"/>
      <c r="B662" s="828"/>
      <c r="C662" s="829"/>
    </row>
    <row r="663" spans="1:3" ht="18.75">
      <c r="A663" s="828"/>
      <c r="B663" s="828"/>
      <c r="C663" s="829"/>
    </row>
    <row r="664" spans="1:3" ht="18.75">
      <c r="A664" s="828"/>
      <c r="B664" s="828"/>
      <c r="C664" s="829"/>
    </row>
    <row r="665" spans="1:3" ht="18.75">
      <c r="A665" s="828"/>
      <c r="B665" s="828"/>
      <c r="C665" s="829"/>
    </row>
    <row r="666" spans="1:3" ht="18.75">
      <c r="A666" s="828"/>
      <c r="B666" s="828"/>
      <c r="C666" s="829"/>
    </row>
    <row r="667" spans="1:3" ht="18.75">
      <c r="A667" s="828"/>
      <c r="B667" s="828"/>
      <c r="C667" s="829"/>
    </row>
    <row r="668" spans="1:3" ht="18.75">
      <c r="A668" s="828"/>
      <c r="B668" s="828"/>
      <c r="C668" s="829"/>
    </row>
    <row r="669" spans="1:3" ht="18.75">
      <c r="A669" s="828"/>
      <c r="B669" s="828"/>
      <c r="C669" s="829"/>
    </row>
    <row r="670" spans="1:3" ht="18.75">
      <c r="A670" s="828"/>
      <c r="B670" s="828"/>
      <c r="C670" s="829"/>
    </row>
    <row r="671" spans="1:3" ht="18.75">
      <c r="A671" s="828"/>
      <c r="B671" s="828"/>
      <c r="C671" s="829"/>
    </row>
    <row r="672" spans="1:3" ht="18.75">
      <c r="A672" s="828"/>
      <c r="B672" s="828"/>
      <c r="C672" s="829"/>
    </row>
    <row r="673" spans="1:3" ht="18.75">
      <c r="A673" s="828"/>
      <c r="B673" s="828"/>
      <c r="C673" s="829"/>
    </row>
    <row r="674" spans="1:3" ht="18.75">
      <c r="A674" s="828"/>
      <c r="B674" s="828"/>
      <c r="C674" s="829"/>
    </row>
    <row r="675" spans="1:3" ht="18.75">
      <c r="A675" s="828"/>
      <c r="B675" s="828"/>
      <c r="C675" s="829"/>
    </row>
    <row r="676" spans="1:3" ht="18.75">
      <c r="A676" s="828"/>
      <c r="B676" s="828"/>
      <c r="C676" s="829"/>
    </row>
    <row r="677" spans="1:3" ht="18.75">
      <c r="A677" s="828"/>
      <c r="B677" s="828"/>
      <c r="C677" s="829"/>
    </row>
    <row r="678" spans="1:3" ht="18.75">
      <c r="A678" s="828"/>
      <c r="B678" s="828"/>
      <c r="C678" s="829"/>
    </row>
    <row r="679" spans="1:3" ht="18.75">
      <c r="A679" s="828"/>
      <c r="B679" s="828"/>
      <c r="C679" s="829"/>
    </row>
    <row r="680" spans="1:3" ht="18.75">
      <c r="A680" s="828"/>
      <c r="B680" s="828"/>
      <c r="C680" s="829"/>
    </row>
    <row r="681" spans="1:3" ht="18.75">
      <c r="A681" s="828"/>
      <c r="B681" s="828"/>
      <c r="C681" s="829"/>
    </row>
    <row r="682" spans="1:3" ht="18.75">
      <c r="A682" s="828"/>
      <c r="B682" s="828"/>
      <c r="C682" s="829"/>
    </row>
    <row r="683" spans="1:3" ht="18.75">
      <c r="A683" s="828"/>
      <c r="B683" s="828"/>
      <c r="C683" s="829"/>
    </row>
    <row r="684" spans="1:3" ht="18.75">
      <c r="A684" s="828"/>
      <c r="B684" s="828"/>
      <c r="C684" s="829"/>
    </row>
    <row r="685" spans="1:3" ht="18.75">
      <c r="A685" s="828"/>
      <c r="B685" s="828"/>
      <c r="C685" s="829"/>
    </row>
    <row r="686" spans="1:3" ht="18.75">
      <c r="A686" s="828"/>
      <c r="B686" s="828"/>
      <c r="C686" s="829"/>
    </row>
    <row r="687" spans="1:3" ht="18.75">
      <c r="A687" s="828"/>
      <c r="B687" s="828"/>
      <c r="C687" s="829"/>
    </row>
    <row r="688" spans="1:3" ht="18.75">
      <c r="A688" s="828"/>
      <c r="B688" s="828"/>
      <c r="C688" s="829"/>
    </row>
    <row r="689" spans="1:3" ht="18.75">
      <c r="A689" s="828"/>
      <c r="B689" s="828"/>
      <c r="C689" s="829"/>
    </row>
    <row r="690" spans="1:3" ht="18.75">
      <c r="A690" s="828"/>
      <c r="B690" s="828"/>
      <c r="C690" s="829"/>
    </row>
    <row r="691" spans="1:3" ht="18.75">
      <c r="A691" s="828"/>
      <c r="B691" s="828"/>
      <c r="C691" s="829"/>
    </row>
    <row r="692" spans="1:3" ht="18.75">
      <c r="A692" s="828"/>
      <c r="B692" s="828"/>
      <c r="C692" s="829"/>
    </row>
    <row r="693" spans="1:3" ht="18.75">
      <c r="A693" s="828"/>
      <c r="B693" s="828"/>
      <c r="C693" s="829"/>
    </row>
    <row r="694" spans="1:3" ht="18.75">
      <c r="A694" s="828"/>
      <c r="B694" s="828"/>
      <c r="C694" s="829"/>
    </row>
    <row r="695" spans="1:3" ht="18.75">
      <c r="A695" s="828"/>
      <c r="B695" s="828"/>
      <c r="C695" s="829"/>
    </row>
    <row r="696" spans="1:3" ht="18.75">
      <c r="A696" s="828"/>
      <c r="B696" s="828"/>
      <c r="C696" s="829"/>
    </row>
    <row r="697" spans="1:3" ht="18.75">
      <c r="A697" s="828"/>
      <c r="B697" s="828"/>
      <c r="C697" s="829"/>
    </row>
    <row r="698" spans="1:3" ht="18.75">
      <c r="A698" s="828"/>
      <c r="B698" s="828"/>
      <c r="C698" s="829"/>
    </row>
    <row r="699" spans="1:3" ht="18.75">
      <c r="A699" s="828"/>
      <c r="B699" s="828"/>
      <c r="C699" s="829"/>
    </row>
    <row r="700" spans="1:3" ht="18.75">
      <c r="A700" s="828"/>
      <c r="B700" s="828"/>
      <c r="C700" s="829"/>
    </row>
    <row r="701" spans="1:3" ht="18.75">
      <c r="A701" s="828"/>
      <c r="B701" s="828"/>
      <c r="C701" s="829"/>
    </row>
    <row r="702" spans="1:3" ht="18.75">
      <c r="A702" s="828"/>
      <c r="B702" s="828"/>
      <c r="C702" s="829"/>
    </row>
    <row r="703" spans="1:3" ht="18.75">
      <c r="A703" s="828"/>
      <c r="B703" s="828"/>
      <c r="C703" s="829"/>
    </row>
    <row r="704" spans="1:3" ht="18.75">
      <c r="A704" s="828"/>
      <c r="B704" s="828"/>
      <c r="C704" s="829"/>
    </row>
    <row r="705" spans="1:3" ht="18.75">
      <c r="A705" s="828"/>
      <c r="B705" s="828"/>
      <c r="C705" s="829"/>
    </row>
    <row r="706" spans="1:3" ht="18.75">
      <c r="A706" s="828"/>
      <c r="B706" s="828"/>
      <c r="C706" s="829"/>
    </row>
    <row r="707" spans="1:3" ht="18.75">
      <c r="A707" s="828"/>
      <c r="B707" s="828"/>
      <c r="C707" s="829"/>
    </row>
    <row r="708" spans="1:3" ht="18.75">
      <c r="A708" s="828"/>
      <c r="B708" s="828"/>
      <c r="C708" s="829"/>
    </row>
    <row r="709" spans="1:3" ht="18.75">
      <c r="A709" s="828"/>
      <c r="B709" s="828"/>
      <c r="C709" s="829"/>
    </row>
    <row r="710" spans="1:3" ht="18.75">
      <c r="A710" s="828"/>
      <c r="B710" s="828"/>
      <c r="C710" s="829"/>
    </row>
    <row r="711" spans="1:3" ht="18.75">
      <c r="A711" s="828"/>
      <c r="B711" s="828"/>
      <c r="C711" s="829"/>
    </row>
    <row r="712" spans="1:3" ht="18.75">
      <c r="A712" s="828"/>
      <c r="B712" s="828"/>
      <c r="C712" s="829"/>
    </row>
    <row r="713" spans="1:3" ht="18.75">
      <c r="A713" s="828"/>
      <c r="B713" s="828"/>
      <c r="C713" s="829"/>
    </row>
    <row r="714" spans="1:3" ht="18.75">
      <c r="A714" s="828"/>
      <c r="B714" s="828"/>
      <c r="C714" s="829"/>
    </row>
    <row r="715" spans="1:3" ht="18.75">
      <c r="A715" s="828"/>
      <c r="B715" s="828"/>
      <c r="C715" s="829"/>
    </row>
    <row r="716" spans="1:3" ht="18.75">
      <c r="A716" s="828"/>
      <c r="B716" s="828"/>
      <c r="C716" s="829"/>
    </row>
    <row r="717" spans="1:3" ht="18.75">
      <c r="A717" s="828"/>
      <c r="B717" s="828"/>
      <c r="C717" s="829"/>
    </row>
    <row r="718" spans="1:3" ht="18.75">
      <c r="A718" s="828"/>
      <c r="B718" s="828"/>
      <c r="C718" s="829"/>
    </row>
    <row r="719" spans="1:3" ht="18.75">
      <c r="A719" s="828"/>
      <c r="B719" s="828"/>
      <c r="C719" s="829"/>
    </row>
    <row r="720" spans="1:3" ht="18.75">
      <c r="A720" s="828"/>
      <c r="B720" s="828"/>
      <c r="C720" s="829"/>
    </row>
    <row r="721" spans="1:3" ht="18.75">
      <c r="A721" s="828"/>
      <c r="B721" s="828"/>
      <c r="C721" s="829"/>
    </row>
    <row r="722" spans="1:3" ht="18.75">
      <c r="A722" s="828"/>
      <c r="B722" s="828"/>
      <c r="C722" s="829"/>
    </row>
    <row r="723" spans="1:3" ht="18.75">
      <c r="A723" s="828"/>
      <c r="B723" s="828"/>
      <c r="C723" s="829"/>
    </row>
    <row r="724" spans="1:3" ht="18.75">
      <c r="A724" s="828"/>
      <c r="B724" s="828"/>
      <c r="C724" s="829"/>
    </row>
    <row r="725" spans="1:3" ht="18.75">
      <c r="A725" s="828"/>
      <c r="B725" s="828"/>
      <c r="C725" s="829"/>
    </row>
    <row r="726" spans="1:3" ht="18.75">
      <c r="A726" s="828"/>
      <c r="B726" s="828"/>
      <c r="C726" s="829"/>
    </row>
    <row r="727" spans="1:3" ht="18.75">
      <c r="A727" s="828"/>
      <c r="B727" s="828"/>
      <c r="C727" s="829"/>
    </row>
    <row r="728" spans="1:3" ht="18.75">
      <c r="A728" s="828"/>
      <c r="B728" s="828"/>
      <c r="C728" s="829"/>
    </row>
    <row r="729" spans="1:3" ht="18.75">
      <c r="A729" s="828"/>
      <c r="B729" s="828"/>
      <c r="C729" s="829"/>
    </row>
    <row r="730" spans="1:3" ht="18.75">
      <c r="A730" s="828"/>
      <c r="B730" s="828"/>
      <c r="C730" s="829"/>
    </row>
    <row r="731" spans="1:3" ht="18.75">
      <c r="A731" s="828"/>
      <c r="B731" s="828"/>
      <c r="C731" s="829"/>
    </row>
    <row r="732" spans="1:3" ht="18.75">
      <c r="A732" s="828"/>
      <c r="B732" s="828"/>
      <c r="C732" s="829"/>
    </row>
    <row r="733" spans="1:3" ht="18.75">
      <c r="A733" s="828"/>
      <c r="B733" s="828"/>
      <c r="C733" s="829"/>
    </row>
    <row r="734" spans="1:3" ht="18.75">
      <c r="A734" s="828"/>
      <c r="B734" s="828"/>
      <c r="C734" s="829"/>
    </row>
    <row r="735" spans="1:3" ht="18.75">
      <c r="A735" s="828"/>
      <c r="B735" s="828"/>
      <c r="C735" s="829"/>
    </row>
    <row r="736" spans="1:3" ht="18.75">
      <c r="A736" s="828"/>
      <c r="B736" s="828"/>
      <c r="C736" s="829"/>
    </row>
    <row r="737" spans="1:3" ht="18.75">
      <c r="A737" s="828"/>
      <c r="B737" s="828"/>
      <c r="C737" s="829"/>
    </row>
    <row r="738" spans="1:3" ht="18.75">
      <c r="A738" s="828"/>
      <c r="B738" s="828"/>
      <c r="C738" s="829"/>
    </row>
    <row r="739" spans="1:3" ht="18.75">
      <c r="A739" s="828"/>
      <c r="B739" s="828"/>
      <c r="C739" s="829"/>
    </row>
    <row r="740" spans="1:3" ht="18.75">
      <c r="A740" s="828"/>
      <c r="B740" s="828"/>
      <c r="C740" s="829"/>
    </row>
    <row r="741" spans="1:3" ht="18.75">
      <c r="A741" s="828"/>
      <c r="B741" s="828"/>
      <c r="C741" s="829"/>
    </row>
    <row r="742" spans="1:3" ht="18.75">
      <c r="A742" s="828"/>
      <c r="B742" s="828"/>
      <c r="C742" s="829"/>
    </row>
    <row r="743" spans="1:3" ht="18.75">
      <c r="A743" s="828"/>
      <c r="B743" s="828"/>
      <c r="C743" s="829"/>
    </row>
    <row r="744" spans="1:3" ht="18.75">
      <c r="A744" s="828"/>
      <c r="B744" s="828"/>
      <c r="C744" s="829"/>
    </row>
    <row r="745" spans="1:3" ht="18.75">
      <c r="A745" s="828"/>
      <c r="B745" s="828"/>
      <c r="C745" s="829"/>
    </row>
    <row r="746" spans="1:3" ht="18.75">
      <c r="A746" s="828"/>
      <c r="B746" s="828"/>
      <c r="C746" s="829"/>
    </row>
    <row r="747" spans="1:3" ht="18.75">
      <c r="A747" s="828"/>
      <c r="B747" s="828"/>
      <c r="C747" s="829"/>
    </row>
    <row r="748" spans="1:3" ht="18.75">
      <c r="A748" s="828"/>
      <c r="B748" s="828"/>
      <c r="C748" s="829"/>
    </row>
    <row r="749" spans="1:3" ht="18.75">
      <c r="A749" s="828"/>
      <c r="B749" s="828"/>
      <c r="C749" s="829"/>
    </row>
    <row r="750" spans="1:3" ht="18.75">
      <c r="A750" s="828"/>
      <c r="B750" s="828"/>
      <c r="C750" s="829"/>
    </row>
    <row r="751" spans="1:3" ht="18.75">
      <c r="A751" s="828"/>
      <c r="B751" s="828"/>
      <c r="C751" s="829"/>
    </row>
    <row r="752" spans="1:3" ht="18.75">
      <c r="A752" s="828"/>
      <c r="B752" s="828"/>
      <c r="C752" s="829"/>
    </row>
    <row r="753" spans="1:3" ht="18.75">
      <c r="A753" s="828"/>
      <c r="B753" s="828"/>
      <c r="C753" s="829"/>
    </row>
    <row r="754" spans="1:3" ht="18.75">
      <c r="A754" s="828"/>
      <c r="B754" s="828"/>
      <c r="C754" s="829"/>
    </row>
    <row r="755" spans="1:3" ht="18.75">
      <c r="A755" s="828"/>
      <c r="B755" s="828"/>
      <c r="C755" s="829"/>
    </row>
    <row r="756" spans="1:3" ht="18.75">
      <c r="A756" s="828"/>
      <c r="B756" s="828"/>
      <c r="C756" s="829"/>
    </row>
    <row r="757" spans="1:3" ht="18.75">
      <c r="A757" s="828"/>
      <c r="B757" s="828"/>
      <c r="C757" s="829"/>
    </row>
    <row r="758" spans="1:3" ht="18.75">
      <c r="A758" s="828"/>
      <c r="B758" s="828"/>
      <c r="C758" s="829"/>
    </row>
    <row r="759" spans="1:3" ht="18.75">
      <c r="A759" s="828"/>
      <c r="B759" s="828"/>
      <c r="C759" s="829"/>
    </row>
    <row r="760" spans="1:3" ht="18.75">
      <c r="A760" s="828"/>
      <c r="B760" s="828"/>
      <c r="C760" s="829"/>
    </row>
    <row r="761" spans="1:3" ht="18.75">
      <c r="A761" s="828"/>
      <c r="B761" s="828"/>
      <c r="C761" s="829"/>
    </row>
    <row r="762" spans="1:3" ht="18.75">
      <c r="A762" s="828"/>
      <c r="B762" s="828"/>
      <c r="C762" s="829"/>
    </row>
    <row r="763" spans="1:3" ht="18.75">
      <c r="A763" s="828"/>
      <c r="B763" s="828"/>
      <c r="C763" s="829"/>
    </row>
    <row r="764" spans="1:3" ht="18.75">
      <c r="A764" s="828"/>
      <c r="B764" s="828"/>
      <c r="C764" s="829"/>
    </row>
    <row r="765" spans="1:3" ht="18.75">
      <c r="A765" s="828"/>
      <c r="B765" s="828"/>
      <c r="C765" s="829"/>
    </row>
    <row r="766" spans="1:3" ht="18.75">
      <c r="A766" s="828"/>
      <c r="B766" s="828"/>
      <c r="C766" s="829"/>
    </row>
    <row r="767" spans="1:3" ht="18.75">
      <c r="A767" s="828"/>
      <c r="B767" s="828"/>
      <c r="C767" s="829"/>
    </row>
    <row r="768" spans="1:3" ht="18.75">
      <c r="A768" s="828"/>
      <c r="B768" s="828"/>
      <c r="C768" s="829"/>
    </row>
    <row r="769" spans="1:3" ht="18.75">
      <c r="A769" s="828"/>
      <c r="B769" s="828"/>
      <c r="C769" s="829"/>
    </row>
    <row r="770" spans="1:3" ht="18.75">
      <c r="A770" s="828"/>
      <c r="B770" s="828"/>
      <c r="C770" s="829"/>
    </row>
    <row r="771" spans="1:3" ht="18.75">
      <c r="A771" s="828"/>
      <c r="B771" s="828"/>
      <c r="C771" s="829"/>
    </row>
    <row r="772" spans="1:3" ht="18.75">
      <c r="A772" s="828"/>
      <c r="B772" s="828"/>
      <c r="C772" s="829"/>
    </row>
    <row r="773" spans="1:3" ht="18.75">
      <c r="A773" s="828"/>
      <c r="B773" s="828"/>
      <c r="C773" s="829"/>
    </row>
    <row r="774" spans="1:3" ht="18.75">
      <c r="A774" s="828"/>
      <c r="B774" s="828"/>
      <c r="C774" s="829"/>
    </row>
    <row r="775" spans="1:3" ht="18.75">
      <c r="A775" s="828"/>
      <c r="B775" s="828"/>
      <c r="C775" s="829"/>
    </row>
    <row r="776" spans="1:3" ht="18.75">
      <c r="A776" s="828"/>
      <c r="B776" s="828"/>
      <c r="C776" s="829"/>
    </row>
    <row r="777" spans="1:3" ht="18.75">
      <c r="A777" s="828"/>
      <c r="B777" s="828"/>
      <c r="C777" s="829"/>
    </row>
    <row r="778" spans="1:3" ht="18.75">
      <c r="A778" s="828"/>
      <c r="B778" s="828"/>
      <c r="C778" s="829"/>
    </row>
    <row r="779" spans="1:3" ht="18.75">
      <c r="A779" s="828"/>
      <c r="B779" s="828"/>
      <c r="C779" s="829"/>
    </row>
    <row r="780" spans="1:3" ht="18.75">
      <c r="A780" s="828"/>
      <c r="B780" s="828"/>
      <c r="C780" s="829"/>
    </row>
    <row r="781" spans="1:3" ht="18.75">
      <c r="A781" s="828"/>
      <c r="B781" s="828"/>
      <c r="C781" s="829"/>
    </row>
    <row r="782" spans="1:3" ht="18.75">
      <c r="A782" s="828"/>
      <c r="B782" s="828"/>
      <c r="C782" s="829"/>
    </row>
    <row r="783" spans="1:3" ht="18.75">
      <c r="A783" s="828"/>
      <c r="B783" s="828"/>
      <c r="C783" s="829"/>
    </row>
    <row r="784" spans="1:3" ht="18.75">
      <c r="A784" s="828"/>
      <c r="B784" s="828"/>
      <c r="C784" s="829"/>
    </row>
    <row r="785" spans="1:3" ht="18.75">
      <c r="A785" s="828"/>
      <c r="B785" s="828"/>
      <c r="C785" s="829"/>
    </row>
    <row r="786" spans="1:3" ht="18.75">
      <c r="A786" s="828"/>
      <c r="B786" s="828"/>
      <c r="C786" s="829"/>
    </row>
    <row r="787" spans="1:3" ht="18.75">
      <c r="A787" s="828"/>
      <c r="B787" s="828"/>
      <c r="C787" s="829"/>
    </row>
    <row r="788" spans="1:3" ht="18.75">
      <c r="A788" s="828"/>
      <c r="B788" s="828"/>
      <c r="C788" s="829"/>
    </row>
    <row r="789" spans="1:3" ht="18.75">
      <c r="A789" s="828"/>
      <c r="B789" s="828"/>
      <c r="C789" s="829"/>
    </row>
    <row r="790" spans="1:3" ht="18.75">
      <c r="A790" s="828"/>
      <c r="B790" s="828"/>
      <c r="C790" s="829"/>
    </row>
    <row r="791" spans="1:3" ht="18.75">
      <c r="A791" s="828"/>
      <c r="B791" s="828"/>
      <c r="C791" s="829"/>
    </row>
    <row r="792" spans="1:3" ht="18.75">
      <c r="A792" s="828"/>
      <c r="B792" s="828"/>
      <c r="C792" s="829"/>
    </row>
    <row r="793" spans="1:3" ht="18.75">
      <c r="A793" s="828"/>
      <c r="B793" s="828"/>
      <c r="C793" s="829"/>
    </row>
    <row r="794" spans="1:3" ht="18.75">
      <c r="A794" s="828"/>
      <c r="B794" s="828"/>
      <c r="C794" s="829"/>
    </row>
    <row r="795" spans="1:3" ht="18.75">
      <c r="A795" s="828"/>
      <c r="B795" s="828"/>
      <c r="C795" s="829"/>
    </row>
    <row r="796" spans="1:3" ht="18.75">
      <c r="A796" s="828"/>
      <c r="B796" s="828"/>
      <c r="C796" s="829"/>
    </row>
    <row r="797" spans="1:3" ht="18.75">
      <c r="A797" s="828"/>
      <c r="B797" s="828"/>
      <c r="C797" s="829"/>
    </row>
    <row r="798" spans="1:3" ht="18.75">
      <c r="A798" s="828"/>
      <c r="B798" s="828"/>
      <c r="C798" s="829"/>
    </row>
    <row r="799" spans="1:3" ht="18.75">
      <c r="A799" s="828"/>
      <c r="B799" s="828"/>
      <c r="C799" s="829"/>
    </row>
    <row r="800" spans="1:3" ht="18.75">
      <c r="A800" s="828"/>
      <c r="B800" s="828"/>
      <c r="C800" s="829"/>
    </row>
    <row r="801" spans="1:3" ht="18.75">
      <c r="A801" s="828"/>
      <c r="B801" s="828"/>
      <c r="C801" s="829"/>
    </row>
    <row r="802" spans="1:3" ht="18.75">
      <c r="A802" s="828"/>
      <c r="B802" s="828"/>
      <c r="C802" s="829"/>
    </row>
    <row r="803" spans="1:3" ht="18.75">
      <c r="A803" s="828"/>
      <c r="B803" s="828"/>
      <c r="C803" s="829"/>
    </row>
    <row r="804" spans="1:3" ht="18.75">
      <c r="A804" s="828"/>
      <c r="B804" s="828"/>
      <c r="C804" s="829"/>
    </row>
    <row r="805" spans="1:3" ht="18.75">
      <c r="A805" s="828"/>
      <c r="B805" s="828"/>
      <c r="C805" s="829"/>
    </row>
    <row r="806" spans="1:3" ht="18.75">
      <c r="A806" s="828"/>
      <c r="B806" s="828"/>
      <c r="C806" s="829"/>
    </row>
    <row r="807" spans="1:3" ht="18.75">
      <c r="A807" s="828"/>
      <c r="B807" s="828"/>
      <c r="C807" s="829"/>
    </row>
    <row r="808" spans="1:3" ht="18.75">
      <c r="A808" s="828"/>
      <c r="B808" s="828"/>
      <c r="C808" s="829"/>
    </row>
    <row r="809" spans="1:3" ht="18.75">
      <c r="A809" s="828"/>
      <c r="B809" s="828"/>
      <c r="C809" s="829"/>
    </row>
    <row r="810" spans="1:3" ht="18.75">
      <c r="A810" s="828"/>
      <c r="B810" s="828"/>
      <c r="C810" s="829"/>
    </row>
    <row r="811" spans="1:3" ht="18.75">
      <c r="A811" s="828"/>
      <c r="B811" s="828"/>
      <c r="C811" s="829"/>
    </row>
    <row r="812" spans="1:3" ht="18.75">
      <c r="A812" s="828"/>
      <c r="B812" s="828"/>
      <c r="C812" s="829"/>
    </row>
    <row r="813" spans="1:3" ht="18.75">
      <c r="A813" s="828"/>
      <c r="B813" s="828"/>
      <c r="C813" s="829"/>
    </row>
    <row r="814" spans="1:3" ht="18.75">
      <c r="A814" s="828"/>
      <c r="B814" s="828"/>
      <c r="C814" s="829"/>
    </row>
    <row r="815" spans="1:3" ht="18.75">
      <c r="A815" s="828"/>
      <c r="B815" s="828"/>
      <c r="C815" s="829"/>
    </row>
    <row r="816" spans="1:3" ht="18.75">
      <c r="A816" s="828"/>
      <c r="B816" s="828"/>
      <c r="C816" s="829"/>
    </row>
    <row r="817" spans="1:3" ht="18.75">
      <c r="A817" s="828"/>
      <c r="B817" s="828"/>
      <c r="C817" s="829"/>
    </row>
    <row r="818" spans="1:3" ht="18.75">
      <c r="A818" s="828"/>
      <c r="B818" s="828"/>
      <c r="C818" s="829"/>
    </row>
    <row r="819" spans="1:3" ht="18.75">
      <c r="A819" s="828"/>
      <c r="B819" s="828"/>
      <c r="C819" s="829"/>
    </row>
    <row r="820" spans="1:3" ht="18.75">
      <c r="A820" s="828"/>
      <c r="B820" s="828"/>
      <c r="C820" s="829"/>
    </row>
    <row r="821" spans="1:3" ht="18.75">
      <c r="A821" s="828"/>
      <c r="B821" s="828"/>
      <c r="C821" s="829"/>
    </row>
    <row r="822" spans="1:3" ht="18.75">
      <c r="A822" s="828"/>
      <c r="B822" s="828"/>
      <c r="C822" s="829"/>
    </row>
    <row r="823" spans="1:3" ht="18.75">
      <c r="A823" s="828"/>
      <c r="B823" s="828"/>
      <c r="C823" s="829"/>
    </row>
    <row r="824" spans="1:3" ht="18.75">
      <c r="A824" s="828"/>
      <c r="B824" s="828"/>
      <c r="C824" s="829"/>
    </row>
    <row r="825" spans="1:3" ht="18.75">
      <c r="A825" s="828"/>
      <c r="B825" s="828"/>
      <c r="C825" s="829"/>
    </row>
    <row r="826" spans="1:3" ht="18.75">
      <c r="A826" s="828"/>
      <c r="B826" s="828"/>
      <c r="C826" s="829"/>
    </row>
    <row r="827" spans="1:3" ht="18.75">
      <c r="A827" s="828"/>
      <c r="B827" s="828"/>
      <c r="C827" s="829"/>
    </row>
    <row r="828" spans="1:3" ht="18.75">
      <c r="A828" s="828"/>
      <c r="B828" s="828"/>
      <c r="C828" s="829"/>
    </row>
    <row r="829" spans="1:3" ht="18.75">
      <c r="A829" s="828"/>
      <c r="B829" s="828"/>
      <c r="C829" s="829"/>
    </row>
    <row r="830" spans="1:3" ht="18.75">
      <c r="A830" s="828"/>
      <c r="B830" s="828"/>
      <c r="C830" s="829"/>
    </row>
    <row r="831" spans="1:3" ht="18.75">
      <c r="A831" s="828"/>
      <c r="B831" s="828"/>
      <c r="C831" s="829"/>
    </row>
    <row r="832" spans="1:3" ht="18.75">
      <c r="A832" s="828"/>
      <c r="B832" s="828"/>
      <c r="C832" s="829"/>
    </row>
    <row r="833" spans="1:3" ht="18.75">
      <c r="A833" s="828"/>
      <c r="B833" s="828"/>
      <c r="C833" s="829"/>
    </row>
    <row r="834" spans="1:3" ht="18.75">
      <c r="A834" s="828"/>
      <c r="B834" s="828"/>
      <c r="C834" s="829"/>
    </row>
    <row r="835" spans="1:3" ht="18.75">
      <c r="A835" s="828"/>
      <c r="B835" s="828"/>
      <c r="C835" s="829"/>
    </row>
    <row r="836" spans="1:3" ht="18.75">
      <c r="A836" s="828"/>
      <c r="B836" s="828"/>
      <c r="C836" s="829"/>
    </row>
    <row r="837" spans="1:3" ht="18.75">
      <c r="A837" s="828"/>
      <c r="B837" s="828"/>
      <c r="C837" s="829"/>
    </row>
    <row r="838" spans="1:3" ht="18.75">
      <c r="A838" s="828"/>
      <c r="B838" s="828"/>
      <c r="C838" s="829"/>
    </row>
    <row r="839" spans="1:3" ht="18.75">
      <c r="A839" s="828"/>
      <c r="B839" s="828"/>
      <c r="C839" s="829"/>
    </row>
    <row r="840" spans="1:3" ht="18.75">
      <c r="A840" s="828"/>
      <c r="B840" s="828"/>
      <c r="C840" s="829"/>
    </row>
    <row r="841" spans="1:3" ht="18.75">
      <c r="A841" s="828"/>
      <c r="B841" s="828"/>
      <c r="C841" s="829"/>
    </row>
    <row r="842" spans="1:3" ht="18.75">
      <c r="A842" s="828"/>
      <c r="B842" s="828"/>
      <c r="C842" s="829"/>
    </row>
    <row r="843" spans="1:3" ht="18.75">
      <c r="A843" s="828"/>
      <c r="B843" s="828"/>
      <c r="C843" s="829"/>
    </row>
    <row r="844" spans="1:3" ht="18.75">
      <c r="A844" s="828"/>
      <c r="B844" s="828"/>
      <c r="C844" s="829"/>
    </row>
    <row r="845" spans="1:3" ht="18.75">
      <c r="A845" s="828"/>
      <c r="B845" s="828"/>
      <c r="C845" s="829"/>
    </row>
    <row r="846" spans="1:3" ht="18.75">
      <c r="A846" s="828"/>
      <c r="B846" s="828"/>
      <c r="C846" s="829"/>
    </row>
    <row r="847" spans="1:3" ht="18.75">
      <c r="A847" s="828"/>
      <c r="B847" s="828"/>
      <c r="C847" s="829"/>
    </row>
    <row r="848" spans="1:3" ht="18.75">
      <c r="A848" s="828"/>
      <c r="B848" s="828"/>
      <c r="C848" s="829"/>
    </row>
    <row r="849" spans="1:3" ht="18.75">
      <c r="A849" s="828"/>
      <c r="B849" s="828"/>
      <c r="C849" s="829"/>
    </row>
    <row r="850" spans="1:3" ht="18.75">
      <c r="A850" s="828"/>
      <c r="B850" s="828"/>
      <c r="C850" s="829"/>
    </row>
    <row r="851" spans="1:3" ht="18.75">
      <c r="A851" s="828"/>
      <c r="B851" s="828"/>
      <c r="C851" s="829"/>
    </row>
    <row r="852" spans="1:3" ht="18.75">
      <c r="A852" s="828"/>
      <c r="B852" s="828"/>
      <c r="C852" s="829"/>
    </row>
    <row r="853" spans="1:3" ht="18.75">
      <c r="A853" s="828"/>
      <c r="B853" s="828"/>
      <c r="C853" s="829"/>
    </row>
    <row r="854" spans="1:3" ht="18.75">
      <c r="A854" s="828"/>
      <c r="B854" s="828"/>
      <c r="C854" s="829"/>
    </row>
    <row r="855" spans="1:3" ht="18.75">
      <c r="A855" s="828"/>
      <c r="B855" s="828"/>
      <c r="C855" s="829"/>
    </row>
    <row r="856" spans="1:3" ht="18.75">
      <c r="A856" s="828"/>
      <c r="B856" s="828"/>
      <c r="C856" s="829"/>
    </row>
    <row r="857" spans="1:3" ht="18.75">
      <c r="A857" s="828"/>
      <c r="B857" s="828"/>
      <c r="C857" s="829"/>
    </row>
    <row r="858" spans="1:3" ht="18.75">
      <c r="A858" s="828"/>
      <c r="B858" s="828"/>
      <c r="C858" s="829"/>
    </row>
    <row r="859" spans="1:3" ht="18.75">
      <c r="A859" s="828"/>
      <c r="B859" s="828"/>
      <c r="C859" s="829"/>
    </row>
    <row r="860" spans="1:3" ht="18.75">
      <c r="A860" s="828"/>
      <c r="B860" s="828"/>
      <c r="C860" s="829"/>
    </row>
    <row r="861" spans="1:3" ht="18.75">
      <c r="A861" s="828"/>
      <c r="B861" s="828"/>
      <c r="C861" s="829"/>
    </row>
    <row r="862" spans="1:3" ht="18.75">
      <c r="A862" s="828"/>
      <c r="B862" s="828"/>
      <c r="C862" s="829"/>
    </row>
    <row r="863" spans="1:3" ht="18.75">
      <c r="A863" s="828"/>
      <c r="B863" s="828"/>
      <c r="C863" s="829"/>
    </row>
    <row r="864" spans="1:3" ht="18.75">
      <c r="A864" s="828"/>
      <c r="B864" s="828"/>
      <c r="C864" s="829"/>
    </row>
    <row r="865" spans="1:3" ht="18.75">
      <c r="A865" s="828"/>
      <c r="B865" s="828"/>
      <c r="C865" s="829"/>
    </row>
    <row r="866" spans="1:3" ht="18.75">
      <c r="A866" s="828"/>
      <c r="B866" s="828"/>
      <c r="C866" s="829"/>
    </row>
    <row r="867" spans="1:3" ht="18.75">
      <c r="A867" s="828"/>
      <c r="B867" s="828"/>
      <c r="C867" s="829"/>
    </row>
    <row r="868" spans="1:3" ht="18.75">
      <c r="A868" s="828"/>
      <c r="B868" s="828"/>
      <c r="C868" s="829"/>
    </row>
    <row r="869" spans="1:3" ht="18.75">
      <c r="A869" s="828"/>
      <c r="B869" s="828"/>
      <c r="C869" s="829"/>
    </row>
    <row r="870" spans="1:3" ht="18.75">
      <c r="A870" s="828"/>
      <c r="B870" s="828"/>
      <c r="C870" s="829"/>
    </row>
    <row r="871" spans="1:3" ht="18.75">
      <c r="A871" s="828"/>
      <c r="B871" s="828"/>
      <c r="C871" s="829"/>
    </row>
    <row r="872" spans="1:3" ht="18.75">
      <c r="A872" s="828"/>
      <c r="B872" s="828"/>
      <c r="C872" s="829"/>
    </row>
    <row r="873" spans="1:3" ht="18.75">
      <c r="A873" s="828"/>
      <c r="B873" s="828"/>
      <c r="C873" s="829"/>
    </row>
    <row r="874" spans="1:3" ht="18.75">
      <c r="A874" s="828"/>
      <c r="B874" s="828"/>
      <c r="C874" s="829"/>
    </row>
    <row r="875" spans="1:3" ht="18.75">
      <c r="A875" s="828"/>
      <c r="B875" s="828"/>
      <c r="C875" s="829"/>
    </row>
    <row r="876" spans="1:3" ht="18.75">
      <c r="A876" s="828"/>
      <c r="B876" s="828"/>
      <c r="C876" s="829"/>
    </row>
    <row r="877" spans="1:3" ht="18.75">
      <c r="A877" s="828"/>
      <c r="B877" s="828"/>
      <c r="C877" s="829"/>
    </row>
    <row r="878" spans="1:3" ht="18.75">
      <c r="A878" s="828"/>
      <c r="B878" s="828"/>
      <c r="C878" s="829"/>
    </row>
    <row r="879" spans="1:3" ht="18.75">
      <c r="A879" s="828"/>
      <c r="B879" s="828"/>
      <c r="C879" s="829"/>
    </row>
    <row r="880" spans="1:3" ht="18.75">
      <c r="A880" s="828"/>
      <c r="B880" s="828"/>
      <c r="C880" s="829"/>
    </row>
    <row r="881" spans="1:3" ht="18.75">
      <c r="A881" s="828"/>
      <c r="B881" s="828"/>
      <c r="C881" s="829"/>
    </row>
    <row r="882" spans="1:3" ht="18.75">
      <c r="A882" s="828"/>
      <c r="B882" s="828"/>
      <c r="C882" s="829"/>
    </row>
    <row r="883" spans="1:3" ht="18.75">
      <c r="A883" s="828"/>
      <c r="B883" s="828"/>
      <c r="C883" s="829"/>
    </row>
    <row r="884" spans="1:3" ht="18.75">
      <c r="A884" s="828"/>
      <c r="B884" s="828"/>
      <c r="C884" s="829"/>
    </row>
    <row r="885" spans="1:3" ht="18.75">
      <c r="A885" s="828"/>
      <c r="B885" s="828"/>
      <c r="C885" s="829"/>
    </row>
    <row r="886" spans="1:3" ht="18.75">
      <c r="A886" s="828"/>
      <c r="B886" s="828"/>
      <c r="C886" s="829"/>
    </row>
    <row r="887" spans="1:3" ht="18.75">
      <c r="A887" s="828"/>
      <c r="B887" s="828"/>
      <c r="C887" s="829"/>
    </row>
    <row r="888" spans="1:3" ht="18.75">
      <c r="A888" s="828"/>
      <c r="B888" s="828"/>
      <c r="C888" s="829"/>
    </row>
    <row r="889" spans="1:3" ht="18.75">
      <c r="A889" s="828"/>
      <c r="B889" s="828"/>
      <c r="C889" s="829"/>
    </row>
    <row r="890" spans="1:3" ht="18.75">
      <c r="A890" s="828"/>
      <c r="B890" s="828"/>
      <c r="C890" s="829"/>
    </row>
    <row r="891" spans="1:3" ht="18.75">
      <c r="A891" s="828"/>
      <c r="B891" s="828"/>
      <c r="C891" s="829"/>
    </row>
    <row r="892" spans="1:3" ht="18.75">
      <c r="A892" s="828"/>
      <c r="B892" s="828"/>
      <c r="C892" s="829"/>
    </row>
    <row r="893" spans="1:3" ht="18.75">
      <c r="A893" s="828"/>
      <c r="B893" s="828"/>
      <c r="C893" s="829"/>
    </row>
    <row r="894" spans="1:3" ht="18.75">
      <c r="A894" s="828"/>
      <c r="B894" s="828"/>
      <c r="C894" s="829"/>
    </row>
    <row r="895" spans="1:3" ht="18.75">
      <c r="A895" s="828"/>
      <c r="B895" s="828"/>
      <c r="C895" s="829"/>
    </row>
    <row r="896" spans="1:3" ht="18.75">
      <c r="A896" s="828"/>
      <c r="B896" s="828"/>
      <c r="C896" s="829"/>
    </row>
    <row r="897" spans="1:3" ht="18.75">
      <c r="A897" s="828"/>
      <c r="B897" s="828"/>
      <c r="C897" s="829"/>
    </row>
    <row r="898" spans="1:3" ht="18.75">
      <c r="A898" s="828"/>
      <c r="B898" s="828"/>
      <c r="C898" s="829"/>
    </row>
    <row r="899" spans="1:3" ht="18.75">
      <c r="A899" s="828"/>
      <c r="B899" s="828"/>
      <c r="C899" s="829"/>
    </row>
    <row r="900" spans="1:3" ht="18.75">
      <c r="A900" s="828"/>
      <c r="B900" s="828"/>
      <c r="C900" s="829"/>
    </row>
    <row r="901" spans="1:3" ht="18.75">
      <c r="A901" s="828"/>
      <c r="B901" s="828"/>
      <c r="C901" s="829"/>
    </row>
    <row r="902" spans="1:3" ht="18.75">
      <c r="A902" s="828"/>
      <c r="B902" s="828"/>
      <c r="C902" s="829"/>
    </row>
    <row r="903" spans="1:3" ht="18.75">
      <c r="A903" s="828"/>
      <c r="B903" s="828"/>
      <c r="C903" s="829"/>
    </row>
    <row r="904" spans="1:3" ht="18.75">
      <c r="A904" s="828"/>
      <c r="B904" s="828"/>
      <c r="C904" s="829"/>
    </row>
    <row r="905" spans="1:3" ht="18.75">
      <c r="A905" s="828"/>
      <c r="B905" s="828"/>
      <c r="C905" s="829"/>
    </row>
    <row r="906" spans="1:3" ht="18.75">
      <c r="A906" s="828"/>
      <c r="B906" s="828"/>
      <c r="C906" s="829"/>
    </row>
    <row r="907" spans="1:3" ht="18.75">
      <c r="A907" s="828"/>
      <c r="B907" s="828"/>
      <c r="C907" s="829"/>
    </row>
    <row r="908" spans="1:3" ht="18.75">
      <c r="A908" s="828"/>
      <c r="B908" s="828"/>
      <c r="C908" s="829"/>
    </row>
    <row r="909" spans="1:3" ht="18.75">
      <c r="A909" s="828"/>
      <c r="B909" s="828"/>
      <c r="C909" s="829"/>
    </row>
    <row r="910" spans="1:3" ht="18.75">
      <c r="A910" s="828"/>
      <c r="B910" s="828"/>
      <c r="C910" s="829"/>
    </row>
    <row r="911" spans="1:3" ht="18.75">
      <c r="A911" s="828"/>
      <c r="B911" s="828"/>
      <c r="C911" s="829"/>
    </row>
    <row r="912" spans="1:3" ht="18.75">
      <c r="A912" s="828"/>
      <c r="B912" s="828"/>
      <c r="C912" s="829"/>
    </row>
    <row r="913" spans="1:3" ht="18.75">
      <c r="A913" s="828"/>
      <c r="B913" s="828"/>
      <c r="C913" s="829"/>
    </row>
    <row r="914" spans="1:3" ht="18.75">
      <c r="A914" s="828"/>
      <c r="B914" s="828"/>
      <c r="C914" s="829"/>
    </row>
    <row r="915" spans="1:3" ht="18.75">
      <c r="A915" s="828"/>
      <c r="B915" s="828"/>
      <c r="C915" s="829"/>
    </row>
    <row r="916" spans="1:3" ht="18.75">
      <c r="A916" s="828"/>
      <c r="B916" s="828"/>
      <c r="C916" s="829"/>
    </row>
    <row r="917" spans="1:3" ht="18.75">
      <c r="A917" s="828"/>
      <c r="B917" s="828"/>
      <c r="C917" s="829"/>
    </row>
    <row r="918" spans="1:3" ht="18.75">
      <c r="A918" s="828"/>
      <c r="B918" s="828"/>
      <c r="C918" s="829"/>
    </row>
    <row r="919" spans="1:3" ht="18.75">
      <c r="A919" s="828"/>
      <c r="B919" s="828"/>
      <c r="C919" s="829"/>
    </row>
    <row r="920" spans="1:3" ht="18.75">
      <c r="A920" s="828"/>
      <c r="B920" s="828"/>
      <c r="C920" s="829"/>
    </row>
    <row r="921" spans="1:3" ht="18.75">
      <c r="A921" s="828"/>
      <c r="B921" s="828"/>
      <c r="C921" s="829"/>
    </row>
    <row r="922" spans="1:3" ht="18.75">
      <c r="A922" s="828"/>
      <c r="B922" s="828"/>
      <c r="C922" s="829"/>
    </row>
    <row r="923" spans="1:3" ht="18.75">
      <c r="A923" s="828"/>
      <c r="B923" s="828"/>
      <c r="C923" s="829"/>
    </row>
    <row r="924" spans="1:3" ht="18.75">
      <c r="A924" s="828"/>
      <c r="B924" s="828"/>
      <c r="C924" s="829"/>
    </row>
    <row r="925" spans="1:3" ht="18.75">
      <c r="A925" s="828"/>
      <c r="B925" s="828"/>
      <c r="C925" s="829"/>
    </row>
    <row r="926" spans="1:3" ht="18.75">
      <c r="A926" s="828"/>
      <c r="B926" s="828"/>
      <c r="C926" s="829"/>
    </row>
    <row r="927" spans="1:3" ht="18.75">
      <c r="A927" s="828"/>
      <c r="B927" s="828"/>
      <c r="C927" s="829"/>
    </row>
    <row r="928" spans="1:3" ht="18.75">
      <c r="A928" s="828"/>
      <c r="B928" s="828"/>
      <c r="C928" s="829"/>
    </row>
    <row r="929" spans="1:3" ht="18.75">
      <c r="A929" s="828"/>
      <c r="B929" s="828"/>
      <c r="C929" s="829"/>
    </row>
    <row r="930" spans="1:3" ht="18.75">
      <c r="A930" s="828"/>
      <c r="B930" s="828"/>
      <c r="C930" s="829"/>
    </row>
    <row r="931" spans="1:3" ht="18.75">
      <c r="A931" s="828"/>
      <c r="B931" s="828"/>
      <c r="C931" s="829"/>
    </row>
    <row r="932" spans="1:3" ht="18.75">
      <c r="A932" s="828"/>
      <c r="B932" s="828"/>
      <c r="C932" s="829"/>
    </row>
    <row r="933" spans="1:3" ht="18.75">
      <c r="A933" s="828"/>
      <c r="B933" s="828"/>
      <c r="C933" s="829"/>
    </row>
    <row r="934" spans="1:3" ht="18.75">
      <c r="A934" s="828"/>
      <c r="B934" s="828"/>
      <c r="C934" s="829"/>
    </row>
    <row r="935" spans="1:3" ht="18.75">
      <c r="A935" s="828"/>
      <c r="B935" s="828"/>
      <c r="C935" s="829"/>
    </row>
    <row r="936" spans="1:3" ht="18.75">
      <c r="A936" s="828"/>
      <c r="B936" s="828"/>
      <c r="C936" s="829"/>
    </row>
    <row r="937" spans="1:3" ht="18.75">
      <c r="A937" s="828"/>
      <c r="B937" s="828"/>
      <c r="C937" s="829"/>
    </row>
    <row r="938" spans="1:3" ht="18.75">
      <c r="A938" s="828"/>
      <c r="B938" s="828"/>
      <c r="C938" s="829"/>
    </row>
    <row r="939" spans="1:3" ht="18.75">
      <c r="A939" s="828"/>
      <c r="B939" s="828"/>
      <c r="C939" s="829"/>
    </row>
    <row r="940" spans="1:3" ht="18.75">
      <c r="A940" s="828"/>
      <c r="B940" s="828"/>
      <c r="C940" s="829"/>
    </row>
    <row r="941" spans="1:3" ht="18.75">
      <c r="A941" s="828"/>
      <c r="B941" s="828"/>
      <c r="C941" s="829"/>
    </row>
    <row r="942" spans="1:3" ht="18.75">
      <c r="A942" s="828"/>
      <c r="B942" s="828"/>
      <c r="C942" s="829"/>
    </row>
    <row r="943" spans="1:3" ht="18.75">
      <c r="A943" s="828"/>
      <c r="B943" s="828"/>
      <c r="C943" s="829"/>
    </row>
    <row r="944" spans="1:3" ht="18.75">
      <c r="A944" s="828"/>
      <c r="B944" s="828"/>
      <c r="C944" s="829"/>
    </row>
    <row r="945" spans="1:3" ht="18.75">
      <c r="A945" s="828"/>
      <c r="B945" s="828"/>
      <c r="C945" s="829"/>
    </row>
    <row r="946" spans="1:3" ht="18.75">
      <c r="A946" s="828"/>
      <c r="B946" s="828"/>
      <c r="C946" s="829"/>
    </row>
    <row r="947" spans="1:3" ht="18.75">
      <c r="A947" s="828"/>
      <c r="B947" s="828"/>
      <c r="C947" s="829"/>
    </row>
    <row r="948" spans="1:3" ht="18.75">
      <c r="A948" s="828"/>
      <c r="B948" s="828"/>
      <c r="C948" s="829"/>
    </row>
    <row r="949" spans="1:3" ht="18.75">
      <c r="A949" s="828"/>
      <c r="B949" s="828"/>
      <c r="C949" s="829"/>
    </row>
    <row r="950" spans="1:3" ht="18.75">
      <c r="A950" s="828"/>
      <c r="B950" s="828"/>
      <c r="C950" s="829"/>
    </row>
    <row r="951" spans="1:3" ht="18.75">
      <c r="A951" s="828"/>
      <c r="B951" s="828"/>
      <c r="C951" s="829"/>
    </row>
    <row r="952" spans="1:3" ht="18.75">
      <c r="A952" s="828"/>
      <c r="B952" s="828"/>
      <c r="C952" s="829"/>
    </row>
    <row r="953" spans="1:3" ht="18.75">
      <c r="A953" s="828"/>
      <c r="B953" s="828"/>
      <c r="C953" s="829"/>
    </row>
    <row r="954" spans="1:3" ht="18.75">
      <c r="A954" s="828"/>
      <c r="B954" s="828"/>
      <c r="C954" s="829"/>
    </row>
    <row r="955" spans="1:3" ht="18.75">
      <c r="A955" s="828"/>
      <c r="B955" s="828"/>
      <c r="C955" s="829"/>
    </row>
    <row r="956" spans="1:3" ht="18.75">
      <c r="A956" s="828"/>
      <c r="B956" s="828"/>
      <c r="C956" s="829"/>
    </row>
    <row r="957" spans="1:3" ht="18.75">
      <c r="A957" s="828"/>
      <c r="B957" s="828"/>
      <c r="C957" s="829"/>
    </row>
    <row r="958" spans="1:3" ht="18.75">
      <c r="A958" s="828"/>
      <c r="B958" s="828"/>
      <c r="C958" s="829"/>
    </row>
    <row r="959" spans="1:3" ht="18.75">
      <c r="A959" s="828"/>
      <c r="B959" s="828"/>
      <c r="C959" s="829"/>
    </row>
    <row r="960" spans="1:3" ht="18.75">
      <c r="A960" s="828"/>
      <c r="B960" s="828"/>
      <c r="C960" s="829"/>
    </row>
    <row r="961" spans="1:3" ht="18.75">
      <c r="A961" s="828"/>
      <c r="B961" s="828"/>
      <c r="C961" s="829"/>
    </row>
    <row r="962" spans="1:3" ht="18.75">
      <c r="A962" s="828"/>
      <c r="B962" s="828"/>
      <c r="C962" s="829"/>
    </row>
    <row r="963" spans="1:3" ht="18.75">
      <c r="A963" s="828"/>
      <c r="B963" s="828"/>
      <c r="C963" s="829"/>
    </row>
    <row r="964" spans="1:3" ht="18.75">
      <c r="A964" s="828"/>
      <c r="B964" s="828"/>
      <c r="C964" s="829"/>
    </row>
    <row r="965" spans="1:3" ht="18.75">
      <c r="A965" s="828"/>
      <c r="B965" s="828"/>
      <c r="C965" s="829"/>
    </row>
    <row r="966" spans="1:3" ht="18.75">
      <c r="A966" s="828"/>
      <c r="B966" s="828"/>
      <c r="C966" s="829"/>
    </row>
    <row r="967" spans="1:3" ht="18.75">
      <c r="A967" s="828"/>
      <c r="B967" s="828"/>
      <c r="C967" s="829"/>
    </row>
    <row r="968" spans="1:3" ht="18.75">
      <c r="A968" s="828"/>
      <c r="B968" s="828"/>
      <c r="C968" s="829"/>
    </row>
    <row r="969" spans="1:3" ht="18.75">
      <c r="A969" s="828"/>
      <c r="B969" s="828"/>
      <c r="C969" s="829"/>
    </row>
    <row r="970" spans="1:3" ht="18.75">
      <c r="A970" s="828"/>
      <c r="B970" s="828"/>
      <c r="C970" s="829"/>
    </row>
    <row r="971" spans="1:3" ht="18.75">
      <c r="A971" s="828"/>
      <c r="B971" s="828"/>
      <c r="C971" s="829"/>
    </row>
    <row r="972" spans="1:3" ht="18.75">
      <c r="A972" s="828"/>
      <c r="B972" s="828"/>
      <c r="C972" s="829"/>
    </row>
    <row r="973" spans="1:3" ht="18.75">
      <c r="A973" s="828"/>
      <c r="B973" s="828"/>
      <c r="C973" s="829"/>
    </row>
    <row r="974" spans="1:3" ht="18.75">
      <c r="A974" s="828"/>
      <c r="B974" s="828"/>
      <c r="C974" s="829"/>
    </row>
    <row r="975" spans="1:3" ht="18.75">
      <c r="A975" s="828"/>
      <c r="B975" s="828"/>
      <c r="C975" s="829"/>
    </row>
    <row r="976" spans="1:3" ht="18.75">
      <c r="A976" s="828"/>
      <c r="B976" s="828"/>
      <c r="C976" s="829"/>
    </row>
    <row r="977" spans="1:3" ht="18.75">
      <c r="A977" s="828"/>
      <c r="B977" s="828"/>
      <c r="C977" s="829"/>
    </row>
    <row r="978" spans="1:3" ht="18.75">
      <c r="A978" s="828"/>
      <c r="B978" s="828"/>
      <c r="C978" s="829"/>
    </row>
    <row r="979" spans="1:3" ht="18.75">
      <c r="A979" s="828"/>
      <c r="B979" s="828"/>
      <c r="C979" s="829"/>
    </row>
    <row r="980" spans="1:3" ht="18.75">
      <c r="A980" s="828"/>
      <c r="B980" s="828"/>
      <c r="C980" s="829"/>
    </row>
    <row r="981" spans="1:3" ht="18.75">
      <c r="A981" s="828"/>
      <c r="B981" s="828"/>
      <c r="C981" s="829"/>
    </row>
    <row r="982" spans="1:3" ht="18.75">
      <c r="A982" s="828"/>
      <c r="B982" s="828"/>
      <c r="C982" s="829"/>
    </row>
    <row r="983" spans="1:3" ht="18.75">
      <c r="A983" s="828"/>
      <c r="B983" s="828"/>
      <c r="C983" s="829"/>
    </row>
    <row r="984" spans="1:3" ht="18.75">
      <c r="A984" s="828"/>
      <c r="B984" s="828"/>
      <c r="C984" s="829"/>
    </row>
    <row r="985" spans="1:3" ht="18.75">
      <c r="A985" s="828"/>
      <c r="B985" s="828"/>
      <c r="C985" s="829"/>
    </row>
    <row r="986" spans="1:3" ht="18.75">
      <c r="A986" s="828"/>
      <c r="B986" s="828"/>
      <c r="C986" s="829"/>
    </row>
    <row r="987" spans="1:3" ht="18.75">
      <c r="A987" s="828"/>
      <c r="B987" s="828"/>
      <c r="C987" s="829"/>
    </row>
    <row r="988" spans="1:3" ht="18.75">
      <c r="A988" s="828"/>
      <c r="B988" s="828"/>
      <c r="C988" s="829"/>
    </row>
    <row r="989" spans="1:3" ht="18.75">
      <c r="A989" s="828"/>
      <c r="B989" s="828"/>
      <c r="C989" s="829"/>
    </row>
    <row r="990" spans="1:3" ht="18.75">
      <c r="A990" s="828"/>
      <c r="B990" s="828"/>
      <c r="C990" s="829"/>
    </row>
    <row r="991" spans="1:3" ht="18.75">
      <c r="A991" s="828"/>
      <c r="B991" s="828"/>
      <c r="C991" s="829"/>
    </row>
    <row r="992" spans="1:3" ht="18.75">
      <c r="A992" s="828"/>
      <c r="B992" s="828"/>
      <c r="C992" s="829"/>
    </row>
    <row r="993" spans="1:3" ht="18.75">
      <c r="A993" s="828"/>
      <c r="B993" s="828"/>
      <c r="C993" s="829"/>
    </row>
    <row r="994" spans="1:3" ht="18.75">
      <c r="A994" s="828"/>
      <c r="B994" s="828"/>
      <c r="C994" s="829"/>
    </row>
    <row r="995" spans="1:3" ht="18.75">
      <c r="A995" s="828"/>
      <c r="B995" s="828"/>
      <c r="C995" s="829"/>
    </row>
    <row r="996" spans="1:3" ht="18.75">
      <c r="A996" s="828"/>
      <c r="B996" s="828"/>
      <c r="C996" s="829"/>
    </row>
    <row r="997" spans="1:3" ht="18.75">
      <c r="A997" s="828"/>
      <c r="B997" s="828"/>
      <c r="C997" s="829"/>
    </row>
    <row r="998" spans="1:3" ht="18.75">
      <c r="A998" s="828"/>
      <c r="B998" s="828"/>
      <c r="C998" s="829"/>
    </row>
    <row r="999" spans="1:3" ht="18.75">
      <c r="A999" s="828"/>
      <c r="B999" s="828"/>
      <c r="C999" s="829"/>
    </row>
    <row r="1000" spans="1:3" ht="18.75">
      <c r="A1000" s="828"/>
      <c r="B1000" s="828"/>
      <c r="C1000" s="829"/>
    </row>
    <row r="1001" spans="1:3" ht="18.75">
      <c r="A1001" s="828"/>
      <c r="B1001" s="828"/>
      <c r="C1001" s="829"/>
    </row>
    <row r="1002" spans="1:3" ht="18.75">
      <c r="A1002" s="828"/>
      <c r="B1002" s="828"/>
      <c r="C1002" s="829"/>
    </row>
    <row r="1003" spans="1:3" ht="18.75">
      <c r="A1003" s="828"/>
      <c r="B1003" s="828"/>
      <c r="C1003" s="829"/>
    </row>
    <row r="1004" spans="1:3" ht="18.75">
      <c r="A1004" s="828"/>
      <c r="B1004" s="828"/>
      <c r="C1004" s="829"/>
    </row>
    <row r="1005" spans="1:3" ht="18.75">
      <c r="A1005" s="828"/>
      <c r="B1005" s="828"/>
      <c r="C1005" s="829"/>
    </row>
    <row r="1006" spans="1:3" ht="18.75">
      <c r="A1006" s="828"/>
      <c r="B1006" s="828"/>
      <c r="C1006" s="829"/>
    </row>
    <row r="1007" spans="1:3" ht="18.75">
      <c r="A1007" s="828"/>
      <c r="B1007" s="828"/>
      <c r="C1007" s="829"/>
    </row>
    <row r="1008" spans="1:3" ht="18.75">
      <c r="A1008" s="828"/>
      <c r="B1008" s="828"/>
      <c r="C1008" s="829"/>
    </row>
    <row r="1009" spans="1:3" ht="18.75">
      <c r="A1009" s="828"/>
      <c r="B1009" s="828"/>
      <c r="C1009" s="829"/>
    </row>
    <row r="1010" spans="1:3" ht="18.75">
      <c r="A1010" s="828"/>
      <c r="B1010" s="828"/>
      <c r="C1010" s="829"/>
    </row>
    <row r="1011" spans="1:3" ht="18.75">
      <c r="A1011" s="828"/>
      <c r="B1011" s="828"/>
      <c r="C1011" s="829"/>
    </row>
    <row r="1012" spans="1:3" ht="18.75">
      <c r="A1012" s="828"/>
      <c r="B1012" s="828"/>
      <c r="C1012" s="829"/>
    </row>
    <row r="1013" spans="1:3" ht="18.75">
      <c r="A1013" s="828"/>
      <c r="B1013" s="828"/>
      <c r="C1013" s="829"/>
    </row>
    <row r="1014" spans="1:3" ht="18.75">
      <c r="A1014" s="828"/>
      <c r="B1014" s="828"/>
      <c r="C1014" s="829"/>
    </row>
    <row r="1015" spans="1:3" ht="18.75">
      <c r="A1015" s="828"/>
      <c r="B1015" s="828"/>
      <c r="C1015" s="829"/>
    </row>
    <row r="1016" spans="1:3" ht="18.75">
      <c r="A1016" s="828"/>
      <c r="B1016" s="828"/>
      <c r="C1016" s="829"/>
    </row>
    <row r="1017" spans="1:3" ht="18.75">
      <c r="A1017" s="828"/>
      <c r="B1017" s="828"/>
      <c r="C1017" s="829"/>
    </row>
    <row r="1018" spans="1:3" ht="18.75">
      <c r="A1018" s="828"/>
      <c r="B1018" s="828"/>
      <c r="C1018" s="829"/>
    </row>
    <row r="1019" spans="1:3" ht="18.75">
      <c r="A1019" s="828"/>
      <c r="B1019" s="828"/>
      <c r="C1019" s="829"/>
    </row>
    <row r="1020" spans="1:3" ht="18.75">
      <c r="A1020" s="828"/>
      <c r="B1020" s="828"/>
      <c r="C1020" s="829"/>
    </row>
    <row r="1021" spans="1:3" ht="18.75">
      <c r="A1021" s="828"/>
      <c r="B1021" s="828"/>
      <c r="C1021" s="829"/>
    </row>
    <row r="1022" spans="1:3" ht="18.75">
      <c r="A1022" s="828"/>
      <c r="B1022" s="828"/>
      <c r="C1022" s="829"/>
    </row>
    <row r="1023" spans="1:3" ht="18.75">
      <c r="A1023" s="828"/>
      <c r="B1023" s="828"/>
      <c r="C1023" s="829"/>
    </row>
    <row r="1024" spans="1:3" ht="18.75">
      <c r="A1024" s="828"/>
      <c r="B1024" s="828"/>
      <c r="C1024" s="829"/>
    </row>
    <row r="1025" spans="1:3" ht="18.75">
      <c r="A1025" s="828"/>
      <c r="B1025" s="828"/>
      <c r="C1025" s="829"/>
    </row>
    <row r="1026" spans="1:3" ht="18.75">
      <c r="A1026" s="828"/>
      <c r="B1026" s="828"/>
      <c r="C1026" s="829"/>
    </row>
    <row r="1027" spans="1:3" ht="18.75">
      <c r="A1027" s="828"/>
      <c r="B1027" s="828"/>
      <c r="C1027" s="829"/>
    </row>
    <row r="1028" spans="1:3" ht="18.75">
      <c r="A1028" s="828"/>
      <c r="B1028" s="828"/>
      <c r="C1028" s="829"/>
    </row>
    <row r="1029" spans="1:3" ht="18.75">
      <c r="A1029" s="828"/>
      <c r="B1029" s="828"/>
      <c r="C1029" s="829"/>
    </row>
    <row r="1030" spans="1:3" ht="18.75">
      <c r="A1030" s="828"/>
      <c r="B1030" s="828"/>
      <c r="C1030" s="829"/>
    </row>
    <row r="1031" spans="1:3" ht="18.75">
      <c r="A1031" s="828"/>
      <c r="B1031" s="828"/>
      <c r="C1031" s="829"/>
    </row>
    <row r="1032" spans="1:3" ht="18.75">
      <c r="A1032" s="828"/>
      <c r="B1032" s="828"/>
      <c r="C1032" s="829"/>
    </row>
    <row r="1033" spans="1:3" ht="18.75">
      <c r="A1033" s="828"/>
      <c r="B1033" s="828"/>
      <c r="C1033" s="829"/>
    </row>
    <row r="1034" spans="1:3" ht="18.75">
      <c r="A1034" s="828"/>
      <c r="B1034" s="828"/>
      <c r="C1034" s="829"/>
    </row>
    <row r="1035" spans="1:3" ht="18.75">
      <c r="A1035" s="828"/>
      <c r="B1035" s="828"/>
      <c r="C1035" s="829"/>
    </row>
    <row r="1036" spans="1:3" ht="18.75">
      <c r="A1036" s="828"/>
      <c r="B1036" s="828"/>
      <c r="C1036" s="829"/>
    </row>
    <row r="1037" spans="1:3" ht="18.75">
      <c r="A1037" s="828"/>
      <c r="B1037" s="828"/>
      <c r="C1037" s="829"/>
    </row>
    <row r="1038" spans="1:3" ht="18.75">
      <c r="A1038" s="828"/>
      <c r="B1038" s="828"/>
      <c r="C1038" s="829"/>
    </row>
    <row r="1039" spans="1:3" ht="18.75">
      <c r="A1039" s="828"/>
      <c r="B1039" s="828"/>
      <c r="C1039" s="829"/>
    </row>
    <row r="1040" spans="1:3" ht="18.75">
      <c r="A1040" s="828"/>
      <c r="B1040" s="828"/>
      <c r="C1040" s="829"/>
    </row>
    <row r="1041" spans="1:3" ht="18.75">
      <c r="A1041" s="828"/>
      <c r="B1041" s="828"/>
      <c r="C1041" s="829"/>
    </row>
    <row r="1042" spans="1:3" ht="18.75">
      <c r="A1042" s="828"/>
      <c r="B1042" s="828"/>
      <c r="C1042" s="829"/>
    </row>
    <row r="1043" spans="1:3" ht="18.75">
      <c r="A1043" s="828"/>
      <c r="B1043" s="828"/>
      <c r="C1043" s="829"/>
    </row>
    <row r="1044" spans="1:3" ht="18.75">
      <c r="A1044" s="828"/>
      <c r="B1044" s="828"/>
      <c r="C1044" s="829"/>
    </row>
    <row r="1045" spans="1:3" ht="18.75">
      <c r="A1045" s="828"/>
      <c r="B1045" s="828"/>
      <c r="C1045" s="829"/>
    </row>
    <row r="1046" spans="1:3" ht="18.75">
      <c r="A1046" s="828"/>
      <c r="B1046" s="828"/>
      <c r="C1046" s="829"/>
    </row>
    <row r="1047" spans="1:3" ht="18.75">
      <c r="A1047" s="828"/>
      <c r="B1047" s="828"/>
      <c r="C1047" s="829"/>
    </row>
    <row r="1048" spans="1:3" ht="18.75">
      <c r="A1048" s="828"/>
      <c r="B1048" s="828"/>
      <c r="C1048" s="829"/>
    </row>
  </sheetData>
  <mergeCells count="170">
    <mergeCell ref="B13:B14"/>
    <mergeCell ref="B15:B16"/>
    <mergeCell ref="B11:B12"/>
    <mergeCell ref="B9:B10"/>
    <mergeCell ref="B23:B24"/>
    <mergeCell ref="B7:B8"/>
    <mergeCell ref="B3:B4"/>
    <mergeCell ref="B5:B6"/>
    <mergeCell ref="B21:B22"/>
    <mergeCell ref="B19:B20"/>
    <mergeCell ref="B17:B18"/>
    <mergeCell ref="D3:L4"/>
    <mergeCell ref="D2:L2"/>
    <mergeCell ref="C3:C4"/>
    <mergeCell ref="D11:L12"/>
    <mergeCell ref="C15:C16"/>
    <mergeCell ref="C13:C14"/>
    <mergeCell ref="C11:C12"/>
    <mergeCell ref="D7:L8"/>
    <mergeCell ref="D9:L10"/>
    <mergeCell ref="D5:L6"/>
    <mergeCell ref="C5:C6"/>
    <mergeCell ref="D19:L20"/>
    <mergeCell ref="D17:L18"/>
    <mergeCell ref="D15:L16"/>
    <mergeCell ref="D13:L14"/>
    <mergeCell ref="C23:C24"/>
    <mergeCell ref="C21:C22"/>
    <mergeCell ref="C7:C8"/>
    <mergeCell ref="C17:C18"/>
    <mergeCell ref="C9:C10"/>
    <mergeCell ref="C19:C20"/>
    <mergeCell ref="D39:L40"/>
    <mergeCell ref="C27:C28"/>
    <mergeCell ref="C29:C30"/>
    <mergeCell ref="D49:L50"/>
    <mergeCell ref="D47:L48"/>
    <mergeCell ref="D45:L46"/>
    <mergeCell ref="C43:C44"/>
    <mergeCell ref="C41:C42"/>
    <mergeCell ref="C99:C100"/>
    <mergeCell ref="C63:C64"/>
    <mergeCell ref="C61:C62"/>
    <mergeCell ref="C71:C72"/>
    <mergeCell ref="C73:C74"/>
    <mergeCell ref="C85:C86"/>
    <mergeCell ref="D33:L34"/>
    <mergeCell ref="D31:L32"/>
    <mergeCell ref="D27:L28"/>
    <mergeCell ref="D29:L30"/>
    <mergeCell ref="D23:L24"/>
    <mergeCell ref="D21:L22"/>
    <mergeCell ref="D25:L26"/>
    <mergeCell ref="D35:L36"/>
    <mergeCell ref="D89:L90"/>
    <mergeCell ref="D91:L92"/>
    <mergeCell ref="C95:C96"/>
    <mergeCell ref="D95:L96"/>
    <mergeCell ref="D93:L94"/>
    <mergeCell ref="C53:C54"/>
    <mergeCell ref="C59:C60"/>
    <mergeCell ref="C55:C56"/>
    <mergeCell ref="C57:C58"/>
    <mergeCell ref="C47:C48"/>
    <mergeCell ref="C49:C50"/>
    <mergeCell ref="C51:C52"/>
    <mergeCell ref="C45:C46"/>
    <mergeCell ref="D53:L54"/>
    <mergeCell ref="D51:L52"/>
    <mergeCell ref="D43:L44"/>
    <mergeCell ref="D37:L38"/>
    <mergeCell ref="D41:L42"/>
    <mergeCell ref="D59:L60"/>
    <mergeCell ref="D61:L62"/>
    <mergeCell ref="D69:L70"/>
    <mergeCell ref="D67:L68"/>
    <mergeCell ref="D65:L66"/>
    <mergeCell ref="D63:L64"/>
    <mergeCell ref="D57:L58"/>
    <mergeCell ref="D55:L56"/>
    <mergeCell ref="C97:C98"/>
    <mergeCell ref="D97:L98"/>
    <mergeCell ref="D83:L84"/>
    <mergeCell ref="D85:L86"/>
    <mergeCell ref="D101:L102"/>
    <mergeCell ref="D99:L100"/>
    <mergeCell ref="D106:L107"/>
    <mergeCell ref="D108:L109"/>
    <mergeCell ref="D114:L115"/>
    <mergeCell ref="D71:L72"/>
    <mergeCell ref="D73:L74"/>
    <mergeCell ref="D81:L82"/>
    <mergeCell ref="D75:L76"/>
    <mergeCell ref="D77:L78"/>
    <mergeCell ref="D79:L80"/>
    <mergeCell ref="D87:L88"/>
    <mergeCell ref="D103:L103"/>
    <mergeCell ref="D104:L105"/>
    <mergeCell ref="B112:B113"/>
    <mergeCell ref="C112:C113"/>
    <mergeCell ref="B114:B115"/>
    <mergeCell ref="C114:C115"/>
    <mergeCell ref="B108:B109"/>
    <mergeCell ref="C108:C109"/>
    <mergeCell ref="C104:C105"/>
    <mergeCell ref="D112:L113"/>
    <mergeCell ref="D110:L111"/>
    <mergeCell ref="B110:B111"/>
    <mergeCell ref="C110:C111"/>
    <mergeCell ref="B63:B64"/>
    <mergeCell ref="B61:B62"/>
    <mergeCell ref="B65:B66"/>
    <mergeCell ref="C65:C66"/>
    <mergeCell ref="C67:C68"/>
    <mergeCell ref="B73:B74"/>
    <mergeCell ref="C69:C70"/>
    <mergeCell ref="C91:C92"/>
    <mergeCell ref="C93:C94"/>
    <mergeCell ref="C89:C90"/>
    <mergeCell ref="C87:C88"/>
    <mergeCell ref="C83:C84"/>
    <mergeCell ref="C81:C82"/>
    <mergeCell ref="C77:C78"/>
    <mergeCell ref="C75:C76"/>
    <mergeCell ref="C79:C80"/>
    <mergeCell ref="B104:B105"/>
    <mergeCell ref="B101:B103"/>
    <mergeCell ref="C101:C103"/>
    <mergeCell ref="B25:B26"/>
    <mergeCell ref="B35:B36"/>
    <mergeCell ref="B33:B34"/>
    <mergeCell ref="B27:B28"/>
    <mergeCell ref="B29:B30"/>
    <mergeCell ref="B37:B38"/>
    <mergeCell ref="B31:B32"/>
    <mergeCell ref="C106:C107"/>
    <mergeCell ref="B106:B107"/>
    <mergeCell ref="C25:C26"/>
    <mergeCell ref="C39:C40"/>
    <mergeCell ref="C31:C32"/>
    <mergeCell ref="C33:C34"/>
    <mergeCell ref="C37:C38"/>
    <mergeCell ref="C35:C36"/>
    <mergeCell ref="B97:B98"/>
    <mergeCell ref="B99:B100"/>
    <mergeCell ref="B55:B56"/>
    <mergeCell ref="B53:B54"/>
    <mergeCell ref="B59:B60"/>
    <mergeCell ref="B57:B58"/>
    <mergeCell ref="B39:B40"/>
    <mergeCell ref="B41:B42"/>
    <mergeCell ref="B49:B50"/>
    <mergeCell ref="B47:B48"/>
    <mergeCell ref="B45:B46"/>
    <mergeCell ref="B43:B44"/>
    <mergeCell ref="B51:B52"/>
    <mergeCell ref="B71:B72"/>
    <mergeCell ref="B69:B70"/>
    <mergeCell ref="B67:B68"/>
    <mergeCell ref="B77:B78"/>
    <mergeCell ref="B75:B76"/>
    <mergeCell ref="B93:B94"/>
    <mergeCell ref="B91:B92"/>
    <mergeCell ref="B87:B88"/>
    <mergeCell ref="B95:B96"/>
    <mergeCell ref="B81:B82"/>
    <mergeCell ref="B79:B80"/>
    <mergeCell ref="B85:B86"/>
    <mergeCell ref="B83:B84"/>
    <mergeCell ref="B89:B90"/>
  </mergeCells>
  <hyperlinks>
    <hyperlink ref="D65"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00"/>
  </sheetPr>
  <dimension ref="A1:O1001"/>
  <sheetViews>
    <sheetView workbookViewId="0"/>
  </sheetViews>
  <sheetFormatPr defaultColWidth="14.42578125" defaultRowHeight="15.75" customHeight="1"/>
  <cols>
    <col min="2" max="2" width="26.5703125" customWidth="1"/>
    <col min="6" max="6" width="20.140625" customWidth="1"/>
    <col min="12" max="12" width="17.7109375" customWidth="1"/>
    <col min="14" max="14" width="22.140625" customWidth="1"/>
  </cols>
  <sheetData>
    <row r="1" spans="1:15" ht="9" customHeight="1">
      <c r="A1" s="278"/>
      <c r="B1" s="830"/>
      <c r="C1" s="831"/>
      <c r="D1" s="180"/>
      <c r="E1" s="34"/>
      <c r="F1" s="802"/>
      <c r="G1" s="802"/>
      <c r="H1" s="180"/>
      <c r="I1" s="180"/>
      <c r="J1" s="34"/>
      <c r="K1" s="34"/>
      <c r="L1" s="34"/>
      <c r="M1" s="34"/>
      <c r="N1" s="34"/>
      <c r="O1" s="34"/>
    </row>
    <row r="2" spans="1:15" ht="14.25">
      <c r="A2" s="278"/>
      <c r="B2" s="832" t="s">
        <v>2036</v>
      </c>
      <c r="C2" s="833" t="s">
        <v>2037</v>
      </c>
      <c r="D2" s="834" t="s">
        <v>100</v>
      </c>
      <c r="E2" s="34"/>
      <c r="F2" s="835" t="s">
        <v>2038</v>
      </c>
      <c r="G2" s="835" t="s">
        <v>2037</v>
      </c>
      <c r="H2" s="836" t="s">
        <v>100</v>
      </c>
      <c r="I2" s="180"/>
      <c r="J2" s="837"/>
      <c r="K2" s="837"/>
      <c r="L2" s="837"/>
      <c r="M2" s="34"/>
      <c r="N2" s="34"/>
      <c r="O2" s="34"/>
    </row>
    <row r="3" spans="1:15" ht="14.25">
      <c r="A3" s="34"/>
      <c r="B3" s="838"/>
      <c r="C3" s="838"/>
      <c r="D3" s="838"/>
      <c r="E3" s="34"/>
      <c r="F3" s="839"/>
      <c r="G3" s="839"/>
      <c r="H3" s="839"/>
      <c r="I3" s="781"/>
      <c r="J3" s="1197" t="s">
        <v>2039</v>
      </c>
      <c r="K3" s="1014"/>
      <c r="L3" s="1016"/>
      <c r="M3" s="34"/>
      <c r="N3" s="1198" t="s">
        <v>2040</v>
      </c>
      <c r="O3" s="1030"/>
    </row>
    <row r="4" spans="1:15" ht="14.25">
      <c r="A4" s="34"/>
      <c r="B4" s="840" t="s">
        <v>145</v>
      </c>
      <c r="C4" s="841">
        <v>15</v>
      </c>
      <c r="D4" s="842" t="s">
        <v>21</v>
      </c>
      <c r="E4" s="34"/>
      <c r="F4" s="843" t="s">
        <v>172</v>
      </c>
      <c r="G4" s="844">
        <v>0</v>
      </c>
      <c r="H4" s="845" t="s">
        <v>8</v>
      </c>
      <c r="I4" s="34"/>
      <c r="J4" s="846"/>
      <c r="K4" s="831" t="s">
        <v>2041</v>
      </c>
      <c r="L4" s="847" t="s">
        <v>2042</v>
      </c>
      <c r="M4" s="34"/>
      <c r="N4" s="848" t="s">
        <v>1929</v>
      </c>
      <c r="O4" s="849" t="s">
        <v>2043</v>
      </c>
    </row>
    <row r="5" spans="1:15" ht="14.25">
      <c r="A5" s="34"/>
      <c r="B5" s="850" t="s">
        <v>293</v>
      </c>
      <c r="C5" s="851">
        <v>15</v>
      </c>
      <c r="D5" s="852" t="s">
        <v>13</v>
      </c>
      <c r="E5" s="34"/>
      <c r="F5" s="853" t="s">
        <v>172</v>
      </c>
      <c r="G5" s="854">
        <v>0</v>
      </c>
      <c r="H5" s="855" t="s">
        <v>8</v>
      </c>
      <c r="I5" s="34"/>
      <c r="J5" s="856" t="s">
        <v>58</v>
      </c>
      <c r="K5" s="857">
        <v>0</v>
      </c>
      <c r="L5" s="858">
        <v>0</v>
      </c>
      <c r="M5" s="34"/>
      <c r="N5" s="859"/>
      <c r="O5" s="860"/>
    </row>
    <row r="6" spans="1:15" ht="14.25">
      <c r="A6" s="34"/>
      <c r="B6" s="850" t="s">
        <v>304</v>
      </c>
      <c r="C6" s="851">
        <v>15</v>
      </c>
      <c r="D6" s="852" t="s">
        <v>8</v>
      </c>
      <c r="E6" s="34"/>
      <c r="F6" s="853" t="s">
        <v>304</v>
      </c>
      <c r="G6" s="854">
        <v>0</v>
      </c>
      <c r="H6" s="855" t="s">
        <v>8</v>
      </c>
      <c r="I6" s="34"/>
      <c r="J6" s="856" t="s">
        <v>63</v>
      </c>
      <c r="K6" s="857">
        <v>40</v>
      </c>
      <c r="L6" s="858">
        <v>5</v>
      </c>
      <c r="M6" s="34"/>
      <c r="N6" s="848" t="s">
        <v>438</v>
      </c>
      <c r="O6" s="861">
        <v>1</v>
      </c>
    </row>
    <row r="7" spans="1:15" ht="14.25">
      <c r="A7" s="34"/>
      <c r="B7" s="850" t="s">
        <v>262</v>
      </c>
      <c r="C7" s="851">
        <v>15</v>
      </c>
      <c r="D7" s="852" t="s">
        <v>26</v>
      </c>
      <c r="E7" s="34"/>
      <c r="F7" s="853" t="s">
        <v>304</v>
      </c>
      <c r="G7" s="854">
        <v>0</v>
      </c>
      <c r="H7" s="855" t="s">
        <v>8</v>
      </c>
      <c r="I7" s="34"/>
      <c r="J7" s="856" t="s">
        <v>68</v>
      </c>
      <c r="K7" s="857">
        <v>100</v>
      </c>
      <c r="L7" s="858">
        <v>20</v>
      </c>
      <c r="M7" s="34"/>
      <c r="N7" s="848" t="s">
        <v>446</v>
      </c>
      <c r="O7" s="861">
        <v>1</v>
      </c>
    </row>
    <row r="8" spans="1:15" ht="14.25">
      <c r="A8" s="34"/>
      <c r="B8" s="850" t="s">
        <v>264</v>
      </c>
      <c r="C8" s="851">
        <v>15</v>
      </c>
      <c r="D8" s="852" t="s">
        <v>16</v>
      </c>
      <c r="E8" s="34"/>
      <c r="F8" s="853" t="s">
        <v>152</v>
      </c>
      <c r="G8" s="854">
        <v>0</v>
      </c>
      <c r="H8" s="855" t="s">
        <v>8</v>
      </c>
      <c r="I8" s="34"/>
      <c r="J8" s="856" t="s">
        <v>69</v>
      </c>
      <c r="K8" s="857">
        <v>400</v>
      </c>
      <c r="L8" s="858">
        <v>100</v>
      </c>
      <c r="M8" s="34"/>
      <c r="N8" s="848" t="s">
        <v>417</v>
      </c>
      <c r="O8" s="861">
        <v>1</v>
      </c>
    </row>
    <row r="9" spans="1:15" ht="14.25">
      <c r="A9" s="34"/>
      <c r="B9" s="850" t="s">
        <v>271</v>
      </c>
      <c r="C9" s="851">
        <v>15</v>
      </c>
      <c r="D9" s="852" t="s">
        <v>18</v>
      </c>
      <c r="E9" s="34"/>
      <c r="F9" s="853" t="s">
        <v>152</v>
      </c>
      <c r="G9" s="854">
        <v>0</v>
      </c>
      <c r="H9" s="855" t="s">
        <v>8</v>
      </c>
      <c r="I9" s="34"/>
      <c r="J9" s="862" t="s">
        <v>70</v>
      </c>
      <c r="K9" s="863">
        <v>1600</v>
      </c>
      <c r="L9" s="864">
        <v>400</v>
      </c>
      <c r="M9" s="34"/>
      <c r="N9" s="848" t="s">
        <v>475</v>
      </c>
      <c r="O9" s="861">
        <v>1</v>
      </c>
    </row>
    <row r="10" spans="1:15" ht="14.25">
      <c r="A10" s="34"/>
      <c r="B10" s="850" t="s">
        <v>158</v>
      </c>
      <c r="C10" s="851">
        <v>15</v>
      </c>
      <c r="D10" s="852" t="s">
        <v>25</v>
      </c>
      <c r="E10" s="34"/>
      <c r="F10" s="853" t="s">
        <v>269</v>
      </c>
      <c r="G10" s="854">
        <v>0</v>
      </c>
      <c r="H10" s="855" t="s">
        <v>8</v>
      </c>
      <c r="I10" s="34"/>
      <c r="J10" s="837"/>
      <c r="K10" s="837"/>
      <c r="L10" s="837"/>
      <c r="M10" s="34"/>
      <c r="N10" s="848" t="s">
        <v>419</v>
      </c>
      <c r="O10" s="861">
        <v>1</v>
      </c>
    </row>
    <row r="11" spans="1:15" ht="14.25">
      <c r="A11" s="34"/>
      <c r="B11" s="850" t="s">
        <v>225</v>
      </c>
      <c r="C11" s="851">
        <v>15</v>
      </c>
      <c r="D11" s="852" t="s">
        <v>20</v>
      </c>
      <c r="E11" s="34"/>
      <c r="F11" s="853" t="s">
        <v>269</v>
      </c>
      <c r="G11" s="854">
        <v>0</v>
      </c>
      <c r="H11" s="855" t="s">
        <v>8</v>
      </c>
      <c r="I11" s="781"/>
      <c r="M11" s="34"/>
      <c r="N11" s="848" t="s">
        <v>461</v>
      </c>
      <c r="O11" s="861">
        <v>1</v>
      </c>
    </row>
    <row r="12" spans="1:15" ht="14.25">
      <c r="A12" s="34"/>
      <c r="B12" s="850" t="s">
        <v>236</v>
      </c>
      <c r="C12" s="851">
        <v>15</v>
      </c>
      <c r="D12" s="852" t="s">
        <v>11</v>
      </c>
      <c r="E12" s="34"/>
      <c r="F12" s="853" t="s">
        <v>287</v>
      </c>
      <c r="G12" s="854">
        <v>0</v>
      </c>
      <c r="H12" s="855" t="s">
        <v>8</v>
      </c>
      <c r="I12" s="34"/>
      <c r="M12" s="34"/>
      <c r="N12" s="848" t="s">
        <v>428</v>
      </c>
      <c r="O12" s="861">
        <v>2</v>
      </c>
    </row>
    <row r="13" spans="1:15" ht="14.25">
      <c r="A13" s="34"/>
      <c r="B13" s="850" t="s">
        <v>145</v>
      </c>
      <c r="C13" s="851">
        <v>20</v>
      </c>
      <c r="D13" s="852" t="s">
        <v>21</v>
      </c>
      <c r="E13" s="34"/>
      <c r="F13" s="853" t="s">
        <v>287</v>
      </c>
      <c r="G13" s="854">
        <v>0</v>
      </c>
      <c r="H13" s="855" t="s">
        <v>8</v>
      </c>
      <c r="I13" s="34"/>
      <c r="J13" s="1197" t="s">
        <v>2044</v>
      </c>
      <c r="K13" s="1014"/>
      <c r="L13" s="1016"/>
      <c r="M13" s="34"/>
      <c r="N13" s="848" t="s">
        <v>421</v>
      </c>
      <c r="O13" s="861">
        <v>2</v>
      </c>
    </row>
    <row r="14" spans="1:15" ht="14.25">
      <c r="A14" s="34"/>
      <c r="B14" s="850" t="s">
        <v>293</v>
      </c>
      <c r="C14" s="851">
        <v>20</v>
      </c>
      <c r="D14" s="852" t="s">
        <v>13</v>
      </c>
      <c r="E14" s="34"/>
      <c r="F14" s="853" t="s">
        <v>397</v>
      </c>
      <c r="G14" s="854">
        <v>2</v>
      </c>
      <c r="H14" s="855" t="s">
        <v>8</v>
      </c>
      <c r="I14" s="34"/>
      <c r="J14" s="846"/>
      <c r="K14" s="831" t="s">
        <v>2041</v>
      </c>
      <c r="L14" s="847" t="s">
        <v>2042</v>
      </c>
      <c r="M14" s="34"/>
      <c r="N14" s="848" t="s">
        <v>423</v>
      </c>
      <c r="O14" s="861">
        <v>2</v>
      </c>
    </row>
    <row r="15" spans="1:15" ht="14.25">
      <c r="A15" s="34"/>
      <c r="B15" s="850" t="s">
        <v>304</v>
      </c>
      <c r="C15" s="851">
        <v>20</v>
      </c>
      <c r="D15" s="852" t="s">
        <v>8</v>
      </c>
      <c r="E15" s="34"/>
      <c r="F15" s="853" t="s">
        <v>397</v>
      </c>
      <c r="G15" s="854">
        <v>2</v>
      </c>
      <c r="H15" s="855" t="s">
        <v>8</v>
      </c>
      <c r="I15" s="34"/>
      <c r="J15" s="856" t="s">
        <v>58</v>
      </c>
      <c r="K15" s="857">
        <v>0</v>
      </c>
      <c r="L15" s="858">
        <v>0</v>
      </c>
      <c r="M15" s="34"/>
      <c r="N15" s="848" t="s">
        <v>426</v>
      </c>
      <c r="O15" s="861">
        <v>2</v>
      </c>
    </row>
    <row r="16" spans="1:15" ht="14.25">
      <c r="A16" s="34"/>
      <c r="B16" s="850" t="s">
        <v>262</v>
      </c>
      <c r="C16" s="851">
        <v>20</v>
      </c>
      <c r="D16" s="852" t="s">
        <v>26</v>
      </c>
      <c r="E16" s="34"/>
      <c r="F16" s="853" t="s">
        <v>317</v>
      </c>
      <c r="G16" s="854">
        <v>4</v>
      </c>
      <c r="H16" s="855" t="s">
        <v>8</v>
      </c>
      <c r="I16" s="34"/>
      <c r="J16" s="856" t="s">
        <v>63</v>
      </c>
      <c r="K16" s="857">
        <v>400</v>
      </c>
      <c r="L16" s="858">
        <v>50</v>
      </c>
      <c r="M16" s="34"/>
      <c r="N16" s="848" t="s">
        <v>459</v>
      </c>
      <c r="O16" s="861">
        <v>2</v>
      </c>
    </row>
    <row r="17" spans="1:15" ht="14.25">
      <c r="A17" s="34"/>
      <c r="B17" s="850" t="s">
        <v>264</v>
      </c>
      <c r="C17" s="851">
        <v>20</v>
      </c>
      <c r="D17" s="852" t="s">
        <v>16</v>
      </c>
      <c r="E17" s="34"/>
      <c r="F17" s="853" t="s">
        <v>317</v>
      </c>
      <c r="G17" s="854">
        <v>4</v>
      </c>
      <c r="H17" s="855" t="s">
        <v>8</v>
      </c>
      <c r="I17" s="34"/>
      <c r="J17" s="856" t="s">
        <v>68</v>
      </c>
      <c r="K17" s="857">
        <v>800</v>
      </c>
      <c r="L17" s="858">
        <v>100</v>
      </c>
      <c r="M17" s="34"/>
      <c r="N17" s="848" t="s">
        <v>452</v>
      </c>
      <c r="O17" s="861">
        <v>2</v>
      </c>
    </row>
    <row r="18" spans="1:15" ht="14.25">
      <c r="A18" s="34"/>
      <c r="B18" s="850" t="s">
        <v>271</v>
      </c>
      <c r="C18" s="851">
        <v>20</v>
      </c>
      <c r="D18" s="852" t="s">
        <v>18</v>
      </c>
      <c r="E18" s="34"/>
      <c r="F18" s="853" t="s">
        <v>155</v>
      </c>
      <c r="G18" s="854">
        <v>6</v>
      </c>
      <c r="H18" s="855" t="s">
        <v>8</v>
      </c>
      <c r="I18" s="34"/>
      <c r="J18" s="856" t="s">
        <v>69</v>
      </c>
      <c r="K18" s="857">
        <v>1600</v>
      </c>
      <c r="L18" s="858">
        <v>400</v>
      </c>
      <c r="M18" s="34"/>
      <c r="N18" s="848" t="s">
        <v>469</v>
      </c>
      <c r="O18" s="861">
        <v>3</v>
      </c>
    </row>
    <row r="19" spans="1:15" ht="14.25">
      <c r="A19" s="34"/>
      <c r="B19" s="850" t="s">
        <v>158</v>
      </c>
      <c r="C19" s="851">
        <v>20</v>
      </c>
      <c r="D19" s="852" t="s">
        <v>25</v>
      </c>
      <c r="E19" s="34"/>
      <c r="F19" s="853" t="s">
        <v>155</v>
      </c>
      <c r="G19" s="854">
        <v>6</v>
      </c>
      <c r="H19" s="855" t="s">
        <v>8</v>
      </c>
      <c r="I19" s="34"/>
      <c r="J19" s="862" t="s">
        <v>70</v>
      </c>
      <c r="K19" s="863">
        <v>3200</v>
      </c>
      <c r="L19" s="864">
        <v>1600</v>
      </c>
      <c r="M19" s="34"/>
      <c r="N19" s="848" t="s">
        <v>473</v>
      </c>
      <c r="O19" s="861">
        <v>3</v>
      </c>
    </row>
    <row r="20" spans="1:15" ht="14.25">
      <c r="A20" s="34"/>
      <c r="B20" s="850" t="s">
        <v>225</v>
      </c>
      <c r="C20" s="851">
        <v>20</v>
      </c>
      <c r="D20" s="852" t="s">
        <v>20</v>
      </c>
      <c r="E20" s="34"/>
      <c r="F20" s="853" t="s">
        <v>356</v>
      </c>
      <c r="G20" s="854">
        <v>8</v>
      </c>
      <c r="H20" s="855" t="s">
        <v>8</v>
      </c>
      <c r="I20" s="781"/>
      <c r="J20" s="173"/>
      <c r="K20" s="34"/>
      <c r="L20" s="34"/>
      <c r="M20" s="34"/>
      <c r="N20" s="848" t="s">
        <v>457</v>
      </c>
      <c r="O20" s="861">
        <v>3</v>
      </c>
    </row>
    <row r="21" spans="1:15" ht="14.25">
      <c r="A21" s="34"/>
      <c r="B21" s="850" t="s">
        <v>236</v>
      </c>
      <c r="C21" s="851">
        <v>20</v>
      </c>
      <c r="D21" s="852" t="s">
        <v>11</v>
      </c>
      <c r="E21" s="34"/>
      <c r="F21" s="853" t="s">
        <v>356</v>
      </c>
      <c r="G21" s="854">
        <v>8</v>
      </c>
      <c r="H21" s="855" t="s">
        <v>8</v>
      </c>
      <c r="I21" s="34"/>
      <c r="J21" s="837"/>
      <c r="K21" s="837"/>
      <c r="L21" s="837"/>
      <c r="M21" s="34"/>
      <c r="N21" s="848" t="s">
        <v>448</v>
      </c>
      <c r="O21" s="861">
        <v>3</v>
      </c>
    </row>
    <row r="22" spans="1:15" ht="14.25">
      <c r="A22" s="34"/>
      <c r="B22" s="850" t="s">
        <v>295</v>
      </c>
      <c r="C22" s="851">
        <v>23</v>
      </c>
      <c r="D22" s="852" t="s">
        <v>26</v>
      </c>
      <c r="E22" s="34"/>
      <c r="F22" s="853" t="s">
        <v>411</v>
      </c>
      <c r="G22" s="854">
        <v>10</v>
      </c>
      <c r="H22" s="855" t="s">
        <v>8</v>
      </c>
      <c r="I22" s="34"/>
      <c r="M22" s="34"/>
      <c r="N22" s="848" t="s">
        <v>414</v>
      </c>
      <c r="O22" s="861">
        <v>3</v>
      </c>
    </row>
    <row r="23" spans="1:15" ht="14.25">
      <c r="A23" s="34"/>
      <c r="B23" s="850" t="s">
        <v>390</v>
      </c>
      <c r="C23" s="851">
        <v>23</v>
      </c>
      <c r="D23" s="852" t="s">
        <v>25</v>
      </c>
      <c r="E23" s="34"/>
      <c r="F23" s="853" t="s">
        <v>411</v>
      </c>
      <c r="G23" s="854">
        <v>10</v>
      </c>
      <c r="H23" s="855" t="s">
        <v>8</v>
      </c>
      <c r="I23" s="34"/>
      <c r="M23" s="34"/>
      <c r="N23" s="848" t="s">
        <v>477</v>
      </c>
      <c r="O23" s="861">
        <v>3</v>
      </c>
    </row>
    <row r="24" spans="1:15" ht="14.25">
      <c r="A24" s="34"/>
      <c r="B24" s="850" t="s">
        <v>302</v>
      </c>
      <c r="C24" s="851">
        <v>23</v>
      </c>
      <c r="D24" s="852" t="s">
        <v>13</v>
      </c>
      <c r="E24" s="34"/>
      <c r="F24" s="853" t="s">
        <v>167</v>
      </c>
      <c r="G24" s="854">
        <v>0</v>
      </c>
      <c r="H24" s="855" t="s">
        <v>11</v>
      </c>
      <c r="I24" s="34"/>
      <c r="J24" s="1197" t="s">
        <v>2045</v>
      </c>
      <c r="K24" s="1014"/>
      <c r="L24" s="1014"/>
      <c r="M24" s="34"/>
      <c r="N24" s="848" t="s">
        <v>450</v>
      </c>
      <c r="O24" s="861">
        <v>4</v>
      </c>
    </row>
    <row r="25" spans="1:15" ht="14.25">
      <c r="A25" s="34"/>
      <c r="B25" s="850" t="s">
        <v>198</v>
      </c>
      <c r="C25" s="851">
        <v>23</v>
      </c>
      <c r="D25" s="852" t="s">
        <v>16</v>
      </c>
      <c r="E25" s="34"/>
      <c r="F25" s="853" t="s">
        <v>167</v>
      </c>
      <c r="G25" s="854">
        <v>0</v>
      </c>
      <c r="H25" s="855" t="s">
        <v>11</v>
      </c>
      <c r="I25" s="34"/>
      <c r="J25" s="856" t="s">
        <v>76</v>
      </c>
      <c r="K25" s="831" t="s">
        <v>122</v>
      </c>
      <c r="L25" s="847" t="s">
        <v>2046</v>
      </c>
      <c r="M25" s="34"/>
      <c r="N25" s="848" t="s">
        <v>471</v>
      </c>
      <c r="O25" s="861">
        <v>4</v>
      </c>
    </row>
    <row r="26" spans="1:15" ht="14.25">
      <c r="A26" s="34"/>
      <c r="B26" s="850" t="s">
        <v>201</v>
      </c>
      <c r="C26" s="851">
        <v>23</v>
      </c>
      <c r="D26" s="852" t="s">
        <v>18</v>
      </c>
      <c r="E26" s="34"/>
      <c r="F26" s="853" t="s">
        <v>345</v>
      </c>
      <c r="G26" s="854">
        <v>0</v>
      </c>
      <c r="H26" s="855" t="s">
        <v>11</v>
      </c>
      <c r="I26" s="34"/>
      <c r="J26" s="865" t="s">
        <v>58</v>
      </c>
      <c r="K26" s="831" t="s">
        <v>106</v>
      </c>
      <c r="L26" s="781"/>
      <c r="M26" s="34"/>
      <c r="N26" s="848" t="s">
        <v>465</v>
      </c>
      <c r="O26" s="861">
        <v>4</v>
      </c>
    </row>
    <row r="27" spans="1:15" ht="14.25">
      <c r="A27" s="34"/>
      <c r="B27" s="850" t="s">
        <v>233</v>
      </c>
      <c r="C27" s="851">
        <v>23</v>
      </c>
      <c r="D27" s="852" t="s">
        <v>11</v>
      </c>
      <c r="E27" s="34"/>
      <c r="F27" s="853" t="s">
        <v>345</v>
      </c>
      <c r="G27" s="854">
        <v>0</v>
      </c>
      <c r="H27" s="855" t="s">
        <v>11</v>
      </c>
      <c r="I27" s="34"/>
      <c r="J27" s="865" t="s">
        <v>77</v>
      </c>
      <c r="K27" s="831" t="s">
        <v>106</v>
      </c>
      <c r="L27" s="781"/>
      <c r="M27" s="34"/>
      <c r="N27" s="848" t="s">
        <v>432</v>
      </c>
      <c r="O27" s="861">
        <v>4</v>
      </c>
    </row>
    <row r="28" spans="1:15" ht="14.25">
      <c r="A28" s="34"/>
      <c r="B28" s="850" t="s">
        <v>399</v>
      </c>
      <c r="C28" s="851">
        <v>23</v>
      </c>
      <c r="D28" s="852" t="s">
        <v>20</v>
      </c>
      <c r="E28" s="34"/>
      <c r="F28" s="853" t="s">
        <v>348</v>
      </c>
      <c r="G28" s="854">
        <v>0</v>
      </c>
      <c r="H28" s="855" t="s">
        <v>11</v>
      </c>
      <c r="I28" s="34"/>
      <c r="J28" s="865" t="s">
        <v>78</v>
      </c>
      <c r="K28" s="831" t="s">
        <v>6</v>
      </c>
      <c r="L28" s="781"/>
      <c r="M28" s="34"/>
      <c r="N28" s="848" t="s">
        <v>467</v>
      </c>
      <c r="O28" s="861">
        <v>4</v>
      </c>
    </row>
    <row r="29" spans="1:15" ht="14.25">
      <c r="A29" s="34"/>
      <c r="B29" s="850" t="s">
        <v>287</v>
      </c>
      <c r="C29" s="851">
        <v>23</v>
      </c>
      <c r="D29" s="852" t="s">
        <v>8</v>
      </c>
      <c r="E29" s="34"/>
      <c r="F29" s="853" t="s">
        <v>348</v>
      </c>
      <c r="G29" s="854">
        <v>0</v>
      </c>
      <c r="H29" s="855" t="s">
        <v>11</v>
      </c>
      <c r="I29" s="34"/>
      <c r="J29" s="865" t="s">
        <v>79</v>
      </c>
      <c r="K29" s="831" t="s">
        <v>2047</v>
      </c>
      <c r="L29" s="781"/>
      <c r="M29" s="34"/>
      <c r="N29" s="848" t="s">
        <v>434</v>
      </c>
      <c r="O29" s="861">
        <v>4</v>
      </c>
    </row>
    <row r="30" spans="1:15" ht="14.25">
      <c r="A30" s="34"/>
      <c r="B30" s="850" t="s">
        <v>289</v>
      </c>
      <c r="C30" s="851">
        <v>23</v>
      </c>
      <c r="D30" s="852" t="s">
        <v>21</v>
      </c>
      <c r="E30" s="34"/>
      <c r="F30" s="853" t="s">
        <v>233</v>
      </c>
      <c r="G30" s="854">
        <v>0</v>
      </c>
      <c r="H30" s="855" t="s">
        <v>11</v>
      </c>
      <c r="I30" s="34"/>
      <c r="J30" s="865" t="s">
        <v>80</v>
      </c>
      <c r="K30" s="831" t="s">
        <v>6</v>
      </c>
      <c r="L30" s="781"/>
      <c r="M30" s="34"/>
      <c r="N30" s="848" t="s">
        <v>463</v>
      </c>
      <c r="O30" s="861">
        <v>4</v>
      </c>
    </row>
    <row r="31" spans="1:15" ht="14.25">
      <c r="A31" s="34"/>
      <c r="B31" s="850" t="s">
        <v>295</v>
      </c>
      <c r="C31" s="851">
        <v>26</v>
      </c>
      <c r="D31" s="852" t="s">
        <v>26</v>
      </c>
      <c r="E31" s="34"/>
      <c r="F31" s="853" t="s">
        <v>233</v>
      </c>
      <c r="G31" s="854">
        <v>0</v>
      </c>
      <c r="H31" s="855" t="s">
        <v>11</v>
      </c>
      <c r="I31" s="34"/>
      <c r="J31" s="865" t="s">
        <v>81</v>
      </c>
      <c r="K31" s="831" t="s">
        <v>2048</v>
      </c>
      <c r="L31" s="781"/>
      <c r="M31" s="34"/>
      <c r="N31" s="848" t="s">
        <v>436</v>
      </c>
      <c r="O31" s="861">
        <v>5</v>
      </c>
    </row>
    <row r="32" spans="1:15" ht="14.25">
      <c r="A32" s="34"/>
      <c r="B32" s="850" t="s">
        <v>390</v>
      </c>
      <c r="C32" s="851">
        <v>26</v>
      </c>
      <c r="D32" s="852" t="s">
        <v>25</v>
      </c>
      <c r="E32" s="34"/>
      <c r="F32" s="853" t="s">
        <v>236</v>
      </c>
      <c r="G32" s="854">
        <v>0</v>
      </c>
      <c r="H32" s="855" t="s">
        <v>11</v>
      </c>
      <c r="I32" s="34"/>
      <c r="J32" s="866" t="s">
        <v>82</v>
      </c>
      <c r="K32" s="867" t="s">
        <v>106</v>
      </c>
      <c r="L32" s="868"/>
      <c r="M32" s="34"/>
      <c r="N32" s="848" t="s">
        <v>430</v>
      </c>
      <c r="O32" s="861">
        <v>5</v>
      </c>
    </row>
    <row r="33" spans="1:15" ht="14.25">
      <c r="A33" s="34"/>
      <c r="B33" s="850" t="s">
        <v>302</v>
      </c>
      <c r="C33" s="851">
        <v>26</v>
      </c>
      <c r="D33" s="852" t="s">
        <v>13</v>
      </c>
      <c r="E33" s="34"/>
      <c r="F33" s="853" t="s">
        <v>236</v>
      </c>
      <c r="G33" s="854">
        <v>0</v>
      </c>
      <c r="H33" s="855" t="s">
        <v>11</v>
      </c>
      <c r="I33" s="34"/>
      <c r="J33" s="173"/>
      <c r="K33" s="34"/>
      <c r="L33" s="34"/>
      <c r="M33" s="34"/>
      <c r="N33" s="848" t="s">
        <v>442</v>
      </c>
      <c r="O33" s="861">
        <v>5</v>
      </c>
    </row>
    <row r="34" spans="1:15" ht="14.25">
      <c r="A34" s="34"/>
      <c r="B34" s="850" t="s">
        <v>198</v>
      </c>
      <c r="C34" s="851">
        <v>26</v>
      </c>
      <c r="D34" s="852" t="s">
        <v>16</v>
      </c>
      <c r="E34" s="34"/>
      <c r="F34" s="853" t="s">
        <v>291</v>
      </c>
      <c r="G34" s="854">
        <v>2</v>
      </c>
      <c r="H34" s="855" t="s">
        <v>11</v>
      </c>
      <c r="I34" s="34"/>
      <c r="M34" s="34"/>
      <c r="N34" s="848" t="s">
        <v>455</v>
      </c>
      <c r="O34" s="861">
        <v>5</v>
      </c>
    </row>
    <row r="35" spans="1:15" ht="14.25">
      <c r="A35" s="34"/>
      <c r="B35" s="850" t="s">
        <v>201</v>
      </c>
      <c r="C35" s="851">
        <v>26</v>
      </c>
      <c r="D35" s="852" t="s">
        <v>18</v>
      </c>
      <c r="E35" s="34"/>
      <c r="F35" s="853" t="s">
        <v>291</v>
      </c>
      <c r="G35" s="854">
        <v>2</v>
      </c>
      <c r="H35" s="855" t="s">
        <v>11</v>
      </c>
      <c r="I35" s="34"/>
      <c r="M35" s="34"/>
      <c r="N35" s="848" t="s">
        <v>440</v>
      </c>
      <c r="O35" s="861">
        <v>5</v>
      </c>
    </row>
    <row r="36" spans="1:15" ht="14.25">
      <c r="A36" s="34"/>
      <c r="B36" s="850" t="s">
        <v>233</v>
      </c>
      <c r="C36" s="851">
        <v>26</v>
      </c>
      <c r="D36" s="852" t="s">
        <v>11</v>
      </c>
      <c r="E36" s="34"/>
      <c r="F36" s="853" t="s">
        <v>382</v>
      </c>
      <c r="G36" s="854">
        <v>4</v>
      </c>
      <c r="H36" s="855" t="s">
        <v>11</v>
      </c>
      <c r="I36" s="34"/>
      <c r="J36" s="869" t="s">
        <v>2049</v>
      </c>
      <c r="K36" s="34"/>
      <c r="L36" s="34"/>
      <c r="M36" s="34"/>
      <c r="N36" s="870" t="s">
        <v>444</v>
      </c>
      <c r="O36" s="871">
        <v>5</v>
      </c>
    </row>
    <row r="37" spans="1:15" ht="14.25">
      <c r="A37" s="34"/>
      <c r="B37" s="850" t="s">
        <v>399</v>
      </c>
      <c r="C37" s="851">
        <v>26</v>
      </c>
      <c r="D37" s="852" t="s">
        <v>20</v>
      </c>
      <c r="E37" s="34"/>
      <c r="F37" s="853" t="s">
        <v>382</v>
      </c>
      <c r="G37" s="854">
        <v>4</v>
      </c>
      <c r="H37" s="855" t="s">
        <v>11</v>
      </c>
      <c r="I37" s="34"/>
      <c r="J37" s="869" t="s">
        <v>207</v>
      </c>
      <c r="K37" s="34"/>
      <c r="L37" s="34"/>
      <c r="M37" s="34"/>
      <c r="N37" s="34"/>
      <c r="O37" s="173"/>
    </row>
    <row r="38" spans="1:15" ht="14.25">
      <c r="A38" s="34"/>
      <c r="B38" s="850" t="s">
        <v>287</v>
      </c>
      <c r="C38" s="851">
        <v>26</v>
      </c>
      <c r="D38" s="852" t="s">
        <v>8</v>
      </c>
      <c r="E38" s="34"/>
      <c r="F38" s="853" t="s">
        <v>204</v>
      </c>
      <c r="G38" s="854">
        <v>6</v>
      </c>
      <c r="H38" s="855" t="s">
        <v>11</v>
      </c>
      <c r="I38" s="34"/>
      <c r="J38" s="869" t="s">
        <v>146</v>
      </c>
      <c r="K38" s="34"/>
      <c r="L38" s="34"/>
      <c r="M38" s="34"/>
      <c r="N38" s="872" t="s">
        <v>2050</v>
      </c>
      <c r="O38" s="873"/>
    </row>
    <row r="39" spans="1:15" ht="14.25">
      <c r="A39" s="34"/>
      <c r="B39" s="850" t="s">
        <v>289</v>
      </c>
      <c r="C39" s="851">
        <v>26</v>
      </c>
      <c r="D39" s="852" t="s">
        <v>21</v>
      </c>
      <c r="E39" s="34"/>
      <c r="F39" s="853" t="s">
        <v>204</v>
      </c>
      <c r="G39" s="854">
        <v>6</v>
      </c>
      <c r="H39" s="855" t="s">
        <v>11</v>
      </c>
      <c r="I39" s="34"/>
      <c r="J39" s="869" t="s">
        <v>182</v>
      </c>
      <c r="K39" s="34"/>
      <c r="L39" s="34"/>
      <c r="M39" s="34"/>
      <c r="N39" s="874" t="s">
        <v>1929</v>
      </c>
      <c r="O39" s="875" t="s">
        <v>2043</v>
      </c>
    </row>
    <row r="40" spans="1:15" ht="14.25">
      <c r="A40" s="34"/>
      <c r="B40" s="850" t="s">
        <v>247</v>
      </c>
      <c r="C40" s="851">
        <v>28</v>
      </c>
      <c r="D40" s="852" t="s">
        <v>13</v>
      </c>
      <c r="E40" s="34"/>
      <c r="F40" s="853" t="s">
        <v>386</v>
      </c>
      <c r="G40" s="854">
        <v>8</v>
      </c>
      <c r="H40" s="855" t="s">
        <v>11</v>
      </c>
      <c r="I40" s="34"/>
      <c r="J40" s="173"/>
      <c r="K40" s="34"/>
      <c r="L40" s="34"/>
      <c r="M40" s="34"/>
      <c r="N40" s="876"/>
      <c r="O40" s="877"/>
    </row>
    <row r="41" spans="1:15" ht="14.25">
      <c r="A41" s="34"/>
      <c r="B41" s="850" t="s">
        <v>253</v>
      </c>
      <c r="C41" s="851">
        <v>28</v>
      </c>
      <c r="D41" s="852" t="s">
        <v>18</v>
      </c>
      <c r="E41" s="34"/>
      <c r="F41" s="853" t="s">
        <v>386</v>
      </c>
      <c r="G41" s="854">
        <v>8</v>
      </c>
      <c r="H41" s="855" t="s">
        <v>11</v>
      </c>
      <c r="I41" s="34"/>
      <c r="J41" s="173"/>
      <c r="K41" s="34"/>
      <c r="L41" s="34"/>
      <c r="M41" s="34"/>
      <c r="N41" s="876" t="s">
        <v>1312</v>
      </c>
      <c r="O41" s="878">
        <v>1</v>
      </c>
    </row>
    <row r="42" spans="1:15" ht="14.25">
      <c r="A42" s="34"/>
      <c r="B42" s="850" t="s">
        <v>300</v>
      </c>
      <c r="C42" s="851">
        <v>28</v>
      </c>
      <c r="D42" s="852" t="s">
        <v>20</v>
      </c>
      <c r="E42" s="34"/>
      <c r="F42" s="853" t="s">
        <v>310</v>
      </c>
      <c r="G42" s="854">
        <v>10</v>
      </c>
      <c r="H42" s="855" t="s">
        <v>11</v>
      </c>
      <c r="I42" s="34"/>
      <c r="J42" s="173"/>
      <c r="K42" s="34"/>
      <c r="L42" s="34"/>
      <c r="M42" s="34"/>
      <c r="N42" s="876" t="s">
        <v>1315</v>
      </c>
      <c r="O42" s="878">
        <v>1</v>
      </c>
    </row>
    <row r="43" spans="1:15" ht="14.25">
      <c r="A43" s="34"/>
      <c r="B43" s="850" t="s">
        <v>345</v>
      </c>
      <c r="C43" s="851">
        <v>28</v>
      </c>
      <c r="D43" s="852" t="s">
        <v>11</v>
      </c>
      <c r="E43" s="34"/>
      <c r="F43" s="853" t="s">
        <v>310</v>
      </c>
      <c r="G43" s="854">
        <v>10</v>
      </c>
      <c r="H43" s="855" t="s">
        <v>11</v>
      </c>
      <c r="I43" s="34"/>
      <c r="J43" s="173"/>
      <c r="K43" s="34"/>
      <c r="L43" s="34"/>
      <c r="M43" s="34"/>
      <c r="N43" s="876" t="s">
        <v>1356</v>
      </c>
      <c r="O43" s="878">
        <v>1</v>
      </c>
    </row>
    <row r="44" spans="1:15" ht="14.25">
      <c r="A44" s="34"/>
      <c r="B44" s="850" t="s">
        <v>202</v>
      </c>
      <c r="C44" s="851">
        <v>28</v>
      </c>
      <c r="D44" s="852" t="s">
        <v>16</v>
      </c>
      <c r="E44" s="34"/>
      <c r="F44" s="853" t="s">
        <v>247</v>
      </c>
      <c r="G44" s="854">
        <v>0</v>
      </c>
      <c r="H44" s="855" t="s">
        <v>13</v>
      </c>
      <c r="I44" s="34"/>
      <c r="J44" s="869" t="s">
        <v>2051</v>
      </c>
      <c r="K44" s="34"/>
      <c r="L44" s="34"/>
      <c r="M44" s="34"/>
      <c r="N44" s="876" t="s">
        <v>1353</v>
      </c>
      <c r="O44" s="878">
        <v>1</v>
      </c>
    </row>
    <row r="45" spans="1:15" ht="14.25">
      <c r="A45" s="34"/>
      <c r="B45" s="850" t="s">
        <v>269</v>
      </c>
      <c r="C45" s="851">
        <v>28</v>
      </c>
      <c r="D45" s="852" t="s">
        <v>8</v>
      </c>
      <c r="E45" s="34"/>
      <c r="F45" s="853" t="s">
        <v>247</v>
      </c>
      <c r="G45" s="854">
        <v>0</v>
      </c>
      <c r="H45" s="855" t="s">
        <v>13</v>
      </c>
      <c r="I45" s="34"/>
      <c r="J45" s="869" t="s">
        <v>8</v>
      </c>
      <c r="K45" s="34"/>
      <c r="L45" s="34"/>
      <c r="M45" s="34"/>
      <c r="N45" s="876" t="s">
        <v>1327</v>
      </c>
      <c r="O45" s="878">
        <v>2</v>
      </c>
    </row>
    <row r="46" spans="1:15" ht="14.25">
      <c r="A46" s="34"/>
      <c r="B46" s="850" t="s">
        <v>325</v>
      </c>
      <c r="C46" s="851">
        <v>28</v>
      </c>
      <c r="D46" s="852" t="s">
        <v>26</v>
      </c>
      <c r="E46" s="34"/>
      <c r="F46" s="853" t="s">
        <v>293</v>
      </c>
      <c r="G46" s="854">
        <v>0</v>
      </c>
      <c r="H46" s="855" t="s">
        <v>13</v>
      </c>
      <c r="I46" s="34"/>
      <c r="J46" s="869" t="s">
        <v>11</v>
      </c>
      <c r="K46" s="34"/>
      <c r="L46" s="34"/>
      <c r="M46" s="34"/>
      <c r="N46" s="876" t="s">
        <v>1319</v>
      </c>
      <c r="O46" s="878">
        <v>2</v>
      </c>
    </row>
    <row r="47" spans="1:15" ht="14.25">
      <c r="A47" s="34"/>
      <c r="B47" s="850" t="s">
        <v>227</v>
      </c>
      <c r="C47" s="851">
        <v>28</v>
      </c>
      <c r="D47" s="852" t="s">
        <v>25</v>
      </c>
      <c r="E47" s="34"/>
      <c r="F47" s="853" t="s">
        <v>293</v>
      </c>
      <c r="G47" s="854">
        <v>0</v>
      </c>
      <c r="H47" s="855" t="s">
        <v>13</v>
      </c>
      <c r="I47" s="34"/>
      <c r="J47" s="869" t="s">
        <v>13</v>
      </c>
      <c r="K47" s="34"/>
      <c r="L47" s="34"/>
      <c r="M47" s="34"/>
      <c r="N47" s="876" t="s">
        <v>1362</v>
      </c>
      <c r="O47" s="878">
        <v>2</v>
      </c>
    </row>
    <row r="48" spans="1:15" ht="14.25">
      <c r="A48" s="34"/>
      <c r="B48" s="850" t="s">
        <v>161</v>
      </c>
      <c r="C48" s="851">
        <v>28</v>
      </c>
      <c r="D48" s="852" t="s">
        <v>21</v>
      </c>
      <c r="E48" s="34"/>
      <c r="F48" s="853" t="s">
        <v>164</v>
      </c>
      <c r="G48" s="854">
        <v>0</v>
      </c>
      <c r="H48" s="855" t="s">
        <v>13</v>
      </c>
      <c r="I48" s="34"/>
      <c r="J48" s="869" t="s">
        <v>16</v>
      </c>
      <c r="K48" s="34"/>
      <c r="L48" s="34"/>
      <c r="M48" s="34"/>
      <c r="N48" s="876" t="s">
        <v>1349</v>
      </c>
      <c r="O48" s="878">
        <v>2</v>
      </c>
    </row>
    <row r="49" spans="1:15" ht="14.25">
      <c r="A49" s="34"/>
      <c r="B49" s="850" t="s">
        <v>247</v>
      </c>
      <c r="C49" s="851">
        <v>30</v>
      </c>
      <c r="D49" s="852" t="s">
        <v>13</v>
      </c>
      <c r="E49" s="34"/>
      <c r="F49" s="853" t="s">
        <v>164</v>
      </c>
      <c r="G49" s="854">
        <v>0</v>
      </c>
      <c r="H49" s="855" t="s">
        <v>13</v>
      </c>
      <c r="I49" s="34"/>
      <c r="J49" s="869" t="s">
        <v>18</v>
      </c>
      <c r="K49" s="34"/>
      <c r="L49" s="34"/>
      <c r="M49" s="34"/>
      <c r="N49" s="876" t="s">
        <v>1321</v>
      </c>
      <c r="O49" s="878">
        <v>3</v>
      </c>
    </row>
    <row r="50" spans="1:15" ht="14.25">
      <c r="A50" s="34"/>
      <c r="B50" s="850" t="s">
        <v>253</v>
      </c>
      <c r="C50" s="851">
        <v>30</v>
      </c>
      <c r="D50" s="852" t="s">
        <v>18</v>
      </c>
      <c r="E50" s="34"/>
      <c r="F50" s="853" t="s">
        <v>338</v>
      </c>
      <c r="G50" s="854">
        <v>0</v>
      </c>
      <c r="H50" s="855" t="s">
        <v>13</v>
      </c>
      <c r="I50" s="34"/>
      <c r="J50" s="879" t="s">
        <v>20</v>
      </c>
      <c r="K50" s="34"/>
      <c r="L50" s="34"/>
      <c r="M50" s="34"/>
      <c r="N50" s="876" t="s">
        <v>1337</v>
      </c>
      <c r="O50" s="878">
        <v>3</v>
      </c>
    </row>
    <row r="51" spans="1:15" ht="14.25">
      <c r="A51" s="34"/>
      <c r="B51" s="850" t="s">
        <v>300</v>
      </c>
      <c r="C51" s="851">
        <v>30</v>
      </c>
      <c r="D51" s="852" t="s">
        <v>20</v>
      </c>
      <c r="E51" s="34"/>
      <c r="F51" s="853" t="s">
        <v>338</v>
      </c>
      <c r="G51" s="854">
        <v>0</v>
      </c>
      <c r="H51" s="855" t="s">
        <v>13</v>
      </c>
      <c r="I51" s="34"/>
      <c r="J51" s="879" t="s">
        <v>21</v>
      </c>
      <c r="K51" s="34"/>
      <c r="L51" s="34"/>
      <c r="M51" s="34"/>
      <c r="N51" s="876" t="s">
        <v>1358</v>
      </c>
      <c r="O51" s="878">
        <v>3</v>
      </c>
    </row>
    <row r="52" spans="1:15" ht="14.25">
      <c r="A52" s="34"/>
      <c r="B52" s="850" t="s">
        <v>345</v>
      </c>
      <c r="C52" s="851">
        <v>30</v>
      </c>
      <c r="D52" s="852" t="s">
        <v>11</v>
      </c>
      <c r="E52" s="34"/>
      <c r="F52" s="853" t="s">
        <v>352</v>
      </c>
      <c r="G52" s="854">
        <v>0</v>
      </c>
      <c r="H52" s="855" t="s">
        <v>13</v>
      </c>
      <c r="I52" s="34"/>
      <c r="J52" s="869" t="s">
        <v>25</v>
      </c>
      <c r="K52" s="34"/>
      <c r="L52" s="34"/>
      <c r="M52" s="34"/>
      <c r="N52" s="876" t="s">
        <v>1344</v>
      </c>
      <c r="O52" s="878">
        <v>3</v>
      </c>
    </row>
    <row r="53" spans="1:15" ht="14.25">
      <c r="A53" s="34"/>
      <c r="B53" s="850" t="s">
        <v>202</v>
      </c>
      <c r="C53" s="851">
        <v>30</v>
      </c>
      <c r="D53" s="852" t="s">
        <v>16</v>
      </c>
      <c r="E53" s="34"/>
      <c r="F53" s="853" t="s">
        <v>352</v>
      </c>
      <c r="G53" s="854">
        <v>0</v>
      </c>
      <c r="H53" s="855" t="s">
        <v>13</v>
      </c>
      <c r="I53" s="34"/>
      <c r="J53" s="869" t="s">
        <v>26</v>
      </c>
      <c r="K53" s="34"/>
      <c r="L53" s="34"/>
      <c r="M53" s="34"/>
      <c r="N53" s="876" t="s">
        <v>1306</v>
      </c>
      <c r="O53" s="878">
        <v>4</v>
      </c>
    </row>
    <row r="54" spans="1:15" ht="14.25">
      <c r="A54" s="34"/>
      <c r="B54" s="850" t="s">
        <v>269</v>
      </c>
      <c r="C54" s="851">
        <v>30</v>
      </c>
      <c r="D54" s="852" t="s">
        <v>8</v>
      </c>
      <c r="E54" s="34"/>
      <c r="F54" s="853" t="s">
        <v>259</v>
      </c>
      <c r="G54" s="854">
        <v>2</v>
      </c>
      <c r="H54" s="855" t="s">
        <v>13</v>
      </c>
      <c r="I54" s="34"/>
      <c r="J54" s="869" t="s">
        <v>115</v>
      </c>
      <c r="K54" s="34"/>
      <c r="L54" s="34"/>
      <c r="M54" s="34"/>
      <c r="N54" s="876" t="s">
        <v>1314</v>
      </c>
      <c r="O54" s="878">
        <v>4</v>
      </c>
    </row>
    <row r="55" spans="1:15" ht="14.25">
      <c r="A55" s="34"/>
      <c r="B55" s="850" t="s">
        <v>325</v>
      </c>
      <c r="C55" s="851">
        <v>30</v>
      </c>
      <c r="D55" s="852" t="s">
        <v>26</v>
      </c>
      <c r="E55" s="34"/>
      <c r="F55" s="853" t="s">
        <v>259</v>
      </c>
      <c r="G55" s="854">
        <v>2</v>
      </c>
      <c r="H55" s="855" t="s">
        <v>13</v>
      </c>
      <c r="I55" s="34"/>
      <c r="J55" s="173"/>
      <c r="K55" s="34"/>
      <c r="L55" s="34"/>
      <c r="M55" s="34"/>
      <c r="N55" s="876" t="s">
        <v>1310</v>
      </c>
      <c r="O55" s="878">
        <v>4</v>
      </c>
    </row>
    <row r="56" spans="1:15" ht="14.25">
      <c r="A56" s="34"/>
      <c r="B56" s="850" t="s">
        <v>227</v>
      </c>
      <c r="C56" s="851">
        <v>30</v>
      </c>
      <c r="D56" s="852" t="s">
        <v>25</v>
      </c>
      <c r="E56" s="34"/>
      <c r="F56" s="853" t="s">
        <v>210</v>
      </c>
      <c r="G56" s="854">
        <v>4</v>
      </c>
      <c r="H56" s="855" t="s">
        <v>13</v>
      </c>
      <c r="I56" s="34"/>
      <c r="J56" s="173"/>
      <c r="K56" s="34"/>
      <c r="L56" s="34"/>
      <c r="M56" s="34"/>
      <c r="N56" s="876" t="s">
        <v>1360</v>
      </c>
      <c r="O56" s="878">
        <v>4</v>
      </c>
    </row>
    <row r="57" spans="1:15" ht="14.25">
      <c r="A57" s="34"/>
      <c r="B57" s="850" t="s">
        <v>161</v>
      </c>
      <c r="C57" s="851">
        <v>30</v>
      </c>
      <c r="D57" s="852" t="s">
        <v>21</v>
      </c>
      <c r="E57" s="34"/>
      <c r="F57" s="853" t="s">
        <v>210</v>
      </c>
      <c r="G57" s="854">
        <v>4</v>
      </c>
      <c r="H57" s="855" t="s">
        <v>13</v>
      </c>
      <c r="I57" s="34"/>
      <c r="J57" s="173"/>
      <c r="K57" s="34"/>
      <c r="L57" s="34"/>
      <c r="M57" s="34"/>
      <c r="N57" s="876" t="s">
        <v>1346</v>
      </c>
      <c r="O57" s="878">
        <v>4</v>
      </c>
    </row>
    <row r="58" spans="1:15" ht="14.25">
      <c r="A58" s="34"/>
      <c r="B58" s="850" t="s">
        <v>164</v>
      </c>
      <c r="C58" s="851">
        <v>32</v>
      </c>
      <c r="D58" s="852" t="s">
        <v>13</v>
      </c>
      <c r="E58" s="34"/>
      <c r="F58" s="853" t="s">
        <v>302</v>
      </c>
      <c r="G58" s="854">
        <v>6</v>
      </c>
      <c r="H58" s="855" t="s">
        <v>13</v>
      </c>
      <c r="I58" s="34"/>
      <c r="J58" s="173"/>
      <c r="K58" s="34"/>
      <c r="L58" s="34"/>
      <c r="M58" s="34"/>
      <c r="N58" s="876" t="s">
        <v>1351</v>
      </c>
      <c r="O58" s="878">
        <v>4</v>
      </c>
    </row>
    <row r="59" spans="1:15" ht="14.25">
      <c r="A59" s="34"/>
      <c r="B59" s="850" t="s">
        <v>167</v>
      </c>
      <c r="C59" s="851">
        <v>32</v>
      </c>
      <c r="D59" s="852" t="s">
        <v>11</v>
      </c>
      <c r="E59" s="34"/>
      <c r="F59" s="853" t="s">
        <v>302</v>
      </c>
      <c r="G59" s="854">
        <v>6</v>
      </c>
      <c r="H59" s="855" t="s">
        <v>13</v>
      </c>
      <c r="I59" s="34"/>
      <c r="J59" s="173"/>
      <c r="K59" s="34"/>
      <c r="L59" s="34"/>
      <c r="M59" s="34"/>
      <c r="N59" s="876" t="s">
        <v>1339</v>
      </c>
      <c r="O59" s="878">
        <v>5</v>
      </c>
    </row>
    <row r="60" spans="1:15" ht="14.25">
      <c r="A60" s="34"/>
      <c r="B60" s="850" t="s">
        <v>365</v>
      </c>
      <c r="C60" s="851">
        <v>32</v>
      </c>
      <c r="D60" s="852" t="s">
        <v>20</v>
      </c>
      <c r="E60" s="34"/>
      <c r="F60" s="853" t="s">
        <v>360</v>
      </c>
      <c r="G60" s="854">
        <v>8</v>
      </c>
      <c r="H60" s="855" t="s">
        <v>13</v>
      </c>
      <c r="I60" s="34"/>
      <c r="J60" s="173"/>
      <c r="K60" s="34"/>
      <c r="L60" s="34"/>
      <c r="M60" s="34"/>
      <c r="N60" s="876" t="s">
        <v>1341</v>
      </c>
      <c r="O60" s="878">
        <v>5</v>
      </c>
    </row>
    <row r="61" spans="1:15" ht="14.25">
      <c r="A61" s="34"/>
      <c r="B61" s="850" t="s">
        <v>172</v>
      </c>
      <c r="C61" s="851">
        <v>32</v>
      </c>
      <c r="D61" s="852" t="s">
        <v>8</v>
      </c>
      <c r="E61" s="34"/>
      <c r="F61" s="853" t="s">
        <v>360</v>
      </c>
      <c r="G61" s="854">
        <v>8</v>
      </c>
      <c r="H61" s="855" t="s">
        <v>13</v>
      </c>
      <c r="I61" s="34"/>
      <c r="J61" s="173"/>
      <c r="K61" s="34"/>
      <c r="L61" s="34"/>
      <c r="M61" s="34"/>
      <c r="N61" s="876" t="s">
        <v>1354</v>
      </c>
      <c r="O61" s="878">
        <v>5</v>
      </c>
    </row>
    <row r="62" spans="1:15" ht="14.25">
      <c r="A62" s="34"/>
      <c r="B62" s="850" t="s">
        <v>175</v>
      </c>
      <c r="C62" s="851">
        <v>32</v>
      </c>
      <c r="D62" s="852" t="s">
        <v>25</v>
      </c>
      <c r="E62" s="34"/>
      <c r="F62" s="853" t="s">
        <v>402</v>
      </c>
      <c r="G62" s="854">
        <v>10</v>
      </c>
      <c r="H62" s="855" t="s">
        <v>13</v>
      </c>
      <c r="I62" s="34"/>
      <c r="J62" s="173"/>
      <c r="K62" s="34"/>
      <c r="L62" s="34"/>
      <c r="M62" s="34"/>
      <c r="N62" s="876" t="s">
        <v>1333</v>
      </c>
      <c r="O62" s="878">
        <v>1</v>
      </c>
    </row>
    <row r="63" spans="1:15" ht="14.25">
      <c r="A63" s="34"/>
      <c r="B63" s="850" t="s">
        <v>189</v>
      </c>
      <c r="C63" s="851">
        <v>32</v>
      </c>
      <c r="D63" s="852" t="s">
        <v>21</v>
      </c>
      <c r="E63" s="34"/>
      <c r="F63" s="853" t="s">
        <v>402</v>
      </c>
      <c r="G63" s="854">
        <v>10</v>
      </c>
      <c r="H63" s="855" t="s">
        <v>13</v>
      </c>
      <c r="I63" s="34"/>
      <c r="J63" s="173"/>
      <c r="K63" s="34"/>
      <c r="L63" s="34"/>
      <c r="M63" s="34"/>
      <c r="N63" s="876" t="s">
        <v>1308</v>
      </c>
      <c r="O63" s="878">
        <v>2</v>
      </c>
    </row>
    <row r="64" spans="1:15" ht="14.25">
      <c r="A64" s="34"/>
      <c r="B64" s="850" t="s">
        <v>341</v>
      </c>
      <c r="C64" s="851">
        <v>32</v>
      </c>
      <c r="D64" s="852" t="s">
        <v>16</v>
      </c>
      <c r="E64" s="34"/>
      <c r="F64" s="853" t="s">
        <v>245</v>
      </c>
      <c r="G64" s="854">
        <v>0</v>
      </c>
      <c r="H64" s="880" t="s">
        <v>115</v>
      </c>
      <c r="I64" s="34"/>
      <c r="J64" s="173"/>
      <c r="K64" s="34"/>
      <c r="L64" s="34"/>
      <c r="M64" s="34"/>
      <c r="N64" s="876" t="s">
        <v>1325</v>
      </c>
      <c r="O64" s="878">
        <v>2</v>
      </c>
    </row>
    <row r="65" spans="1:15" ht="14.25">
      <c r="A65" s="34"/>
      <c r="B65" s="850" t="s">
        <v>208</v>
      </c>
      <c r="C65" s="851">
        <v>32</v>
      </c>
      <c r="D65" s="852" t="s">
        <v>18</v>
      </c>
      <c r="E65" s="34"/>
      <c r="F65" s="853" t="s">
        <v>245</v>
      </c>
      <c r="G65" s="854">
        <v>0</v>
      </c>
      <c r="H65" s="880" t="s">
        <v>115</v>
      </c>
      <c r="I65" s="34"/>
      <c r="J65" s="173"/>
      <c r="K65" s="34"/>
      <c r="L65" s="34"/>
      <c r="M65" s="34"/>
      <c r="N65" s="876" t="s">
        <v>1304</v>
      </c>
      <c r="O65" s="878">
        <v>5</v>
      </c>
    </row>
    <row r="66" spans="1:15" ht="14.25">
      <c r="A66" s="34"/>
      <c r="B66" s="850" t="s">
        <v>243</v>
      </c>
      <c r="C66" s="851">
        <v>32</v>
      </c>
      <c r="D66" s="852" t="s">
        <v>26</v>
      </c>
      <c r="E66" s="34"/>
      <c r="F66" s="853" t="s">
        <v>388</v>
      </c>
      <c r="G66" s="854">
        <v>0</v>
      </c>
      <c r="H66" s="880" t="s">
        <v>115</v>
      </c>
      <c r="I66" s="34"/>
      <c r="J66" s="173"/>
      <c r="K66" s="34"/>
      <c r="L66" s="34"/>
      <c r="M66" s="34"/>
      <c r="N66" s="876" t="s">
        <v>1323</v>
      </c>
      <c r="O66" s="878">
        <v>4</v>
      </c>
    </row>
    <row r="67" spans="1:15" ht="14.25">
      <c r="A67" s="34"/>
      <c r="B67" s="850" t="s">
        <v>164</v>
      </c>
      <c r="C67" s="851">
        <v>34</v>
      </c>
      <c r="D67" s="852" t="s">
        <v>13</v>
      </c>
      <c r="E67" s="34"/>
      <c r="F67" s="853" t="s">
        <v>388</v>
      </c>
      <c r="G67" s="854">
        <v>0</v>
      </c>
      <c r="H67" s="880" t="s">
        <v>115</v>
      </c>
      <c r="I67" s="34"/>
      <c r="J67" s="173"/>
      <c r="K67" s="34"/>
      <c r="L67" s="34"/>
      <c r="M67" s="34"/>
      <c r="N67" s="876" t="s">
        <v>1329</v>
      </c>
      <c r="O67" s="878">
        <v>1</v>
      </c>
    </row>
    <row r="68" spans="1:15" ht="14.25">
      <c r="A68" s="34"/>
      <c r="B68" s="850" t="s">
        <v>167</v>
      </c>
      <c r="C68" s="851">
        <v>34</v>
      </c>
      <c r="D68" s="852" t="s">
        <v>11</v>
      </c>
      <c r="E68" s="34"/>
      <c r="F68" s="853" t="s">
        <v>249</v>
      </c>
      <c r="G68" s="854">
        <v>0</v>
      </c>
      <c r="H68" s="880" t="s">
        <v>115</v>
      </c>
      <c r="I68" s="34"/>
      <c r="J68" s="173"/>
      <c r="K68" s="34"/>
      <c r="L68" s="34"/>
      <c r="M68" s="34"/>
      <c r="N68" s="876" t="s">
        <v>1317</v>
      </c>
      <c r="O68" s="878">
        <v>3</v>
      </c>
    </row>
    <row r="69" spans="1:15" ht="14.25">
      <c r="A69" s="34"/>
      <c r="B69" s="850" t="s">
        <v>365</v>
      </c>
      <c r="C69" s="851">
        <v>34</v>
      </c>
      <c r="D69" s="852" t="s">
        <v>20</v>
      </c>
      <c r="E69" s="34"/>
      <c r="F69" s="853" t="s">
        <v>249</v>
      </c>
      <c r="G69" s="854">
        <v>0</v>
      </c>
      <c r="H69" s="880" t="s">
        <v>115</v>
      </c>
      <c r="I69" s="34"/>
      <c r="J69" s="173"/>
      <c r="K69" s="34"/>
      <c r="L69" s="34"/>
      <c r="M69" s="34"/>
      <c r="N69" s="876" t="s">
        <v>1335</v>
      </c>
      <c r="O69" s="878">
        <v>3</v>
      </c>
    </row>
    <row r="70" spans="1:15" ht="14.25">
      <c r="A70" s="34"/>
      <c r="B70" s="850" t="s">
        <v>172</v>
      </c>
      <c r="C70" s="851">
        <v>34</v>
      </c>
      <c r="D70" s="852" t="s">
        <v>8</v>
      </c>
      <c r="E70" s="34"/>
      <c r="F70" s="853" t="s">
        <v>370</v>
      </c>
      <c r="G70" s="854">
        <v>0</v>
      </c>
      <c r="H70" s="880" t="s">
        <v>115</v>
      </c>
      <c r="I70" s="34"/>
      <c r="J70" s="173"/>
      <c r="K70" s="34"/>
      <c r="L70" s="34"/>
      <c r="M70" s="34"/>
      <c r="N70" s="876" t="s">
        <v>1331</v>
      </c>
      <c r="O70" s="878">
        <v>4</v>
      </c>
    </row>
    <row r="71" spans="1:15" ht="14.25">
      <c r="A71" s="34"/>
      <c r="B71" s="850" t="s">
        <v>175</v>
      </c>
      <c r="C71" s="851">
        <v>34</v>
      </c>
      <c r="D71" s="852" t="s">
        <v>25</v>
      </c>
      <c r="E71" s="34"/>
      <c r="F71" s="853" t="s">
        <v>370</v>
      </c>
      <c r="G71" s="854">
        <v>0</v>
      </c>
      <c r="H71" s="880" t="s">
        <v>115</v>
      </c>
      <c r="I71" s="34"/>
      <c r="J71" s="173"/>
      <c r="K71" s="34"/>
      <c r="L71" s="34"/>
      <c r="M71" s="34"/>
    </row>
    <row r="72" spans="1:15" ht="14.25">
      <c r="A72" s="34"/>
      <c r="B72" s="850" t="s">
        <v>189</v>
      </c>
      <c r="C72" s="851">
        <v>34</v>
      </c>
      <c r="D72" s="852" t="s">
        <v>21</v>
      </c>
      <c r="E72" s="34"/>
      <c r="F72" s="853" t="s">
        <v>389</v>
      </c>
      <c r="G72" s="854">
        <v>0</v>
      </c>
      <c r="H72" s="880" t="s">
        <v>115</v>
      </c>
      <c r="I72" s="34"/>
      <c r="J72" s="173"/>
      <c r="K72" s="34"/>
      <c r="L72" s="34"/>
      <c r="M72" s="34"/>
      <c r="N72" s="881" t="s">
        <v>2052</v>
      </c>
      <c r="O72" s="882"/>
    </row>
    <row r="73" spans="1:15" ht="14.25">
      <c r="A73" s="34"/>
      <c r="B73" s="850" t="s">
        <v>341</v>
      </c>
      <c r="C73" s="851">
        <v>34</v>
      </c>
      <c r="D73" s="852" t="s">
        <v>16</v>
      </c>
      <c r="E73" s="34"/>
      <c r="F73" s="853" t="s">
        <v>389</v>
      </c>
      <c r="G73" s="854">
        <v>0</v>
      </c>
      <c r="H73" s="880" t="s">
        <v>115</v>
      </c>
      <c r="I73" s="34"/>
      <c r="K73" s="34"/>
      <c r="L73" s="34"/>
      <c r="M73" s="34"/>
      <c r="N73" s="883" t="s">
        <v>1232</v>
      </c>
      <c r="O73" s="884">
        <v>1</v>
      </c>
    </row>
    <row r="74" spans="1:15" ht="14.25">
      <c r="A74" s="34"/>
      <c r="B74" s="850" t="s">
        <v>208</v>
      </c>
      <c r="C74" s="851">
        <v>34</v>
      </c>
      <c r="D74" s="852" t="s">
        <v>18</v>
      </c>
      <c r="E74" s="34"/>
      <c r="F74" s="853" t="s">
        <v>333</v>
      </c>
      <c r="G74" s="854">
        <v>0</v>
      </c>
      <c r="H74" s="880" t="s">
        <v>115</v>
      </c>
      <c r="I74" s="34"/>
      <c r="K74" s="34"/>
      <c r="L74" s="34"/>
      <c r="M74" s="34"/>
      <c r="N74" s="885" t="s">
        <v>1264</v>
      </c>
      <c r="O74" s="886">
        <v>1</v>
      </c>
    </row>
    <row r="75" spans="1:15" ht="14.25">
      <c r="A75" s="34"/>
      <c r="B75" s="850" t="s">
        <v>243</v>
      </c>
      <c r="C75" s="851">
        <v>34</v>
      </c>
      <c r="D75" s="852" t="s">
        <v>26</v>
      </c>
      <c r="E75" s="34"/>
      <c r="F75" s="853" t="s">
        <v>333</v>
      </c>
      <c r="G75" s="854">
        <v>0</v>
      </c>
      <c r="H75" s="880" t="s">
        <v>115</v>
      </c>
      <c r="I75" s="34"/>
      <c r="K75" s="34"/>
      <c r="L75" s="34"/>
      <c r="M75" s="34"/>
      <c r="N75" s="885" t="s">
        <v>1260</v>
      </c>
      <c r="O75" s="886">
        <v>1</v>
      </c>
    </row>
    <row r="76" spans="1:15" ht="14.25">
      <c r="A76" s="34"/>
      <c r="B76" s="850" t="s">
        <v>149</v>
      </c>
      <c r="C76" s="851">
        <v>36</v>
      </c>
      <c r="D76" s="852" t="s">
        <v>20</v>
      </c>
      <c r="E76" s="34"/>
      <c r="F76" s="853" t="s">
        <v>401</v>
      </c>
      <c r="G76" s="854">
        <v>0</v>
      </c>
      <c r="H76" s="880" t="s">
        <v>115</v>
      </c>
      <c r="I76" s="34"/>
      <c r="K76" s="34"/>
      <c r="L76" s="34"/>
      <c r="M76" s="34"/>
      <c r="N76" s="885" t="s">
        <v>1254</v>
      </c>
      <c r="O76" s="886">
        <v>1</v>
      </c>
    </row>
    <row r="77" spans="1:15" ht="14.25">
      <c r="A77" s="34"/>
      <c r="B77" s="850" t="s">
        <v>152</v>
      </c>
      <c r="C77" s="851">
        <v>36</v>
      </c>
      <c r="D77" s="852" t="s">
        <v>8</v>
      </c>
      <c r="E77" s="34"/>
      <c r="F77" s="853" t="s">
        <v>401</v>
      </c>
      <c r="G77" s="854">
        <v>0</v>
      </c>
      <c r="H77" s="880" t="s">
        <v>115</v>
      </c>
      <c r="I77" s="34"/>
      <c r="K77" s="34"/>
      <c r="L77" s="34"/>
      <c r="M77" s="34"/>
      <c r="N77" s="885" t="s">
        <v>1226</v>
      </c>
      <c r="O77" s="886">
        <v>1</v>
      </c>
    </row>
    <row r="78" spans="1:15" ht="14.25">
      <c r="A78" s="34"/>
      <c r="B78" s="850" t="s">
        <v>206</v>
      </c>
      <c r="C78" s="851">
        <v>36</v>
      </c>
      <c r="D78" s="852" t="s">
        <v>16</v>
      </c>
      <c r="E78" s="34"/>
      <c r="F78" s="853" t="s">
        <v>297</v>
      </c>
      <c r="G78" s="854">
        <v>0</v>
      </c>
      <c r="H78" s="880" t="s">
        <v>115</v>
      </c>
      <c r="I78" s="34"/>
      <c r="K78" s="34"/>
      <c r="L78" s="34"/>
      <c r="M78" s="34"/>
      <c r="N78" s="885" t="s">
        <v>1296</v>
      </c>
      <c r="O78" s="886">
        <v>1</v>
      </c>
    </row>
    <row r="79" spans="1:15" ht="14.25">
      <c r="A79" s="34"/>
      <c r="B79" s="850" t="s">
        <v>210</v>
      </c>
      <c r="C79" s="851">
        <v>36</v>
      </c>
      <c r="D79" s="852" t="s">
        <v>13</v>
      </c>
      <c r="E79" s="34"/>
      <c r="F79" s="853" t="s">
        <v>297</v>
      </c>
      <c r="G79" s="854">
        <v>0</v>
      </c>
      <c r="H79" s="880" t="s">
        <v>115</v>
      </c>
      <c r="I79" s="34"/>
      <c r="K79" s="34"/>
      <c r="L79" s="34"/>
      <c r="M79" s="34"/>
      <c r="N79" s="885" t="s">
        <v>1248</v>
      </c>
      <c r="O79" s="886">
        <v>1</v>
      </c>
    </row>
    <row r="80" spans="1:15" ht="14.25">
      <c r="A80" s="34"/>
      <c r="B80" s="850" t="s">
        <v>348</v>
      </c>
      <c r="C80" s="851">
        <v>36</v>
      </c>
      <c r="D80" s="852" t="s">
        <v>11</v>
      </c>
      <c r="E80" s="34"/>
      <c r="F80" s="853" t="s">
        <v>371</v>
      </c>
      <c r="G80" s="854">
        <v>0</v>
      </c>
      <c r="H80" s="880" t="s">
        <v>115</v>
      </c>
      <c r="I80" s="34"/>
      <c r="K80" s="34"/>
      <c r="L80" s="34"/>
      <c r="M80" s="34"/>
      <c r="N80" s="885" t="s">
        <v>1220</v>
      </c>
      <c r="O80" s="886">
        <v>1</v>
      </c>
    </row>
    <row r="81" spans="1:15" ht="14.25">
      <c r="A81" s="34"/>
      <c r="B81" s="850" t="s">
        <v>222</v>
      </c>
      <c r="C81" s="851">
        <v>36</v>
      </c>
      <c r="D81" s="852" t="s">
        <v>21</v>
      </c>
      <c r="E81" s="34"/>
      <c r="F81" s="853" t="s">
        <v>371</v>
      </c>
      <c r="G81" s="854">
        <v>0</v>
      </c>
      <c r="H81" s="880" t="s">
        <v>115</v>
      </c>
      <c r="I81" s="34"/>
      <c r="K81" s="34"/>
      <c r="L81" s="34"/>
      <c r="M81" s="34"/>
      <c r="N81" s="885" t="s">
        <v>1286</v>
      </c>
      <c r="O81" s="886">
        <v>1</v>
      </c>
    </row>
    <row r="82" spans="1:15" ht="14.25">
      <c r="A82" s="34"/>
      <c r="B82" s="850" t="s">
        <v>281</v>
      </c>
      <c r="C82" s="851">
        <v>36</v>
      </c>
      <c r="D82" s="852" t="s">
        <v>18</v>
      </c>
      <c r="E82" s="34"/>
      <c r="F82" s="853" t="s">
        <v>336</v>
      </c>
      <c r="G82" s="854">
        <v>0</v>
      </c>
      <c r="H82" s="880" t="s">
        <v>115</v>
      </c>
      <c r="I82" s="34"/>
      <c r="K82" s="34"/>
      <c r="L82" s="34"/>
      <c r="M82" s="34"/>
      <c r="N82" s="885" t="s">
        <v>1274</v>
      </c>
      <c r="O82" s="886">
        <v>1</v>
      </c>
    </row>
    <row r="83" spans="1:15" ht="14.25">
      <c r="A83" s="34"/>
      <c r="B83" s="850" t="s">
        <v>238</v>
      </c>
      <c r="C83" s="851">
        <v>36</v>
      </c>
      <c r="D83" s="852" t="s">
        <v>25</v>
      </c>
      <c r="E83" s="34"/>
      <c r="F83" s="853" t="s">
        <v>336</v>
      </c>
      <c r="G83" s="854">
        <v>0</v>
      </c>
      <c r="H83" s="880" t="s">
        <v>115</v>
      </c>
      <c r="I83" s="34"/>
      <c r="K83" s="34"/>
      <c r="L83" s="34"/>
      <c r="M83" s="34"/>
      <c r="N83" s="885" t="s">
        <v>1242</v>
      </c>
      <c r="O83" s="886">
        <v>2</v>
      </c>
    </row>
    <row r="84" spans="1:15" ht="14.25">
      <c r="A84" s="34"/>
      <c r="B84" s="850" t="s">
        <v>328</v>
      </c>
      <c r="C84" s="851">
        <v>36</v>
      </c>
      <c r="D84" s="852" t="s">
        <v>26</v>
      </c>
      <c r="E84" s="34"/>
      <c r="F84" s="853" t="s">
        <v>181</v>
      </c>
      <c r="G84" s="854">
        <v>0</v>
      </c>
      <c r="H84" s="880" t="s">
        <v>115</v>
      </c>
      <c r="I84" s="34"/>
      <c r="K84" s="34"/>
      <c r="L84" s="34"/>
      <c r="M84" s="34"/>
      <c r="N84" s="885" t="s">
        <v>1256</v>
      </c>
      <c r="O84" s="886">
        <v>2</v>
      </c>
    </row>
    <row r="85" spans="1:15" ht="14.25">
      <c r="A85" s="34"/>
      <c r="B85" s="850" t="s">
        <v>149</v>
      </c>
      <c r="C85" s="851">
        <v>38</v>
      </c>
      <c r="D85" s="852" t="s">
        <v>20</v>
      </c>
      <c r="E85" s="34"/>
      <c r="F85" s="853" t="s">
        <v>181</v>
      </c>
      <c r="G85" s="854">
        <v>0</v>
      </c>
      <c r="H85" s="880" t="s">
        <v>115</v>
      </c>
      <c r="I85" s="34"/>
      <c r="K85" s="34"/>
      <c r="L85" s="34"/>
      <c r="M85" s="34"/>
      <c r="N85" s="885" t="s">
        <v>1222</v>
      </c>
      <c r="O85" s="886">
        <v>2</v>
      </c>
    </row>
    <row r="86" spans="1:15" ht="14.25">
      <c r="A86" s="34"/>
      <c r="B86" s="850" t="s">
        <v>152</v>
      </c>
      <c r="C86" s="851">
        <v>38</v>
      </c>
      <c r="D86" s="852" t="s">
        <v>8</v>
      </c>
      <c r="E86" s="34"/>
      <c r="F86" s="853" t="s">
        <v>261</v>
      </c>
      <c r="G86" s="854">
        <v>0</v>
      </c>
      <c r="H86" s="880" t="s">
        <v>115</v>
      </c>
      <c r="I86" s="34"/>
      <c r="K86" s="34"/>
      <c r="L86" s="34"/>
      <c r="M86" s="34"/>
      <c r="N86" s="885" t="s">
        <v>1270</v>
      </c>
      <c r="O86" s="886">
        <v>2</v>
      </c>
    </row>
    <row r="87" spans="1:15" ht="14.25">
      <c r="A87" s="34"/>
      <c r="B87" s="850" t="s">
        <v>206</v>
      </c>
      <c r="C87" s="851">
        <v>38</v>
      </c>
      <c r="D87" s="852" t="s">
        <v>16</v>
      </c>
      <c r="E87" s="34"/>
      <c r="F87" s="853" t="s">
        <v>261</v>
      </c>
      <c r="G87" s="854">
        <v>0</v>
      </c>
      <c r="H87" s="880" t="s">
        <v>115</v>
      </c>
      <c r="I87" s="34"/>
      <c r="K87" s="34"/>
      <c r="L87" s="34"/>
      <c r="M87" s="34"/>
      <c r="N87" s="885" t="s">
        <v>1294</v>
      </c>
      <c r="O87" s="886">
        <v>2</v>
      </c>
    </row>
    <row r="88" spans="1:15" ht="14.25">
      <c r="A88" s="34"/>
      <c r="B88" s="850" t="s">
        <v>210</v>
      </c>
      <c r="C88" s="851">
        <v>38</v>
      </c>
      <c r="D88" s="852" t="s">
        <v>13</v>
      </c>
      <c r="E88" s="34"/>
      <c r="F88" s="853" t="s">
        <v>373</v>
      </c>
      <c r="G88" s="854">
        <v>0</v>
      </c>
      <c r="H88" s="880" t="s">
        <v>115</v>
      </c>
      <c r="I88" s="34"/>
      <c r="K88" s="34"/>
      <c r="L88" s="34"/>
      <c r="M88" s="34"/>
      <c r="N88" s="885" t="s">
        <v>1252</v>
      </c>
      <c r="O88" s="886">
        <v>2</v>
      </c>
    </row>
    <row r="89" spans="1:15" ht="14.25">
      <c r="A89" s="34"/>
      <c r="B89" s="850" t="s">
        <v>348</v>
      </c>
      <c r="C89" s="851">
        <v>38</v>
      </c>
      <c r="D89" s="852" t="s">
        <v>11</v>
      </c>
      <c r="E89" s="34"/>
      <c r="F89" s="853" t="s">
        <v>373</v>
      </c>
      <c r="G89" s="854">
        <v>0</v>
      </c>
      <c r="H89" s="880" t="s">
        <v>115</v>
      </c>
      <c r="I89" s="34"/>
      <c r="K89" s="34"/>
      <c r="L89" s="34"/>
      <c r="M89" s="34"/>
      <c r="N89" s="885" t="s">
        <v>1284</v>
      </c>
      <c r="O89" s="886">
        <v>2</v>
      </c>
    </row>
    <row r="90" spans="1:15" ht="14.25">
      <c r="A90" s="34"/>
      <c r="B90" s="850" t="s">
        <v>222</v>
      </c>
      <c r="C90" s="851">
        <v>38</v>
      </c>
      <c r="D90" s="852" t="s">
        <v>21</v>
      </c>
      <c r="E90" s="34"/>
      <c r="F90" s="853" t="s">
        <v>340</v>
      </c>
      <c r="G90" s="854">
        <v>0</v>
      </c>
      <c r="H90" s="880" t="s">
        <v>115</v>
      </c>
      <c r="I90" s="34"/>
      <c r="K90" s="34"/>
      <c r="L90" s="34"/>
      <c r="M90" s="34"/>
      <c r="N90" s="885" t="s">
        <v>1280</v>
      </c>
      <c r="O90" s="886">
        <v>2</v>
      </c>
    </row>
    <row r="91" spans="1:15" ht="14.25">
      <c r="A91" s="34"/>
      <c r="B91" s="850" t="s">
        <v>281</v>
      </c>
      <c r="C91" s="851">
        <v>38</v>
      </c>
      <c r="D91" s="852" t="s">
        <v>18</v>
      </c>
      <c r="E91" s="34"/>
      <c r="F91" s="853" t="s">
        <v>340</v>
      </c>
      <c r="G91" s="854">
        <v>0</v>
      </c>
      <c r="H91" s="880" t="s">
        <v>115</v>
      </c>
      <c r="I91" s="34"/>
      <c r="K91" s="34"/>
      <c r="L91" s="34"/>
      <c r="M91" s="34"/>
      <c r="N91" s="885" t="s">
        <v>1238</v>
      </c>
      <c r="O91" s="886">
        <v>2</v>
      </c>
    </row>
    <row r="92" spans="1:15" ht="14.25">
      <c r="A92" s="34"/>
      <c r="B92" s="850" t="s">
        <v>238</v>
      </c>
      <c r="C92" s="851">
        <v>38</v>
      </c>
      <c r="D92" s="852" t="s">
        <v>25</v>
      </c>
      <c r="E92" s="34"/>
      <c r="F92" s="853" t="s">
        <v>194</v>
      </c>
      <c r="G92" s="854">
        <v>0</v>
      </c>
      <c r="H92" s="880" t="s">
        <v>115</v>
      </c>
      <c r="I92" s="34"/>
      <c r="K92" s="34"/>
      <c r="L92" s="34"/>
      <c r="M92" s="34"/>
      <c r="N92" s="885" t="s">
        <v>1246</v>
      </c>
      <c r="O92" s="886">
        <v>2</v>
      </c>
    </row>
    <row r="93" spans="1:15" ht="14.25">
      <c r="A93" s="34"/>
      <c r="B93" s="850" t="s">
        <v>328</v>
      </c>
      <c r="C93" s="851">
        <v>38</v>
      </c>
      <c r="D93" s="852" t="s">
        <v>26</v>
      </c>
      <c r="E93" s="34"/>
      <c r="F93" s="853" t="s">
        <v>194</v>
      </c>
      <c r="G93" s="854">
        <v>0</v>
      </c>
      <c r="H93" s="880" t="s">
        <v>115</v>
      </c>
      <c r="I93" s="34"/>
      <c r="K93" s="34"/>
      <c r="L93" s="34"/>
      <c r="M93" s="34"/>
      <c r="N93" s="885" t="s">
        <v>1244</v>
      </c>
      <c r="O93" s="886">
        <v>3</v>
      </c>
    </row>
    <row r="94" spans="1:15" ht="14.25">
      <c r="A94" s="34"/>
      <c r="B94" s="850" t="s">
        <v>368</v>
      </c>
      <c r="C94" s="851">
        <v>40</v>
      </c>
      <c r="D94" s="852" t="s">
        <v>21</v>
      </c>
      <c r="E94" s="34"/>
      <c r="F94" s="853" t="s">
        <v>375</v>
      </c>
      <c r="G94" s="854">
        <v>0</v>
      </c>
      <c r="H94" s="880" t="s">
        <v>115</v>
      </c>
      <c r="I94" s="34"/>
      <c r="K94" s="34"/>
      <c r="L94" s="34"/>
      <c r="M94" s="34"/>
      <c r="N94" s="885" t="s">
        <v>1230</v>
      </c>
      <c r="O94" s="886">
        <v>3</v>
      </c>
    </row>
    <row r="95" spans="1:15" ht="14.25">
      <c r="A95" s="34"/>
      <c r="B95" s="850" t="s">
        <v>251</v>
      </c>
      <c r="C95" s="851">
        <v>40</v>
      </c>
      <c r="D95" s="852" t="s">
        <v>26</v>
      </c>
      <c r="E95" s="34"/>
      <c r="F95" s="853" t="s">
        <v>375</v>
      </c>
      <c r="G95" s="854">
        <v>0</v>
      </c>
      <c r="H95" s="880" t="s">
        <v>115</v>
      </c>
      <c r="I95" s="34"/>
      <c r="K95" s="34"/>
      <c r="L95" s="34"/>
      <c r="M95" s="34"/>
      <c r="N95" s="887" t="s">
        <v>1228</v>
      </c>
      <c r="O95" s="886">
        <v>3</v>
      </c>
    </row>
    <row r="96" spans="1:15" ht="14.25">
      <c r="A96" s="34"/>
      <c r="B96" s="850" t="s">
        <v>259</v>
      </c>
      <c r="C96" s="851">
        <v>40</v>
      </c>
      <c r="D96" s="852" t="s">
        <v>13</v>
      </c>
      <c r="E96" s="34"/>
      <c r="F96" s="853" t="s">
        <v>262</v>
      </c>
      <c r="G96" s="854">
        <v>0</v>
      </c>
      <c r="H96" s="880" t="s">
        <v>115</v>
      </c>
      <c r="I96" s="34"/>
      <c r="K96" s="34"/>
      <c r="L96" s="34"/>
      <c r="M96" s="34"/>
      <c r="N96" s="885" t="s">
        <v>1216</v>
      </c>
      <c r="O96" s="886">
        <v>3</v>
      </c>
    </row>
    <row r="97" spans="1:15" ht="14.25">
      <c r="A97" s="34"/>
      <c r="B97" s="850" t="s">
        <v>204</v>
      </c>
      <c r="C97" s="851">
        <v>40</v>
      </c>
      <c r="D97" s="852" t="s">
        <v>11</v>
      </c>
      <c r="E97" s="34"/>
      <c r="F97" s="853" t="s">
        <v>262</v>
      </c>
      <c r="G97" s="854">
        <v>0</v>
      </c>
      <c r="H97" s="880" t="s">
        <v>115</v>
      </c>
      <c r="I97" s="34"/>
      <c r="K97" s="34"/>
      <c r="L97" s="34"/>
      <c r="M97" s="34"/>
      <c r="N97" s="885" t="s">
        <v>1302</v>
      </c>
      <c r="O97" s="886">
        <v>3</v>
      </c>
    </row>
    <row r="98" spans="1:15" ht="14.25">
      <c r="A98" s="34"/>
      <c r="B98" s="850" t="s">
        <v>155</v>
      </c>
      <c r="C98" s="851">
        <v>40</v>
      </c>
      <c r="D98" s="852" t="s">
        <v>8</v>
      </c>
      <c r="E98" s="34"/>
      <c r="F98" s="853" t="s">
        <v>308</v>
      </c>
      <c r="G98" s="854">
        <v>0</v>
      </c>
      <c r="H98" s="880" t="s">
        <v>115</v>
      </c>
      <c r="I98" s="34"/>
      <c r="K98" s="34"/>
      <c r="L98" s="34"/>
      <c r="M98" s="34"/>
      <c r="N98" s="885" t="s">
        <v>1300</v>
      </c>
      <c r="O98" s="886">
        <v>3</v>
      </c>
    </row>
    <row r="99" spans="1:15" ht="14.25">
      <c r="A99" s="34"/>
      <c r="B99" s="850" t="s">
        <v>215</v>
      </c>
      <c r="C99" s="851">
        <v>40</v>
      </c>
      <c r="D99" s="852" t="s">
        <v>18</v>
      </c>
      <c r="E99" s="34"/>
      <c r="F99" s="853" t="s">
        <v>308</v>
      </c>
      <c r="G99" s="854">
        <v>0</v>
      </c>
      <c r="H99" s="880" t="s">
        <v>115</v>
      </c>
      <c r="I99" s="34"/>
      <c r="K99" s="34"/>
      <c r="L99" s="34"/>
      <c r="M99" s="34"/>
      <c r="N99" s="885" t="s">
        <v>1217</v>
      </c>
      <c r="O99" s="886">
        <v>3</v>
      </c>
    </row>
    <row r="100" spans="1:15" ht="14.25">
      <c r="A100" s="34"/>
      <c r="B100" s="850" t="s">
        <v>279</v>
      </c>
      <c r="C100" s="851">
        <v>40</v>
      </c>
      <c r="D100" s="852" t="s">
        <v>20</v>
      </c>
      <c r="E100" s="34"/>
      <c r="F100" s="853" t="s">
        <v>309</v>
      </c>
      <c r="G100" s="854">
        <v>0</v>
      </c>
      <c r="H100" s="880" t="s">
        <v>115</v>
      </c>
      <c r="I100" s="34"/>
      <c r="K100" s="34"/>
      <c r="L100" s="34"/>
      <c r="M100" s="34"/>
      <c r="N100" s="885" t="s">
        <v>1266</v>
      </c>
      <c r="O100" s="886">
        <v>3</v>
      </c>
    </row>
    <row r="101" spans="1:15" ht="14.25">
      <c r="A101" s="34"/>
      <c r="B101" s="850" t="s">
        <v>285</v>
      </c>
      <c r="C101" s="851">
        <v>40</v>
      </c>
      <c r="D101" s="852" t="s">
        <v>25</v>
      </c>
      <c r="E101" s="34"/>
      <c r="F101" s="853" t="s">
        <v>309</v>
      </c>
      <c r="G101" s="854">
        <v>0</v>
      </c>
      <c r="H101" s="880" t="s">
        <v>115</v>
      </c>
      <c r="I101" s="34"/>
      <c r="K101" s="34"/>
      <c r="L101" s="34"/>
      <c r="M101" s="34"/>
      <c r="N101" s="885" t="s">
        <v>1258</v>
      </c>
      <c r="O101" s="886">
        <v>3</v>
      </c>
    </row>
    <row r="102" spans="1:15" ht="14.25">
      <c r="A102" s="34"/>
      <c r="B102" s="850" t="s">
        <v>358</v>
      </c>
      <c r="C102" s="851">
        <v>40</v>
      </c>
      <c r="D102" s="852" t="s">
        <v>16</v>
      </c>
      <c r="E102" s="34"/>
      <c r="F102" s="853" t="s">
        <v>266</v>
      </c>
      <c r="G102" s="854">
        <v>0</v>
      </c>
      <c r="H102" s="880" t="s">
        <v>115</v>
      </c>
      <c r="I102" s="34"/>
      <c r="K102" s="34"/>
      <c r="L102" s="34"/>
      <c r="M102" s="34"/>
      <c r="N102" s="885" t="s">
        <v>1292</v>
      </c>
      <c r="O102" s="886">
        <v>3</v>
      </c>
    </row>
    <row r="103" spans="1:15" ht="14.25">
      <c r="A103" s="34"/>
      <c r="B103" s="850" t="s">
        <v>368</v>
      </c>
      <c r="C103" s="851">
        <v>42</v>
      </c>
      <c r="D103" s="852" t="s">
        <v>21</v>
      </c>
      <c r="E103" s="34"/>
      <c r="F103" s="853" t="s">
        <v>266</v>
      </c>
      <c r="G103" s="854">
        <v>0</v>
      </c>
      <c r="H103" s="880" t="s">
        <v>115</v>
      </c>
      <c r="I103" s="34"/>
      <c r="K103" s="34"/>
      <c r="L103" s="34"/>
      <c r="M103" s="34"/>
      <c r="N103" s="885" t="s">
        <v>1268</v>
      </c>
      <c r="O103" s="886">
        <v>3</v>
      </c>
    </row>
    <row r="104" spans="1:15" ht="14.25">
      <c r="A104" s="34"/>
      <c r="B104" s="850" t="s">
        <v>251</v>
      </c>
      <c r="C104" s="851">
        <v>42</v>
      </c>
      <c r="D104" s="852" t="s">
        <v>26</v>
      </c>
      <c r="E104" s="34"/>
      <c r="F104" s="853" t="s">
        <v>394</v>
      </c>
      <c r="G104" s="854">
        <v>0</v>
      </c>
      <c r="H104" s="880" t="s">
        <v>115</v>
      </c>
      <c r="I104" s="34"/>
      <c r="K104" s="34"/>
      <c r="L104" s="34"/>
      <c r="M104" s="34"/>
      <c r="N104" s="885" t="s">
        <v>1236</v>
      </c>
      <c r="O104" s="886">
        <v>4</v>
      </c>
    </row>
    <row r="105" spans="1:15" ht="14.25">
      <c r="A105" s="34"/>
      <c r="B105" s="850" t="s">
        <v>259</v>
      </c>
      <c r="C105" s="851">
        <v>42</v>
      </c>
      <c r="D105" s="852" t="s">
        <v>13</v>
      </c>
      <c r="E105" s="34"/>
      <c r="F105" s="853" t="s">
        <v>394</v>
      </c>
      <c r="G105" s="854">
        <v>0</v>
      </c>
      <c r="H105" s="880" t="s">
        <v>115</v>
      </c>
      <c r="I105" s="34"/>
      <c r="K105" s="34"/>
      <c r="L105" s="34"/>
      <c r="M105" s="34"/>
      <c r="N105" s="885" t="s">
        <v>1282</v>
      </c>
      <c r="O105" s="886">
        <v>1</v>
      </c>
    </row>
    <row r="106" spans="1:15" ht="14.25">
      <c r="A106" s="34"/>
      <c r="B106" s="850" t="s">
        <v>204</v>
      </c>
      <c r="C106" s="851">
        <v>42</v>
      </c>
      <c r="D106" s="852" t="s">
        <v>11</v>
      </c>
      <c r="E106" s="34"/>
      <c r="F106" s="853" t="s">
        <v>312</v>
      </c>
      <c r="G106" s="854">
        <v>0</v>
      </c>
      <c r="H106" s="880" t="s">
        <v>115</v>
      </c>
      <c r="I106" s="34"/>
      <c r="K106" s="34"/>
      <c r="L106" s="34"/>
      <c r="M106" s="34"/>
      <c r="N106" s="885" t="s">
        <v>1288</v>
      </c>
      <c r="O106" s="886">
        <v>4</v>
      </c>
    </row>
    <row r="107" spans="1:15" ht="14.25">
      <c r="A107" s="34"/>
      <c r="B107" s="850" t="s">
        <v>155</v>
      </c>
      <c r="C107" s="851">
        <v>42</v>
      </c>
      <c r="D107" s="852" t="s">
        <v>8</v>
      </c>
      <c r="E107" s="34"/>
      <c r="F107" s="853" t="s">
        <v>312</v>
      </c>
      <c r="G107" s="854">
        <v>0</v>
      </c>
      <c r="H107" s="880" t="s">
        <v>115</v>
      </c>
      <c r="I107" s="34"/>
      <c r="K107" s="34"/>
      <c r="L107" s="34"/>
      <c r="M107" s="34"/>
      <c r="N107" s="885" t="s">
        <v>1240</v>
      </c>
      <c r="O107" s="886">
        <v>1</v>
      </c>
    </row>
    <row r="108" spans="1:15" ht="14.25">
      <c r="A108" s="34"/>
      <c r="B108" s="850" t="s">
        <v>215</v>
      </c>
      <c r="C108" s="851">
        <v>42</v>
      </c>
      <c r="D108" s="852" t="s">
        <v>18</v>
      </c>
      <c r="E108" s="34"/>
      <c r="F108" s="853" t="s">
        <v>214</v>
      </c>
      <c r="G108" s="854">
        <v>0</v>
      </c>
      <c r="H108" s="880" t="s">
        <v>115</v>
      </c>
      <c r="I108" s="34"/>
      <c r="K108" s="34"/>
      <c r="L108" s="34"/>
      <c r="M108" s="34"/>
      <c r="N108" s="885" t="s">
        <v>1276</v>
      </c>
      <c r="O108" s="886">
        <v>4</v>
      </c>
    </row>
    <row r="109" spans="1:15" ht="14.25">
      <c r="A109" s="34"/>
      <c r="B109" s="850" t="s">
        <v>279</v>
      </c>
      <c r="C109" s="851">
        <v>42</v>
      </c>
      <c r="D109" s="852" t="s">
        <v>20</v>
      </c>
      <c r="E109" s="34"/>
      <c r="F109" s="853" t="s">
        <v>214</v>
      </c>
      <c r="G109" s="854">
        <v>0</v>
      </c>
      <c r="H109" s="880" t="s">
        <v>115</v>
      </c>
      <c r="I109" s="34"/>
      <c r="K109" s="34"/>
      <c r="L109" s="34"/>
      <c r="M109" s="34"/>
      <c r="N109" s="885" t="s">
        <v>1272</v>
      </c>
      <c r="O109" s="886">
        <v>4</v>
      </c>
    </row>
    <row r="110" spans="1:15" ht="14.25">
      <c r="A110" s="34"/>
      <c r="B110" s="850" t="s">
        <v>285</v>
      </c>
      <c r="C110" s="851">
        <v>42</v>
      </c>
      <c r="D110" s="852" t="s">
        <v>25</v>
      </c>
      <c r="E110" s="34"/>
      <c r="F110" s="853" t="s">
        <v>273</v>
      </c>
      <c r="G110" s="854">
        <v>0</v>
      </c>
      <c r="H110" s="880" t="s">
        <v>115</v>
      </c>
      <c r="I110" s="34"/>
      <c r="K110" s="34"/>
      <c r="L110" s="34"/>
      <c r="M110" s="34"/>
      <c r="N110" s="885" t="s">
        <v>1290</v>
      </c>
      <c r="O110" s="886">
        <v>4</v>
      </c>
    </row>
    <row r="111" spans="1:15" ht="14.25">
      <c r="A111" s="34"/>
      <c r="B111" s="850" t="s">
        <v>358</v>
      </c>
      <c r="C111" s="851">
        <v>42</v>
      </c>
      <c r="D111" s="852" t="s">
        <v>16</v>
      </c>
      <c r="E111" s="34"/>
      <c r="F111" s="853" t="s">
        <v>273</v>
      </c>
      <c r="G111" s="854">
        <v>0</v>
      </c>
      <c r="H111" s="880" t="s">
        <v>115</v>
      </c>
      <c r="I111" s="34"/>
      <c r="K111" s="34"/>
      <c r="L111" s="34"/>
      <c r="M111" s="34"/>
      <c r="N111" s="885" t="s">
        <v>1262</v>
      </c>
      <c r="O111" s="886">
        <v>4</v>
      </c>
    </row>
    <row r="112" spans="1:15" ht="14.25">
      <c r="A112" s="34"/>
      <c r="B112" s="850" t="s">
        <v>334</v>
      </c>
      <c r="C112" s="851">
        <v>43</v>
      </c>
      <c r="D112" s="852" t="s">
        <v>16</v>
      </c>
      <c r="E112" s="34"/>
      <c r="F112" s="853" t="s">
        <v>380</v>
      </c>
      <c r="G112" s="854">
        <v>0</v>
      </c>
      <c r="H112" s="880" t="s">
        <v>115</v>
      </c>
      <c r="I112" s="34"/>
      <c r="K112" s="34"/>
      <c r="L112" s="34"/>
      <c r="M112" s="34"/>
      <c r="N112" s="885" t="s">
        <v>1218</v>
      </c>
      <c r="O112" s="886">
        <v>4</v>
      </c>
    </row>
    <row r="113" spans="1:15" ht="14.25">
      <c r="A113" s="34"/>
      <c r="B113" s="850" t="s">
        <v>178</v>
      </c>
      <c r="C113" s="851">
        <v>43</v>
      </c>
      <c r="D113" s="852" t="s">
        <v>20</v>
      </c>
      <c r="E113" s="34"/>
      <c r="F113" s="853" t="s">
        <v>380</v>
      </c>
      <c r="G113" s="854">
        <v>0</v>
      </c>
      <c r="H113" s="880" t="s">
        <v>115</v>
      </c>
      <c r="I113" s="34"/>
      <c r="K113" s="34"/>
      <c r="L113" s="34"/>
      <c r="M113" s="34"/>
      <c r="N113" s="885" t="s">
        <v>1298</v>
      </c>
      <c r="O113" s="886">
        <v>4</v>
      </c>
    </row>
    <row r="114" spans="1:15" ht="14.25">
      <c r="A114" s="34"/>
      <c r="B114" s="850" t="s">
        <v>256</v>
      </c>
      <c r="C114" s="851">
        <v>43</v>
      </c>
      <c r="D114" s="852" t="s">
        <v>21</v>
      </c>
      <c r="E114" s="34"/>
      <c r="F114" s="853" t="s">
        <v>276</v>
      </c>
      <c r="G114" s="854">
        <v>0</v>
      </c>
      <c r="H114" s="880" t="s">
        <v>115</v>
      </c>
      <c r="I114" s="34"/>
      <c r="K114" s="34"/>
      <c r="L114" s="34"/>
      <c r="M114" s="34"/>
      <c r="N114" s="885" t="s">
        <v>1234</v>
      </c>
      <c r="O114" s="886">
        <v>4</v>
      </c>
    </row>
    <row r="115" spans="1:15" ht="14.25">
      <c r="A115" s="34"/>
      <c r="B115" s="850" t="s">
        <v>212</v>
      </c>
      <c r="C115" s="851">
        <v>43</v>
      </c>
      <c r="D115" s="852" t="s">
        <v>25</v>
      </c>
      <c r="E115" s="34"/>
      <c r="F115" s="853" t="s">
        <v>276</v>
      </c>
      <c r="G115" s="854">
        <v>0</v>
      </c>
      <c r="H115" s="880" t="s">
        <v>115</v>
      </c>
      <c r="I115" s="34"/>
      <c r="K115" s="34"/>
      <c r="L115" s="34"/>
      <c r="M115" s="34"/>
      <c r="N115" s="885" t="s">
        <v>1250</v>
      </c>
      <c r="O115" s="886">
        <v>4</v>
      </c>
    </row>
    <row r="116" spans="1:15" ht="14.25">
      <c r="A116" s="34"/>
      <c r="B116" s="850" t="s">
        <v>317</v>
      </c>
      <c r="C116" s="851">
        <v>43</v>
      </c>
      <c r="D116" s="852" t="s">
        <v>8</v>
      </c>
      <c r="E116" s="34"/>
      <c r="F116" s="853" t="s">
        <v>350</v>
      </c>
      <c r="G116" s="854">
        <v>0</v>
      </c>
      <c r="H116" s="880" t="s">
        <v>115</v>
      </c>
      <c r="I116" s="34"/>
      <c r="K116" s="34"/>
      <c r="L116" s="34"/>
      <c r="M116" s="34"/>
      <c r="N116" s="885" t="s">
        <v>1224</v>
      </c>
      <c r="O116" s="886">
        <v>4</v>
      </c>
    </row>
    <row r="117" spans="1:15" ht="14.25">
      <c r="A117" s="34"/>
      <c r="B117" s="850" t="s">
        <v>321</v>
      </c>
      <c r="C117" s="851">
        <v>43</v>
      </c>
      <c r="D117" s="852" t="s">
        <v>18</v>
      </c>
      <c r="E117" s="34"/>
      <c r="F117" s="853" t="s">
        <v>350</v>
      </c>
      <c r="G117" s="854">
        <v>0</v>
      </c>
      <c r="H117" s="880" t="s">
        <v>115</v>
      </c>
      <c r="I117" s="34"/>
      <c r="K117" s="34"/>
      <c r="L117" s="34"/>
      <c r="M117" s="34"/>
      <c r="N117" s="888" t="s">
        <v>1278</v>
      </c>
      <c r="O117" s="889">
        <v>4</v>
      </c>
    </row>
    <row r="118" spans="1:15" ht="14.25">
      <c r="A118" s="34"/>
      <c r="B118" s="850" t="s">
        <v>386</v>
      </c>
      <c r="C118" s="851">
        <v>43</v>
      </c>
      <c r="D118" s="852" t="s">
        <v>11</v>
      </c>
      <c r="E118" s="34"/>
      <c r="F118" s="853" t="s">
        <v>351</v>
      </c>
      <c r="G118" s="854">
        <v>0</v>
      </c>
      <c r="H118" s="880" t="s">
        <v>115</v>
      </c>
      <c r="I118" s="34"/>
      <c r="J118" s="173"/>
      <c r="K118" s="34"/>
      <c r="L118" s="34"/>
      <c r="M118" s="34"/>
      <c r="N118" s="34"/>
      <c r="O118" s="173"/>
    </row>
    <row r="119" spans="1:15" ht="14.25">
      <c r="A119" s="34"/>
      <c r="B119" s="850" t="s">
        <v>334</v>
      </c>
      <c r="C119" s="851">
        <v>44</v>
      </c>
      <c r="D119" s="852" t="s">
        <v>16</v>
      </c>
      <c r="E119" s="34"/>
      <c r="F119" s="853" t="s">
        <v>351</v>
      </c>
      <c r="G119" s="854">
        <v>0</v>
      </c>
      <c r="H119" s="880" t="s">
        <v>115</v>
      </c>
      <c r="I119" s="34"/>
      <c r="J119" s="173"/>
      <c r="K119" s="34"/>
      <c r="L119" s="34"/>
      <c r="M119" s="34"/>
      <c r="N119" s="34"/>
      <c r="O119" s="173"/>
    </row>
    <row r="120" spans="1:15" ht="14.25">
      <c r="A120" s="34"/>
      <c r="B120" s="850" t="s">
        <v>178</v>
      </c>
      <c r="C120" s="851">
        <v>44</v>
      </c>
      <c r="D120" s="852" t="s">
        <v>20</v>
      </c>
      <c r="E120" s="34"/>
      <c r="F120" s="853" t="s">
        <v>313</v>
      </c>
      <c r="G120" s="854">
        <v>0</v>
      </c>
      <c r="H120" s="880" t="s">
        <v>115</v>
      </c>
      <c r="I120" s="34"/>
      <c r="J120" s="173"/>
      <c r="K120" s="34"/>
      <c r="L120" s="34"/>
      <c r="M120" s="34"/>
      <c r="N120" s="34"/>
      <c r="O120" s="173"/>
    </row>
    <row r="121" spans="1:15" ht="14.25">
      <c r="A121" s="34"/>
      <c r="B121" s="850" t="s">
        <v>338</v>
      </c>
      <c r="C121" s="851">
        <v>44</v>
      </c>
      <c r="D121" s="852" t="s">
        <v>13</v>
      </c>
      <c r="E121" s="34"/>
      <c r="F121" s="853" t="s">
        <v>313</v>
      </c>
      <c r="G121" s="854">
        <v>0</v>
      </c>
      <c r="H121" s="880" t="s">
        <v>115</v>
      </c>
      <c r="I121" s="34"/>
      <c r="J121" s="173"/>
      <c r="K121" s="34"/>
      <c r="L121" s="34"/>
      <c r="M121" s="34"/>
      <c r="N121" s="34"/>
      <c r="O121" s="173"/>
    </row>
    <row r="122" spans="1:15" ht="14.25">
      <c r="A122" s="34"/>
      <c r="B122" s="850" t="s">
        <v>256</v>
      </c>
      <c r="C122" s="851">
        <v>44</v>
      </c>
      <c r="D122" s="852" t="s">
        <v>21</v>
      </c>
      <c r="E122" s="34"/>
      <c r="F122" s="853" t="s">
        <v>315</v>
      </c>
      <c r="G122" s="854">
        <v>0</v>
      </c>
      <c r="H122" s="880" t="s">
        <v>115</v>
      </c>
      <c r="I122" s="34"/>
      <c r="J122" s="173"/>
      <c r="K122" s="34"/>
      <c r="L122" s="34"/>
      <c r="M122" s="34"/>
      <c r="N122" s="34"/>
      <c r="O122" s="173"/>
    </row>
    <row r="123" spans="1:15" ht="14.25">
      <c r="A123" s="34"/>
      <c r="B123" s="850" t="s">
        <v>347</v>
      </c>
      <c r="C123" s="851">
        <v>44</v>
      </c>
      <c r="D123" s="852" t="s">
        <v>26</v>
      </c>
      <c r="E123" s="34"/>
      <c r="F123" s="853" t="s">
        <v>315</v>
      </c>
      <c r="G123" s="854">
        <v>0</v>
      </c>
      <c r="H123" s="880" t="s">
        <v>115</v>
      </c>
      <c r="I123" s="34"/>
      <c r="J123" s="173"/>
      <c r="K123" s="34"/>
      <c r="L123" s="34"/>
      <c r="M123" s="34"/>
      <c r="N123" s="34"/>
      <c r="O123" s="173"/>
    </row>
    <row r="124" spans="1:15" ht="14.25">
      <c r="A124" s="34"/>
      <c r="B124" s="850" t="s">
        <v>212</v>
      </c>
      <c r="C124" s="851">
        <v>44</v>
      </c>
      <c r="D124" s="852" t="s">
        <v>25</v>
      </c>
      <c r="E124" s="34"/>
      <c r="F124" s="853" t="s">
        <v>395</v>
      </c>
      <c r="G124" s="854">
        <v>0</v>
      </c>
      <c r="H124" s="880" t="s">
        <v>115</v>
      </c>
      <c r="I124" s="34"/>
      <c r="J124" s="173"/>
      <c r="K124" s="34"/>
      <c r="L124" s="34"/>
      <c r="M124" s="34"/>
      <c r="N124" s="34"/>
      <c r="O124" s="173"/>
    </row>
    <row r="125" spans="1:15" ht="14.25">
      <c r="A125" s="34"/>
      <c r="B125" s="850" t="s">
        <v>317</v>
      </c>
      <c r="C125" s="851">
        <v>44</v>
      </c>
      <c r="D125" s="852" t="s">
        <v>8</v>
      </c>
      <c r="E125" s="34"/>
      <c r="F125" s="853" t="s">
        <v>395</v>
      </c>
      <c r="G125" s="854">
        <v>0</v>
      </c>
      <c r="H125" s="880" t="s">
        <v>115</v>
      </c>
      <c r="I125" s="34"/>
      <c r="J125" s="173"/>
      <c r="K125" s="34"/>
      <c r="L125" s="34"/>
      <c r="M125" s="34"/>
      <c r="N125" s="34"/>
      <c r="O125" s="173"/>
    </row>
    <row r="126" spans="1:15" ht="14.25">
      <c r="A126" s="34"/>
      <c r="B126" s="850" t="s">
        <v>321</v>
      </c>
      <c r="C126" s="851">
        <v>44</v>
      </c>
      <c r="D126" s="852" t="s">
        <v>18</v>
      </c>
      <c r="E126" s="34"/>
      <c r="F126" s="853" t="s">
        <v>278</v>
      </c>
      <c r="G126" s="854">
        <v>0</v>
      </c>
      <c r="H126" s="880" t="s">
        <v>115</v>
      </c>
      <c r="I126" s="34"/>
      <c r="J126" s="173"/>
      <c r="K126" s="34"/>
      <c r="L126" s="34"/>
      <c r="M126" s="34"/>
      <c r="N126" s="34"/>
      <c r="O126" s="173"/>
    </row>
    <row r="127" spans="1:15" ht="14.25">
      <c r="A127" s="34"/>
      <c r="B127" s="850" t="s">
        <v>386</v>
      </c>
      <c r="C127" s="851">
        <v>44</v>
      </c>
      <c r="D127" s="852" t="s">
        <v>11</v>
      </c>
      <c r="E127" s="34"/>
      <c r="F127" s="853" t="s">
        <v>278</v>
      </c>
      <c r="G127" s="854">
        <v>0</v>
      </c>
      <c r="H127" s="880" t="s">
        <v>115</v>
      </c>
      <c r="I127" s="34"/>
      <c r="J127" s="173"/>
      <c r="K127" s="34"/>
      <c r="L127" s="34"/>
      <c r="M127" s="34"/>
      <c r="N127" s="34"/>
      <c r="O127" s="173"/>
    </row>
    <row r="128" spans="1:15" ht="14.25">
      <c r="A128" s="34"/>
      <c r="B128" s="850" t="s">
        <v>291</v>
      </c>
      <c r="C128" s="851">
        <v>45</v>
      </c>
      <c r="D128" s="852" t="s">
        <v>11</v>
      </c>
      <c r="E128" s="34"/>
      <c r="F128" s="853" t="s">
        <v>354</v>
      </c>
      <c r="G128" s="854">
        <v>0</v>
      </c>
      <c r="H128" s="880" t="s">
        <v>115</v>
      </c>
      <c r="I128" s="34"/>
      <c r="J128" s="173"/>
      <c r="K128" s="34"/>
      <c r="L128" s="34"/>
      <c r="M128" s="34"/>
      <c r="N128" s="34"/>
      <c r="O128" s="173"/>
    </row>
    <row r="129" spans="1:15" ht="14.25">
      <c r="A129" s="34"/>
      <c r="B129" s="850" t="s">
        <v>170</v>
      </c>
      <c r="C129" s="851">
        <v>45</v>
      </c>
      <c r="D129" s="852" t="s">
        <v>16</v>
      </c>
      <c r="E129" s="34"/>
      <c r="F129" s="853" t="s">
        <v>354</v>
      </c>
      <c r="G129" s="854">
        <v>0</v>
      </c>
      <c r="H129" s="880" t="s">
        <v>115</v>
      </c>
      <c r="I129" s="34"/>
      <c r="J129" s="173"/>
      <c r="K129" s="34"/>
      <c r="L129" s="34"/>
      <c r="M129" s="34"/>
      <c r="N129" s="34"/>
      <c r="O129" s="173"/>
    </row>
    <row r="130" spans="1:15" ht="14.25">
      <c r="A130" s="34"/>
      <c r="B130" s="850" t="s">
        <v>298</v>
      </c>
      <c r="C130" s="851">
        <v>45</v>
      </c>
      <c r="D130" s="852" t="s">
        <v>25</v>
      </c>
      <c r="E130" s="34"/>
      <c r="F130" s="853" t="s">
        <v>323</v>
      </c>
      <c r="G130" s="854">
        <v>0</v>
      </c>
      <c r="H130" s="880" t="s">
        <v>115</v>
      </c>
      <c r="I130" s="34"/>
      <c r="J130" s="173"/>
      <c r="K130" s="34"/>
      <c r="L130" s="34"/>
      <c r="M130" s="34"/>
      <c r="N130" s="34"/>
      <c r="O130" s="173"/>
    </row>
    <row r="131" spans="1:15" ht="14.25">
      <c r="A131" s="34"/>
      <c r="B131" s="850" t="s">
        <v>378</v>
      </c>
      <c r="C131" s="851">
        <v>45</v>
      </c>
      <c r="D131" s="852" t="s">
        <v>18</v>
      </c>
      <c r="E131" s="34"/>
      <c r="F131" s="853" t="s">
        <v>323</v>
      </c>
      <c r="G131" s="854">
        <v>0</v>
      </c>
      <c r="H131" s="880" t="s">
        <v>115</v>
      </c>
      <c r="I131" s="34"/>
      <c r="J131" s="173"/>
      <c r="K131" s="34"/>
      <c r="L131" s="34"/>
      <c r="M131" s="34"/>
      <c r="N131" s="34"/>
      <c r="O131" s="173"/>
    </row>
    <row r="132" spans="1:15" ht="14.25">
      <c r="A132" s="34"/>
      <c r="B132" s="850" t="s">
        <v>283</v>
      </c>
      <c r="C132" s="851">
        <v>45</v>
      </c>
      <c r="D132" s="852" t="s">
        <v>20</v>
      </c>
      <c r="E132" s="34"/>
      <c r="F132" s="853" t="s">
        <v>327</v>
      </c>
      <c r="G132" s="854">
        <v>0</v>
      </c>
      <c r="H132" s="880" t="s">
        <v>115</v>
      </c>
      <c r="I132" s="34"/>
      <c r="J132" s="173"/>
      <c r="K132" s="34"/>
      <c r="L132" s="34"/>
      <c r="M132" s="34"/>
      <c r="N132" s="34"/>
      <c r="O132" s="173"/>
    </row>
    <row r="133" spans="1:15" ht="14.25">
      <c r="A133" s="34"/>
      <c r="B133" s="850" t="s">
        <v>397</v>
      </c>
      <c r="C133" s="851">
        <v>45</v>
      </c>
      <c r="D133" s="852" t="s">
        <v>8</v>
      </c>
      <c r="E133" s="34"/>
      <c r="F133" s="853" t="s">
        <v>327</v>
      </c>
      <c r="G133" s="854">
        <v>0</v>
      </c>
      <c r="H133" s="880" t="s">
        <v>115</v>
      </c>
      <c r="I133" s="34"/>
      <c r="J133" s="173"/>
      <c r="K133" s="34"/>
      <c r="L133" s="34"/>
      <c r="M133" s="34"/>
      <c r="N133" s="34"/>
      <c r="O133" s="173"/>
    </row>
    <row r="134" spans="1:15" ht="14.25">
      <c r="A134" s="34"/>
      <c r="B134" s="850" t="s">
        <v>362</v>
      </c>
      <c r="C134" s="851">
        <v>45</v>
      </c>
      <c r="D134" s="852" t="s">
        <v>21</v>
      </c>
      <c r="E134" s="34"/>
      <c r="F134" s="853" t="s">
        <v>229</v>
      </c>
      <c r="G134" s="854">
        <v>0</v>
      </c>
      <c r="H134" s="880" t="s">
        <v>115</v>
      </c>
      <c r="I134" s="34"/>
      <c r="J134" s="173"/>
      <c r="K134" s="34"/>
      <c r="L134" s="34"/>
      <c r="M134" s="34"/>
      <c r="N134" s="34"/>
      <c r="O134" s="173"/>
    </row>
    <row r="135" spans="1:15" ht="14.25">
      <c r="A135" s="34"/>
      <c r="B135" s="850" t="s">
        <v>291</v>
      </c>
      <c r="C135" s="851">
        <v>46</v>
      </c>
      <c r="D135" s="852" t="s">
        <v>11</v>
      </c>
      <c r="E135" s="34"/>
      <c r="F135" s="853" t="s">
        <v>229</v>
      </c>
      <c r="G135" s="854">
        <v>0</v>
      </c>
      <c r="H135" s="880" t="s">
        <v>115</v>
      </c>
      <c r="I135" s="34"/>
      <c r="J135" s="173"/>
      <c r="K135" s="34"/>
      <c r="L135" s="34"/>
      <c r="M135" s="34"/>
      <c r="N135" s="34"/>
      <c r="O135" s="173"/>
    </row>
    <row r="136" spans="1:15" ht="14.25">
      <c r="A136" s="34"/>
      <c r="B136" s="850" t="s">
        <v>170</v>
      </c>
      <c r="C136" s="851">
        <v>46</v>
      </c>
      <c r="D136" s="852" t="s">
        <v>16</v>
      </c>
      <c r="E136" s="34"/>
      <c r="F136" s="853" t="s">
        <v>241</v>
      </c>
      <c r="G136" s="854">
        <v>0</v>
      </c>
      <c r="H136" s="880" t="s">
        <v>115</v>
      </c>
      <c r="I136" s="34"/>
      <c r="J136" s="173"/>
      <c r="K136" s="34"/>
      <c r="L136" s="34"/>
      <c r="M136" s="34"/>
      <c r="N136" s="34"/>
      <c r="O136" s="173"/>
    </row>
    <row r="137" spans="1:15" ht="14.25">
      <c r="A137" s="34"/>
      <c r="B137" s="850" t="s">
        <v>298</v>
      </c>
      <c r="C137" s="851">
        <v>46</v>
      </c>
      <c r="D137" s="852" t="s">
        <v>25</v>
      </c>
      <c r="E137" s="34"/>
      <c r="F137" s="853" t="s">
        <v>241</v>
      </c>
      <c r="G137" s="854">
        <v>0</v>
      </c>
      <c r="H137" s="880" t="s">
        <v>115</v>
      </c>
      <c r="I137" s="34"/>
      <c r="J137" s="173"/>
      <c r="K137" s="34"/>
      <c r="L137" s="34"/>
      <c r="M137" s="34"/>
      <c r="N137" s="34"/>
      <c r="O137" s="173"/>
    </row>
    <row r="138" spans="1:15" ht="14.25">
      <c r="A138" s="34"/>
      <c r="B138" s="850" t="s">
        <v>338</v>
      </c>
      <c r="C138" s="851">
        <v>46</v>
      </c>
      <c r="D138" s="852" t="s">
        <v>13</v>
      </c>
      <c r="E138" s="34"/>
      <c r="F138" s="853" t="s">
        <v>410</v>
      </c>
      <c r="G138" s="854">
        <v>0</v>
      </c>
      <c r="H138" s="880" t="s">
        <v>115</v>
      </c>
      <c r="I138" s="34"/>
      <c r="J138" s="173"/>
      <c r="K138" s="34"/>
      <c r="L138" s="34"/>
      <c r="M138" s="34"/>
      <c r="N138" s="34"/>
      <c r="O138" s="173"/>
    </row>
    <row r="139" spans="1:15" ht="14.25">
      <c r="A139" s="34"/>
      <c r="B139" s="850" t="s">
        <v>378</v>
      </c>
      <c r="C139" s="851">
        <v>46</v>
      </c>
      <c r="D139" s="852" t="s">
        <v>18</v>
      </c>
      <c r="E139" s="34"/>
      <c r="F139" s="853" t="s">
        <v>410</v>
      </c>
      <c r="G139" s="854">
        <v>0</v>
      </c>
      <c r="H139" s="880" t="s">
        <v>115</v>
      </c>
      <c r="I139" s="34"/>
      <c r="J139" s="173"/>
      <c r="K139" s="34"/>
      <c r="L139" s="34"/>
      <c r="M139" s="34"/>
      <c r="N139" s="34"/>
      <c r="O139" s="173"/>
    </row>
    <row r="140" spans="1:15" ht="14.25">
      <c r="A140" s="34"/>
      <c r="B140" s="850" t="s">
        <v>347</v>
      </c>
      <c r="C140" s="851">
        <v>46</v>
      </c>
      <c r="D140" s="852" t="s">
        <v>26</v>
      </c>
      <c r="E140" s="34"/>
      <c r="F140" s="853" t="s">
        <v>330</v>
      </c>
      <c r="G140" s="854">
        <v>0</v>
      </c>
      <c r="H140" s="880" t="s">
        <v>115</v>
      </c>
      <c r="I140" s="34"/>
      <c r="J140" s="173"/>
      <c r="K140" s="34"/>
      <c r="L140" s="34"/>
      <c r="M140" s="34"/>
      <c r="N140" s="34"/>
      <c r="O140" s="173"/>
    </row>
    <row r="141" spans="1:15" ht="14.25">
      <c r="A141" s="34"/>
      <c r="B141" s="850" t="s">
        <v>283</v>
      </c>
      <c r="C141" s="851">
        <v>46</v>
      </c>
      <c r="D141" s="852" t="s">
        <v>20</v>
      </c>
      <c r="E141" s="34"/>
      <c r="F141" s="853" t="s">
        <v>330</v>
      </c>
      <c r="G141" s="854">
        <v>0</v>
      </c>
      <c r="H141" s="880" t="s">
        <v>115</v>
      </c>
      <c r="I141" s="34"/>
      <c r="J141" s="173"/>
      <c r="K141" s="34"/>
      <c r="L141" s="34"/>
      <c r="M141" s="34"/>
      <c r="N141" s="34"/>
      <c r="O141" s="173"/>
    </row>
    <row r="142" spans="1:15" ht="14.25">
      <c r="A142" s="34"/>
      <c r="B142" s="850" t="s">
        <v>397</v>
      </c>
      <c r="C142" s="851">
        <v>46</v>
      </c>
      <c r="D142" s="852" t="s">
        <v>8</v>
      </c>
      <c r="E142" s="34"/>
      <c r="F142" s="853" t="s">
        <v>250</v>
      </c>
      <c r="G142" s="854">
        <v>0</v>
      </c>
      <c r="H142" s="880" t="s">
        <v>119</v>
      </c>
      <c r="I142" s="34"/>
      <c r="J142" s="173"/>
      <c r="K142" s="34"/>
      <c r="L142" s="34"/>
      <c r="M142" s="34"/>
      <c r="N142" s="34"/>
      <c r="O142" s="173"/>
    </row>
    <row r="143" spans="1:15" ht="14.25">
      <c r="A143" s="34"/>
      <c r="B143" s="850" t="s">
        <v>362</v>
      </c>
      <c r="C143" s="851">
        <v>46</v>
      </c>
      <c r="D143" s="852" t="s">
        <v>21</v>
      </c>
      <c r="E143" s="34"/>
      <c r="F143" s="853" t="s">
        <v>250</v>
      </c>
      <c r="G143" s="854">
        <v>0</v>
      </c>
      <c r="H143" s="880" t="s">
        <v>119</v>
      </c>
      <c r="I143" s="34"/>
      <c r="J143" s="173"/>
      <c r="K143" s="34"/>
      <c r="L143" s="34"/>
      <c r="M143" s="34"/>
      <c r="N143" s="34"/>
      <c r="O143" s="173"/>
    </row>
    <row r="144" spans="1:15" ht="14.25">
      <c r="A144" s="34"/>
      <c r="B144" s="850" t="s">
        <v>366</v>
      </c>
      <c r="C144" s="851">
        <v>47</v>
      </c>
      <c r="D144" s="852" t="s">
        <v>20</v>
      </c>
      <c r="E144" s="34"/>
      <c r="F144" s="853" t="s">
        <v>191</v>
      </c>
      <c r="G144" s="854">
        <v>0</v>
      </c>
      <c r="H144" s="880" t="s">
        <v>119</v>
      </c>
      <c r="I144" s="34"/>
      <c r="J144" s="173"/>
      <c r="K144" s="34"/>
      <c r="L144" s="34"/>
      <c r="M144" s="34"/>
      <c r="N144" s="34"/>
      <c r="O144" s="173"/>
    </row>
    <row r="145" spans="1:15" ht="14.25">
      <c r="A145" s="34"/>
      <c r="B145" s="850" t="s">
        <v>186</v>
      </c>
      <c r="C145" s="851">
        <v>47</v>
      </c>
      <c r="D145" s="852" t="s">
        <v>26</v>
      </c>
      <c r="E145" s="34"/>
      <c r="F145" s="853" t="s">
        <v>191</v>
      </c>
      <c r="G145" s="854">
        <v>0</v>
      </c>
      <c r="H145" s="880" t="s">
        <v>119</v>
      </c>
      <c r="I145" s="34"/>
      <c r="J145" s="173"/>
      <c r="K145" s="34"/>
      <c r="L145" s="34"/>
      <c r="M145" s="34"/>
      <c r="N145" s="34"/>
      <c r="O145" s="173"/>
    </row>
    <row r="146" spans="1:15" ht="14.25">
      <c r="A146" s="34"/>
      <c r="B146" s="850" t="s">
        <v>404</v>
      </c>
      <c r="C146" s="851">
        <v>47</v>
      </c>
      <c r="D146" s="852" t="s">
        <v>16</v>
      </c>
      <c r="E146" s="34"/>
      <c r="F146" s="853" t="s">
        <v>384</v>
      </c>
      <c r="G146" s="854">
        <v>0</v>
      </c>
      <c r="H146" s="880" t="s">
        <v>119</v>
      </c>
      <c r="I146" s="34"/>
      <c r="J146" s="173"/>
      <c r="K146" s="34"/>
      <c r="L146" s="34"/>
      <c r="M146" s="34"/>
      <c r="N146" s="34"/>
      <c r="O146" s="173"/>
    </row>
    <row r="147" spans="1:15" ht="14.25">
      <c r="A147" s="34"/>
      <c r="B147" s="850" t="s">
        <v>306</v>
      </c>
      <c r="C147" s="851">
        <v>47</v>
      </c>
      <c r="D147" s="852" t="s">
        <v>21</v>
      </c>
      <c r="E147" s="34"/>
      <c r="F147" s="853" t="s">
        <v>384</v>
      </c>
      <c r="G147" s="854">
        <v>0</v>
      </c>
      <c r="H147" s="880" t="s">
        <v>119</v>
      </c>
      <c r="I147" s="34"/>
      <c r="J147" s="173"/>
      <c r="K147" s="34"/>
      <c r="L147" s="34"/>
      <c r="M147" s="34"/>
      <c r="N147" s="34"/>
      <c r="O147" s="173"/>
    </row>
    <row r="148" spans="1:15" ht="14.25">
      <c r="A148" s="34"/>
      <c r="B148" s="850" t="s">
        <v>352</v>
      </c>
      <c r="C148" s="851">
        <v>47</v>
      </c>
      <c r="D148" s="852" t="s">
        <v>13</v>
      </c>
      <c r="E148" s="34"/>
      <c r="F148" s="853" t="s">
        <v>408</v>
      </c>
      <c r="G148" s="854">
        <v>0</v>
      </c>
      <c r="H148" s="880" t="s">
        <v>119</v>
      </c>
      <c r="I148" s="34"/>
      <c r="J148" s="173"/>
      <c r="K148" s="34"/>
      <c r="L148" s="34"/>
      <c r="M148" s="34"/>
      <c r="N148" s="34"/>
      <c r="O148" s="173"/>
    </row>
    <row r="149" spans="1:15" ht="14.25">
      <c r="A149" s="34"/>
      <c r="B149" s="850" t="s">
        <v>218</v>
      </c>
      <c r="C149" s="851">
        <v>47</v>
      </c>
      <c r="D149" s="852" t="s">
        <v>18</v>
      </c>
      <c r="E149" s="34"/>
      <c r="F149" s="853" t="s">
        <v>408</v>
      </c>
      <c r="G149" s="854">
        <v>0</v>
      </c>
      <c r="H149" s="880" t="s">
        <v>119</v>
      </c>
      <c r="I149" s="34"/>
      <c r="J149" s="173"/>
      <c r="K149" s="34"/>
      <c r="L149" s="34"/>
      <c r="M149" s="34"/>
      <c r="N149" s="34"/>
      <c r="O149" s="173"/>
    </row>
    <row r="150" spans="1:15" ht="14.25">
      <c r="A150" s="34"/>
      <c r="B150" s="850" t="s">
        <v>319</v>
      </c>
      <c r="C150" s="851">
        <v>47</v>
      </c>
      <c r="D150" s="852" t="s">
        <v>25</v>
      </c>
      <c r="E150" s="34"/>
      <c r="F150" s="853" t="s">
        <v>355</v>
      </c>
      <c r="G150" s="854">
        <v>0</v>
      </c>
      <c r="H150" s="880" t="s">
        <v>119</v>
      </c>
      <c r="I150" s="34"/>
      <c r="J150" s="173"/>
      <c r="K150" s="34"/>
      <c r="L150" s="34"/>
      <c r="M150" s="34"/>
      <c r="N150" s="34"/>
      <c r="O150" s="173"/>
    </row>
    <row r="151" spans="1:15" ht="14.25">
      <c r="A151" s="34"/>
      <c r="B151" s="850" t="s">
        <v>382</v>
      </c>
      <c r="C151" s="851">
        <v>47</v>
      </c>
      <c r="D151" s="852" t="s">
        <v>11</v>
      </c>
      <c r="E151" s="34"/>
      <c r="F151" s="853" t="s">
        <v>355</v>
      </c>
      <c r="G151" s="854">
        <v>0</v>
      </c>
      <c r="H151" s="880" t="s">
        <v>119</v>
      </c>
      <c r="I151" s="34"/>
      <c r="J151" s="173"/>
      <c r="K151" s="34"/>
      <c r="L151" s="34"/>
      <c r="M151" s="34"/>
      <c r="N151" s="34"/>
      <c r="O151" s="173"/>
    </row>
    <row r="152" spans="1:15" ht="14.25">
      <c r="A152" s="34"/>
      <c r="B152" s="850" t="s">
        <v>356</v>
      </c>
      <c r="C152" s="851">
        <v>47</v>
      </c>
      <c r="D152" s="852" t="s">
        <v>8</v>
      </c>
      <c r="E152" s="34"/>
      <c r="F152" s="853" t="s">
        <v>170</v>
      </c>
      <c r="G152" s="854">
        <v>0</v>
      </c>
      <c r="H152" s="855" t="s">
        <v>16</v>
      </c>
      <c r="I152" s="34"/>
      <c r="J152" s="173"/>
      <c r="K152" s="34"/>
      <c r="L152" s="34"/>
      <c r="M152" s="34"/>
      <c r="N152" s="34"/>
      <c r="O152" s="173"/>
    </row>
    <row r="153" spans="1:15" ht="14.25">
      <c r="A153" s="34"/>
      <c r="B153" s="850" t="s">
        <v>366</v>
      </c>
      <c r="C153" s="851">
        <v>48</v>
      </c>
      <c r="D153" s="852" t="s">
        <v>20</v>
      </c>
      <c r="E153" s="34"/>
      <c r="F153" s="853" t="s">
        <v>170</v>
      </c>
      <c r="G153" s="854">
        <v>0</v>
      </c>
      <c r="H153" s="855" t="s">
        <v>16</v>
      </c>
      <c r="I153" s="34"/>
      <c r="J153" s="173"/>
      <c r="K153" s="34"/>
      <c r="L153" s="34"/>
      <c r="M153" s="34"/>
      <c r="N153" s="34"/>
      <c r="O153" s="173"/>
    </row>
    <row r="154" spans="1:15" ht="14.25">
      <c r="A154" s="34"/>
      <c r="B154" s="850" t="s">
        <v>186</v>
      </c>
      <c r="C154" s="851">
        <v>48</v>
      </c>
      <c r="D154" s="852" t="s">
        <v>26</v>
      </c>
      <c r="E154" s="34"/>
      <c r="F154" s="853" t="s">
        <v>341</v>
      </c>
      <c r="G154" s="854">
        <v>0</v>
      </c>
      <c r="H154" s="855" t="s">
        <v>16</v>
      </c>
      <c r="I154" s="34"/>
      <c r="J154" s="173"/>
      <c r="K154" s="34"/>
      <c r="L154" s="34"/>
      <c r="M154" s="34"/>
      <c r="N154" s="34"/>
      <c r="O154" s="173"/>
    </row>
    <row r="155" spans="1:15" ht="14.25">
      <c r="A155" s="34"/>
      <c r="B155" s="850" t="s">
        <v>404</v>
      </c>
      <c r="C155" s="851">
        <v>48</v>
      </c>
      <c r="D155" s="852" t="s">
        <v>16</v>
      </c>
      <c r="E155" s="34"/>
      <c r="F155" s="853" t="s">
        <v>341</v>
      </c>
      <c r="G155" s="854">
        <v>0</v>
      </c>
      <c r="H155" s="855" t="s">
        <v>16</v>
      </c>
      <c r="I155" s="34"/>
      <c r="J155" s="173"/>
      <c r="K155" s="34"/>
      <c r="L155" s="34"/>
      <c r="M155" s="34"/>
      <c r="N155" s="34"/>
      <c r="O155" s="173"/>
    </row>
    <row r="156" spans="1:15" ht="14.25">
      <c r="A156" s="34"/>
      <c r="B156" s="850" t="s">
        <v>306</v>
      </c>
      <c r="C156" s="851">
        <v>48</v>
      </c>
      <c r="D156" s="852" t="s">
        <v>21</v>
      </c>
      <c r="E156" s="34"/>
      <c r="F156" s="853" t="s">
        <v>198</v>
      </c>
      <c r="G156" s="854">
        <v>0</v>
      </c>
      <c r="H156" s="855" t="s">
        <v>16</v>
      </c>
      <c r="I156" s="34"/>
      <c r="J156" s="173"/>
      <c r="K156" s="34"/>
      <c r="L156" s="34"/>
      <c r="M156" s="34"/>
      <c r="N156" s="34"/>
      <c r="O156" s="173"/>
    </row>
    <row r="157" spans="1:15" ht="14.25">
      <c r="A157" s="34"/>
      <c r="B157" s="850" t="s">
        <v>352</v>
      </c>
      <c r="C157" s="851">
        <v>48</v>
      </c>
      <c r="D157" s="852" t="s">
        <v>13</v>
      </c>
      <c r="E157" s="34"/>
      <c r="F157" s="853" t="s">
        <v>198</v>
      </c>
      <c r="G157" s="854">
        <v>0</v>
      </c>
      <c r="H157" s="855" t="s">
        <v>16</v>
      </c>
      <c r="I157" s="34"/>
      <c r="J157" s="173"/>
      <c r="K157" s="34"/>
      <c r="L157" s="34"/>
      <c r="M157" s="34"/>
      <c r="N157" s="34"/>
      <c r="O157" s="173"/>
    </row>
    <row r="158" spans="1:15" ht="14.25">
      <c r="A158" s="34"/>
      <c r="B158" s="850" t="s">
        <v>218</v>
      </c>
      <c r="C158" s="851">
        <v>48</v>
      </c>
      <c r="D158" s="852" t="s">
        <v>18</v>
      </c>
      <c r="E158" s="34"/>
      <c r="F158" s="853" t="s">
        <v>264</v>
      </c>
      <c r="G158" s="854">
        <v>0</v>
      </c>
      <c r="H158" s="855" t="s">
        <v>16</v>
      </c>
      <c r="I158" s="34"/>
      <c r="J158" s="173"/>
      <c r="K158" s="34"/>
      <c r="L158" s="34"/>
      <c r="M158" s="34"/>
      <c r="N158" s="34"/>
      <c r="O158" s="173"/>
    </row>
    <row r="159" spans="1:15" ht="14.25">
      <c r="A159" s="34"/>
      <c r="B159" s="850" t="s">
        <v>319</v>
      </c>
      <c r="C159" s="851">
        <v>48</v>
      </c>
      <c r="D159" s="852" t="s">
        <v>25</v>
      </c>
      <c r="E159" s="34"/>
      <c r="F159" s="853" t="s">
        <v>264</v>
      </c>
      <c r="G159" s="854">
        <v>0</v>
      </c>
      <c r="H159" s="855" t="s">
        <v>16</v>
      </c>
      <c r="I159" s="34"/>
      <c r="J159" s="173"/>
      <c r="K159" s="34"/>
      <c r="L159" s="34"/>
      <c r="M159" s="34"/>
      <c r="N159" s="34"/>
      <c r="O159" s="173"/>
    </row>
    <row r="160" spans="1:15" ht="14.25">
      <c r="A160" s="34"/>
      <c r="B160" s="850" t="s">
        <v>382</v>
      </c>
      <c r="C160" s="851">
        <v>48</v>
      </c>
      <c r="D160" s="852" t="s">
        <v>11</v>
      </c>
      <c r="E160" s="34"/>
      <c r="F160" s="853" t="s">
        <v>206</v>
      </c>
      <c r="G160" s="854">
        <v>0</v>
      </c>
      <c r="H160" s="855" t="s">
        <v>16</v>
      </c>
      <c r="I160" s="34"/>
      <c r="J160" s="173"/>
      <c r="K160" s="34"/>
      <c r="L160" s="34"/>
      <c r="M160" s="34"/>
      <c r="N160" s="34"/>
      <c r="O160" s="173"/>
    </row>
    <row r="161" spans="1:15" ht="14.25">
      <c r="A161" s="34"/>
      <c r="B161" s="850" t="s">
        <v>356</v>
      </c>
      <c r="C161" s="851">
        <v>48</v>
      </c>
      <c r="D161" s="852" t="s">
        <v>8</v>
      </c>
      <c r="E161" s="34"/>
      <c r="F161" s="853" t="s">
        <v>206</v>
      </c>
      <c r="G161" s="854">
        <v>0</v>
      </c>
      <c r="H161" s="855" t="s">
        <v>16</v>
      </c>
      <c r="I161" s="34"/>
      <c r="J161" s="173"/>
      <c r="K161" s="34"/>
      <c r="L161" s="34"/>
      <c r="M161" s="34"/>
      <c r="N161" s="34"/>
      <c r="O161" s="173"/>
    </row>
    <row r="162" spans="1:15" ht="14.25">
      <c r="A162" s="34"/>
      <c r="B162" s="850" t="s">
        <v>331</v>
      </c>
      <c r="C162" s="851">
        <v>49</v>
      </c>
      <c r="D162" s="852" t="s">
        <v>16</v>
      </c>
      <c r="E162" s="34"/>
      <c r="F162" s="853" t="s">
        <v>358</v>
      </c>
      <c r="G162" s="854">
        <v>2</v>
      </c>
      <c r="H162" s="855" t="s">
        <v>16</v>
      </c>
      <c r="I162" s="34"/>
      <c r="J162" s="173"/>
      <c r="K162" s="34"/>
      <c r="L162" s="34"/>
      <c r="M162" s="34"/>
      <c r="N162" s="34"/>
      <c r="O162" s="173"/>
    </row>
    <row r="163" spans="1:15" ht="14.25">
      <c r="A163" s="34"/>
      <c r="B163" s="850" t="s">
        <v>255</v>
      </c>
      <c r="C163" s="851">
        <v>49</v>
      </c>
      <c r="D163" s="852" t="s">
        <v>26</v>
      </c>
      <c r="E163" s="34"/>
      <c r="F163" s="853" t="s">
        <v>358</v>
      </c>
      <c r="G163" s="854">
        <v>2</v>
      </c>
      <c r="H163" s="855" t="s">
        <v>16</v>
      </c>
      <c r="I163" s="34"/>
      <c r="J163" s="173"/>
      <c r="K163" s="34"/>
      <c r="L163" s="34"/>
      <c r="M163" s="34"/>
      <c r="N163" s="34"/>
      <c r="O163" s="173"/>
    </row>
    <row r="164" spans="1:15" ht="14.25">
      <c r="A164" s="34"/>
      <c r="B164" s="850" t="s">
        <v>392</v>
      </c>
      <c r="C164" s="851">
        <v>49</v>
      </c>
      <c r="D164" s="852" t="s">
        <v>21</v>
      </c>
      <c r="E164" s="34"/>
      <c r="F164" s="853" t="s">
        <v>334</v>
      </c>
      <c r="G164" s="854">
        <v>4</v>
      </c>
      <c r="H164" s="855" t="s">
        <v>16</v>
      </c>
      <c r="I164" s="34"/>
      <c r="J164" s="173"/>
      <c r="K164" s="34"/>
      <c r="L164" s="34"/>
      <c r="M164" s="34"/>
      <c r="N164" s="34"/>
      <c r="O164" s="173"/>
    </row>
    <row r="165" spans="1:15" ht="14.25">
      <c r="A165" s="34"/>
      <c r="B165" s="850" t="s">
        <v>343</v>
      </c>
      <c r="C165" s="851">
        <v>49</v>
      </c>
      <c r="D165" s="852" t="s">
        <v>25</v>
      </c>
      <c r="E165" s="34"/>
      <c r="F165" s="853" t="s">
        <v>334</v>
      </c>
      <c r="G165" s="854">
        <v>4</v>
      </c>
      <c r="H165" s="855" t="s">
        <v>16</v>
      </c>
      <c r="I165" s="34"/>
      <c r="J165" s="173"/>
      <c r="K165" s="34"/>
      <c r="L165" s="34"/>
      <c r="M165" s="34"/>
      <c r="N165" s="34"/>
      <c r="O165" s="173"/>
    </row>
    <row r="166" spans="1:15" ht="14.25">
      <c r="A166" s="34"/>
      <c r="B166" s="850" t="s">
        <v>411</v>
      </c>
      <c r="C166" s="851">
        <v>49</v>
      </c>
      <c r="D166" s="852" t="s">
        <v>8</v>
      </c>
      <c r="E166" s="34"/>
      <c r="F166" s="853" t="s">
        <v>202</v>
      </c>
      <c r="G166" s="854">
        <v>6</v>
      </c>
      <c r="H166" s="855" t="s">
        <v>16</v>
      </c>
      <c r="I166" s="34"/>
      <c r="J166" s="173"/>
      <c r="K166" s="34"/>
      <c r="L166" s="34"/>
      <c r="M166" s="34"/>
      <c r="N166" s="34"/>
      <c r="O166" s="173"/>
    </row>
    <row r="167" spans="1:15" ht="14.25">
      <c r="A167" s="34"/>
      <c r="B167" s="850" t="s">
        <v>310</v>
      </c>
      <c r="C167" s="851">
        <v>49</v>
      </c>
      <c r="D167" s="852" t="s">
        <v>11</v>
      </c>
      <c r="E167" s="34"/>
      <c r="F167" s="853" t="s">
        <v>202</v>
      </c>
      <c r="G167" s="854">
        <v>6</v>
      </c>
      <c r="H167" s="855" t="s">
        <v>16</v>
      </c>
      <c r="I167" s="34"/>
      <c r="J167" s="173"/>
      <c r="K167" s="34"/>
      <c r="L167" s="34"/>
      <c r="M167" s="34"/>
      <c r="N167" s="34"/>
      <c r="O167" s="173"/>
    </row>
    <row r="168" spans="1:15" ht="14.25">
      <c r="A168" s="34"/>
      <c r="B168" s="850" t="s">
        <v>412</v>
      </c>
      <c r="C168" s="851">
        <v>49</v>
      </c>
      <c r="D168" s="852" t="s">
        <v>18</v>
      </c>
      <c r="E168" s="34"/>
      <c r="F168" s="853" t="s">
        <v>404</v>
      </c>
      <c r="G168" s="854">
        <v>8</v>
      </c>
      <c r="H168" s="855" t="s">
        <v>16</v>
      </c>
      <c r="I168" s="34"/>
      <c r="J168" s="173"/>
      <c r="K168" s="34"/>
      <c r="L168" s="34"/>
      <c r="M168" s="34"/>
      <c r="N168" s="34"/>
      <c r="O168" s="173"/>
    </row>
    <row r="169" spans="1:15" ht="14.25">
      <c r="A169" s="34"/>
      <c r="B169" s="850" t="s">
        <v>406</v>
      </c>
      <c r="C169" s="851">
        <v>49</v>
      </c>
      <c r="D169" s="852" t="s">
        <v>20</v>
      </c>
      <c r="E169" s="34"/>
      <c r="F169" s="853" t="s">
        <v>404</v>
      </c>
      <c r="G169" s="854">
        <v>8</v>
      </c>
      <c r="H169" s="855" t="s">
        <v>16</v>
      </c>
      <c r="I169" s="34"/>
      <c r="J169" s="173"/>
      <c r="K169" s="34"/>
      <c r="L169" s="34"/>
      <c r="M169" s="34"/>
      <c r="N169" s="34"/>
      <c r="O169" s="173"/>
    </row>
    <row r="170" spans="1:15" ht="14.25">
      <c r="A170" s="34"/>
      <c r="B170" s="850" t="s">
        <v>360</v>
      </c>
      <c r="C170" s="851">
        <v>49</v>
      </c>
      <c r="D170" s="852" t="s">
        <v>13</v>
      </c>
      <c r="E170" s="34"/>
      <c r="F170" s="853" t="s">
        <v>331</v>
      </c>
      <c r="G170" s="854">
        <v>10</v>
      </c>
      <c r="H170" s="855" t="s">
        <v>16</v>
      </c>
      <c r="I170" s="34"/>
      <c r="J170" s="173"/>
      <c r="K170" s="34"/>
      <c r="L170" s="34"/>
      <c r="M170" s="34"/>
      <c r="N170" s="34"/>
      <c r="O170" s="173"/>
    </row>
    <row r="171" spans="1:15" ht="14.25">
      <c r="A171" s="34"/>
      <c r="B171" s="850" t="s">
        <v>331</v>
      </c>
      <c r="C171" s="851">
        <v>50</v>
      </c>
      <c r="D171" s="852" t="s">
        <v>16</v>
      </c>
      <c r="E171" s="34"/>
      <c r="F171" s="853" t="s">
        <v>331</v>
      </c>
      <c r="G171" s="854">
        <v>10</v>
      </c>
      <c r="H171" s="855" t="s">
        <v>16</v>
      </c>
      <c r="I171" s="34"/>
      <c r="J171" s="173"/>
      <c r="K171" s="34"/>
      <c r="L171" s="34"/>
      <c r="M171" s="34"/>
      <c r="N171" s="34"/>
      <c r="O171" s="173"/>
    </row>
    <row r="172" spans="1:15" ht="14.25">
      <c r="A172" s="34"/>
      <c r="B172" s="850" t="s">
        <v>255</v>
      </c>
      <c r="C172" s="851">
        <v>50</v>
      </c>
      <c r="D172" s="852" t="s">
        <v>26</v>
      </c>
      <c r="E172" s="34"/>
      <c r="F172" s="853" t="s">
        <v>201</v>
      </c>
      <c r="G172" s="854">
        <v>0</v>
      </c>
      <c r="H172" s="855" t="s">
        <v>18</v>
      </c>
      <c r="I172" s="34"/>
      <c r="J172" s="173"/>
      <c r="K172" s="34"/>
      <c r="L172" s="34"/>
      <c r="M172" s="34"/>
      <c r="N172" s="34"/>
      <c r="O172" s="173"/>
    </row>
    <row r="173" spans="1:15" ht="14.25">
      <c r="A173" s="34"/>
      <c r="B173" s="850" t="s">
        <v>392</v>
      </c>
      <c r="C173" s="851">
        <v>50</v>
      </c>
      <c r="D173" s="852" t="s">
        <v>21</v>
      </c>
      <c r="E173" s="34"/>
      <c r="F173" s="853" t="s">
        <v>201</v>
      </c>
      <c r="G173" s="854">
        <v>0</v>
      </c>
      <c r="H173" s="855" t="s">
        <v>18</v>
      </c>
      <c r="I173" s="34"/>
      <c r="J173" s="173"/>
      <c r="K173" s="34"/>
      <c r="L173" s="34"/>
      <c r="M173" s="34"/>
      <c r="N173" s="34"/>
      <c r="O173" s="173"/>
    </row>
    <row r="174" spans="1:15" ht="14.25">
      <c r="A174" s="34"/>
      <c r="B174" s="850" t="s">
        <v>343</v>
      </c>
      <c r="C174" s="851">
        <v>50</v>
      </c>
      <c r="D174" s="852" t="s">
        <v>25</v>
      </c>
      <c r="E174" s="34"/>
      <c r="F174" s="853" t="s">
        <v>271</v>
      </c>
      <c r="G174" s="854">
        <v>0</v>
      </c>
      <c r="H174" s="855" t="s">
        <v>18</v>
      </c>
      <c r="I174" s="34"/>
      <c r="J174" s="173"/>
      <c r="K174" s="34"/>
      <c r="L174" s="34"/>
      <c r="M174" s="34"/>
      <c r="N174" s="34"/>
      <c r="O174" s="173"/>
    </row>
    <row r="175" spans="1:15" ht="14.25">
      <c r="A175" s="34"/>
      <c r="B175" s="850" t="s">
        <v>411</v>
      </c>
      <c r="C175" s="851">
        <v>50</v>
      </c>
      <c r="D175" s="852" t="s">
        <v>8</v>
      </c>
      <c r="E175" s="34"/>
      <c r="F175" s="853" t="s">
        <v>271</v>
      </c>
      <c r="G175" s="854">
        <v>0</v>
      </c>
      <c r="H175" s="855" t="s">
        <v>18</v>
      </c>
      <c r="I175" s="34"/>
      <c r="J175" s="173"/>
      <c r="K175" s="34"/>
      <c r="L175" s="34"/>
      <c r="M175" s="34"/>
      <c r="N175" s="34"/>
      <c r="O175" s="173"/>
    </row>
    <row r="176" spans="1:15" ht="14.25">
      <c r="A176" s="34"/>
      <c r="B176" s="850" t="s">
        <v>310</v>
      </c>
      <c r="C176" s="851">
        <v>50</v>
      </c>
      <c r="D176" s="852" t="s">
        <v>11</v>
      </c>
      <c r="E176" s="34"/>
      <c r="F176" s="853" t="s">
        <v>215</v>
      </c>
      <c r="G176" s="854">
        <v>0</v>
      </c>
      <c r="H176" s="855" t="s">
        <v>18</v>
      </c>
      <c r="I176" s="34"/>
      <c r="J176" s="173"/>
      <c r="K176" s="34"/>
      <c r="L176" s="34"/>
      <c r="M176" s="34"/>
      <c r="N176" s="34"/>
      <c r="O176" s="173"/>
    </row>
    <row r="177" spans="1:15" ht="14.25">
      <c r="A177" s="34"/>
      <c r="B177" s="850" t="s">
        <v>412</v>
      </c>
      <c r="C177" s="851">
        <v>50</v>
      </c>
      <c r="D177" s="852" t="s">
        <v>18</v>
      </c>
      <c r="E177" s="34"/>
      <c r="F177" s="853" t="s">
        <v>215</v>
      </c>
      <c r="G177" s="854">
        <v>0</v>
      </c>
      <c r="H177" s="855" t="s">
        <v>18</v>
      </c>
      <c r="I177" s="34"/>
      <c r="J177" s="173"/>
      <c r="K177" s="34"/>
      <c r="L177" s="34"/>
      <c r="M177" s="34"/>
      <c r="N177" s="34"/>
      <c r="O177" s="173"/>
    </row>
    <row r="178" spans="1:15" ht="14.25">
      <c r="A178" s="34"/>
      <c r="B178" s="850" t="s">
        <v>406</v>
      </c>
      <c r="C178" s="851">
        <v>50</v>
      </c>
      <c r="D178" s="852" t="s">
        <v>20</v>
      </c>
      <c r="E178" s="34"/>
      <c r="F178" s="853" t="s">
        <v>218</v>
      </c>
      <c r="G178" s="854">
        <v>0</v>
      </c>
      <c r="H178" s="855" t="s">
        <v>18</v>
      </c>
      <c r="I178" s="34"/>
      <c r="J178" s="173"/>
      <c r="K178" s="34"/>
      <c r="L178" s="34"/>
      <c r="M178" s="34"/>
      <c r="N178" s="34"/>
      <c r="O178" s="173"/>
    </row>
    <row r="179" spans="1:15" ht="14.25">
      <c r="A179" s="34"/>
      <c r="B179" s="850" t="s">
        <v>360</v>
      </c>
      <c r="C179" s="851">
        <v>50</v>
      </c>
      <c r="D179" s="852" t="s">
        <v>13</v>
      </c>
      <c r="E179" s="34"/>
      <c r="F179" s="853" t="s">
        <v>218</v>
      </c>
      <c r="G179" s="854">
        <v>0</v>
      </c>
      <c r="H179" s="855" t="s">
        <v>18</v>
      </c>
      <c r="I179" s="34"/>
      <c r="J179" s="173"/>
      <c r="K179" s="34"/>
      <c r="L179" s="34"/>
      <c r="M179" s="34"/>
      <c r="N179" s="34"/>
      <c r="O179" s="173"/>
    </row>
    <row r="180" spans="1:15" ht="14.25">
      <c r="A180" s="34"/>
      <c r="B180" s="850" t="s">
        <v>364</v>
      </c>
      <c r="C180" s="851">
        <v>51</v>
      </c>
      <c r="D180" s="852" t="s">
        <v>26</v>
      </c>
      <c r="E180" s="34"/>
      <c r="F180" s="853" t="s">
        <v>281</v>
      </c>
      <c r="G180" s="854">
        <v>0</v>
      </c>
      <c r="H180" s="855" t="s">
        <v>18</v>
      </c>
      <c r="I180" s="34"/>
      <c r="J180" s="173"/>
      <c r="K180" s="34"/>
      <c r="L180" s="34"/>
      <c r="M180" s="34"/>
      <c r="N180" s="34"/>
      <c r="O180" s="173"/>
    </row>
    <row r="181" spans="1:15" ht="14.25">
      <c r="A181" s="34"/>
      <c r="B181" s="850" t="s">
        <v>389</v>
      </c>
      <c r="C181" s="851">
        <v>51</v>
      </c>
      <c r="D181" s="852" t="s">
        <v>25</v>
      </c>
      <c r="E181" s="34"/>
      <c r="F181" s="853" t="s">
        <v>281</v>
      </c>
      <c r="G181" s="854">
        <v>0</v>
      </c>
      <c r="H181" s="855" t="s">
        <v>18</v>
      </c>
      <c r="I181" s="34"/>
      <c r="J181" s="173"/>
      <c r="K181" s="34"/>
      <c r="L181" s="34"/>
      <c r="M181" s="34"/>
      <c r="N181" s="34"/>
      <c r="O181" s="173"/>
    </row>
    <row r="182" spans="1:15" ht="14.25">
      <c r="A182" s="34"/>
      <c r="B182" s="850" t="s">
        <v>401</v>
      </c>
      <c r="C182" s="851">
        <v>51</v>
      </c>
      <c r="D182" s="852" t="s">
        <v>11</v>
      </c>
      <c r="E182" s="34"/>
      <c r="F182" s="853" t="s">
        <v>253</v>
      </c>
      <c r="G182" s="854">
        <v>2</v>
      </c>
      <c r="H182" s="855" t="s">
        <v>18</v>
      </c>
      <c r="I182" s="34"/>
      <c r="J182" s="173"/>
      <c r="K182" s="34"/>
      <c r="L182" s="34"/>
      <c r="M182" s="34"/>
      <c r="N182" s="34"/>
      <c r="O182" s="173"/>
    </row>
    <row r="183" spans="1:15" ht="14.25">
      <c r="A183" s="34"/>
      <c r="B183" s="850" t="s">
        <v>402</v>
      </c>
      <c r="C183" s="851">
        <v>51</v>
      </c>
      <c r="D183" s="852" t="s">
        <v>13</v>
      </c>
      <c r="E183" s="34"/>
      <c r="F183" s="853" t="s">
        <v>253</v>
      </c>
      <c r="G183" s="854">
        <v>2</v>
      </c>
      <c r="H183" s="855" t="s">
        <v>18</v>
      </c>
      <c r="I183" s="34"/>
      <c r="J183" s="173"/>
      <c r="K183" s="34"/>
      <c r="L183" s="34"/>
      <c r="M183" s="34"/>
      <c r="N183" s="34"/>
      <c r="O183" s="173"/>
    </row>
    <row r="184" spans="1:15" ht="14.25">
      <c r="A184" s="34"/>
      <c r="B184" s="850" t="s">
        <v>312</v>
      </c>
      <c r="C184" s="851">
        <v>51</v>
      </c>
      <c r="D184" s="852" t="s">
        <v>21</v>
      </c>
      <c r="E184" s="34"/>
      <c r="F184" s="853" t="s">
        <v>208</v>
      </c>
      <c r="G184" s="854">
        <v>4</v>
      </c>
      <c r="H184" s="855" t="s">
        <v>18</v>
      </c>
      <c r="I184" s="34"/>
      <c r="J184" s="173"/>
      <c r="K184" s="34"/>
      <c r="L184" s="34"/>
      <c r="M184" s="34"/>
      <c r="N184" s="34"/>
      <c r="O184" s="173"/>
    </row>
    <row r="185" spans="1:15" ht="14.25">
      <c r="A185" s="34"/>
      <c r="B185" s="850" t="s">
        <v>214</v>
      </c>
      <c r="C185" s="851">
        <v>51</v>
      </c>
      <c r="D185" s="852" t="s">
        <v>18</v>
      </c>
      <c r="E185" s="34"/>
      <c r="F185" s="853" t="s">
        <v>208</v>
      </c>
      <c r="G185" s="854">
        <v>4</v>
      </c>
      <c r="H185" s="855" t="s">
        <v>18</v>
      </c>
      <c r="I185" s="34"/>
      <c r="J185" s="173"/>
      <c r="K185" s="34"/>
      <c r="L185" s="34"/>
      <c r="M185" s="34"/>
      <c r="N185" s="34"/>
      <c r="O185" s="173"/>
    </row>
    <row r="186" spans="1:15" ht="14.25">
      <c r="A186" s="34"/>
      <c r="B186" s="850" t="s">
        <v>350</v>
      </c>
      <c r="C186" s="851">
        <v>51</v>
      </c>
      <c r="D186" s="852" t="s">
        <v>8</v>
      </c>
      <c r="E186" s="34"/>
      <c r="F186" s="853" t="s">
        <v>378</v>
      </c>
      <c r="G186" s="854">
        <v>6</v>
      </c>
      <c r="H186" s="855" t="s">
        <v>18</v>
      </c>
      <c r="I186" s="34"/>
      <c r="J186" s="173"/>
      <c r="K186" s="34"/>
      <c r="L186" s="34"/>
      <c r="M186" s="34"/>
      <c r="N186" s="34"/>
      <c r="O186" s="173"/>
    </row>
    <row r="187" spans="1:15" ht="14.25">
      <c r="A187" s="34"/>
      <c r="B187" s="850" t="s">
        <v>384</v>
      </c>
      <c r="C187" s="851">
        <v>51</v>
      </c>
      <c r="D187" s="852" t="s">
        <v>16</v>
      </c>
      <c r="E187" s="34"/>
      <c r="F187" s="853" t="s">
        <v>378</v>
      </c>
      <c r="G187" s="854">
        <v>6</v>
      </c>
      <c r="H187" s="855" t="s">
        <v>18</v>
      </c>
      <c r="I187" s="34"/>
      <c r="J187" s="173"/>
      <c r="K187" s="34"/>
      <c r="L187" s="34"/>
      <c r="M187" s="34"/>
      <c r="N187" s="34"/>
      <c r="O187" s="173"/>
    </row>
    <row r="188" spans="1:15" ht="14.25">
      <c r="A188" s="34"/>
      <c r="B188" s="850" t="s">
        <v>410</v>
      </c>
      <c r="C188" s="851">
        <v>51</v>
      </c>
      <c r="D188" s="852" t="s">
        <v>20</v>
      </c>
      <c r="E188" s="34"/>
      <c r="F188" s="853" t="s">
        <v>321</v>
      </c>
      <c r="G188" s="854">
        <v>8</v>
      </c>
      <c r="H188" s="855" t="s">
        <v>18</v>
      </c>
      <c r="I188" s="34"/>
      <c r="J188" s="173"/>
      <c r="K188" s="34"/>
      <c r="L188" s="34"/>
      <c r="M188" s="34"/>
      <c r="N188" s="34"/>
      <c r="O188" s="173"/>
    </row>
    <row r="189" spans="1:15" ht="14.25">
      <c r="A189" s="34"/>
      <c r="B189" s="850" t="s">
        <v>364</v>
      </c>
      <c r="C189" s="851">
        <v>52</v>
      </c>
      <c r="D189" s="852" t="s">
        <v>26</v>
      </c>
      <c r="E189" s="34"/>
      <c r="F189" s="853" t="s">
        <v>321</v>
      </c>
      <c r="G189" s="854">
        <v>8</v>
      </c>
      <c r="H189" s="855" t="s">
        <v>18</v>
      </c>
      <c r="I189" s="34"/>
      <c r="J189" s="173"/>
      <c r="K189" s="34"/>
      <c r="L189" s="34"/>
      <c r="M189" s="34"/>
      <c r="N189" s="34"/>
      <c r="O189" s="173"/>
    </row>
    <row r="190" spans="1:15" ht="14.25">
      <c r="A190" s="34"/>
      <c r="B190" s="850" t="s">
        <v>389</v>
      </c>
      <c r="C190" s="851">
        <v>52</v>
      </c>
      <c r="D190" s="852" t="s">
        <v>25</v>
      </c>
      <c r="E190" s="34"/>
      <c r="F190" s="853" t="s">
        <v>412</v>
      </c>
      <c r="G190" s="854">
        <v>10</v>
      </c>
      <c r="H190" s="855" t="s">
        <v>18</v>
      </c>
      <c r="I190" s="34"/>
      <c r="J190" s="173"/>
      <c r="K190" s="34"/>
      <c r="L190" s="34"/>
      <c r="M190" s="34"/>
      <c r="N190" s="34"/>
      <c r="O190" s="173"/>
    </row>
    <row r="191" spans="1:15" ht="14.25">
      <c r="A191" s="34"/>
      <c r="B191" s="850" t="s">
        <v>401</v>
      </c>
      <c r="C191" s="851">
        <v>52</v>
      </c>
      <c r="D191" s="852" t="s">
        <v>11</v>
      </c>
      <c r="E191" s="34"/>
      <c r="F191" s="853" t="s">
        <v>412</v>
      </c>
      <c r="G191" s="854">
        <v>10</v>
      </c>
      <c r="H191" s="855" t="s">
        <v>18</v>
      </c>
      <c r="I191" s="34"/>
      <c r="J191" s="173"/>
      <c r="K191" s="34"/>
      <c r="L191" s="34"/>
      <c r="M191" s="34"/>
      <c r="N191" s="34"/>
      <c r="O191" s="173"/>
    </row>
    <row r="192" spans="1:15" ht="14.25">
      <c r="A192" s="34"/>
      <c r="B192" s="850" t="s">
        <v>402</v>
      </c>
      <c r="C192" s="851">
        <v>52</v>
      </c>
      <c r="D192" s="852" t="s">
        <v>13</v>
      </c>
      <c r="E192" s="34"/>
      <c r="F192" s="853" t="s">
        <v>366</v>
      </c>
      <c r="G192" s="854">
        <v>0</v>
      </c>
      <c r="H192" s="855" t="s">
        <v>20</v>
      </c>
      <c r="I192" s="34"/>
      <c r="J192" s="173"/>
      <c r="K192" s="34"/>
      <c r="L192" s="34"/>
      <c r="M192" s="34"/>
      <c r="N192" s="34"/>
      <c r="O192" s="173"/>
    </row>
    <row r="193" spans="1:15" ht="14.25">
      <c r="A193" s="34"/>
      <c r="B193" s="850" t="s">
        <v>312</v>
      </c>
      <c r="C193" s="851">
        <v>52</v>
      </c>
      <c r="D193" s="852" t="s">
        <v>21</v>
      </c>
      <c r="E193" s="34"/>
      <c r="F193" s="853" t="s">
        <v>366</v>
      </c>
      <c r="G193" s="854">
        <v>0</v>
      </c>
      <c r="H193" s="855" t="s">
        <v>20</v>
      </c>
      <c r="I193" s="34"/>
      <c r="J193" s="173"/>
      <c r="K193" s="34"/>
      <c r="L193" s="34"/>
      <c r="M193" s="34"/>
      <c r="N193" s="34"/>
      <c r="O193" s="173"/>
    </row>
    <row r="194" spans="1:15" ht="14.25">
      <c r="A194" s="34"/>
      <c r="B194" s="850" t="s">
        <v>214</v>
      </c>
      <c r="C194" s="851">
        <v>52</v>
      </c>
      <c r="D194" s="852" t="s">
        <v>18</v>
      </c>
      <c r="E194" s="34"/>
      <c r="F194" s="853" t="s">
        <v>149</v>
      </c>
      <c r="G194" s="854">
        <v>0</v>
      </c>
      <c r="H194" s="855" t="s">
        <v>20</v>
      </c>
      <c r="I194" s="34"/>
      <c r="J194" s="173"/>
      <c r="K194" s="34"/>
      <c r="L194" s="34"/>
      <c r="M194" s="34"/>
      <c r="N194" s="34"/>
      <c r="O194" s="173"/>
    </row>
    <row r="195" spans="1:15" ht="14.25">
      <c r="A195" s="34"/>
      <c r="B195" s="850" t="s">
        <v>350</v>
      </c>
      <c r="C195" s="851">
        <v>52</v>
      </c>
      <c r="D195" s="852" t="s">
        <v>8</v>
      </c>
      <c r="E195" s="34"/>
      <c r="F195" s="853" t="s">
        <v>149</v>
      </c>
      <c r="G195" s="854">
        <v>0</v>
      </c>
      <c r="H195" s="855" t="s">
        <v>20</v>
      </c>
      <c r="I195" s="34"/>
      <c r="J195" s="173"/>
      <c r="K195" s="34"/>
      <c r="L195" s="34"/>
      <c r="M195" s="34"/>
      <c r="N195" s="34"/>
      <c r="O195" s="173"/>
    </row>
    <row r="196" spans="1:15" ht="14.25">
      <c r="A196" s="34"/>
      <c r="B196" s="850" t="s">
        <v>384</v>
      </c>
      <c r="C196" s="851">
        <v>52</v>
      </c>
      <c r="D196" s="852" t="s">
        <v>16</v>
      </c>
      <c r="E196" s="34"/>
      <c r="F196" s="853" t="s">
        <v>178</v>
      </c>
      <c r="G196" s="854">
        <v>0</v>
      </c>
      <c r="H196" s="855" t="s">
        <v>20</v>
      </c>
      <c r="I196" s="34"/>
      <c r="J196" s="173"/>
      <c r="K196" s="34"/>
      <c r="L196" s="34"/>
      <c r="M196" s="34"/>
      <c r="N196" s="34"/>
      <c r="O196" s="173"/>
    </row>
    <row r="197" spans="1:15" ht="14.25">
      <c r="A197" s="34"/>
      <c r="B197" s="850" t="s">
        <v>410</v>
      </c>
      <c r="C197" s="851">
        <v>52</v>
      </c>
      <c r="D197" s="852" t="s">
        <v>20</v>
      </c>
      <c r="E197" s="34"/>
      <c r="F197" s="853" t="s">
        <v>178</v>
      </c>
      <c r="G197" s="854">
        <v>0</v>
      </c>
      <c r="H197" s="855" t="s">
        <v>20</v>
      </c>
      <c r="I197" s="34"/>
      <c r="J197" s="173"/>
      <c r="K197" s="34"/>
      <c r="L197" s="34"/>
      <c r="M197" s="34"/>
      <c r="N197" s="34"/>
      <c r="O197" s="173"/>
    </row>
    <row r="198" spans="1:15" ht="14.25">
      <c r="A198" s="34"/>
      <c r="B198" s="850" t="s">
        <v>250</v>
      </c>
      <c r="C198" s="851">
        <v>53</v>
      </c>
      <c r="D198" s="852" t="s">
        <v>16</v>
      </c>
      <c r="E198" s="34"/>
      <c r="F198" s="853" t="s">
        <v>279</v>
      </c>
      <c r="G198" s="854">
        <v>0</v>
      </c>
      <c r="H198" s="855" t="s">
        <v>20</v>
      </c>
      <c r="I198" s="34"/>
      <c r="J198" s="173"/>
      <c r="K198" s="34"/>
      <c r="L198" s="34"/>
      <c r="M198" s="34"/>
      <c r="N198" s="34"/>
      <c r="O198" s="173"/>
    </row>
    <row r="199" spans="1:15" ht="14.25">
      <c r="A199" s="34"/>
      <c r="B199" s="850" t="s">
        <v>336</v>
      </c>
      <c r="C199" s="851">
        <v>53</v>
      </c>
      <c r="D199" s="852" t="s">
        <v>13</v>
      </c>
      <c r="E199" s="34"/>
      <c r="F199" s="853" t="s">
        <v>279</v>
      </c>
      <c r="G199" s="854">
        <v>0</v>
      </c>
      <c r="H199" s="855" t="s">
        <v>20</v>
      </c>
      <c r="I199" s="34"/>
      <c r="J199" s="173"/>
      <c r="K199" s="34"/>
      <c r="L199" s="34"/>
      <c r="M199" s="34"/>
      <c r="N199" s="34"/>
      <c r="O199" s="173"/>
    </row>
    <row r="200" spans="1:15" ht="14.25">
      <c r="A200" s="34"/>
      <c r="B200" s="850" t="s">
        <v>373</v>
      </c>
      <c r="C200" s="851">
        <v>53</v>
      </c>
      <c r="D200" s="852" t="s">
        <v>21</v>
      </c>
      <c r="E200" s="34"/>
      <c r="F200" s="853" t="s">
        <v>225</v>
      </c>
      <c r="G200" s="854">
        <v>0</v>
      </c>
      <c r="H200" s="855" t="s">
        <v>20</v>
      </c>
      <c r="I200" s="34"/>
      <c r="J200" s="173"/>
      <c r="K200" s="34"/>
      <c r="L200" s="34"/>
      <c r="M200" s="34"/>
      <c r="N200" s="34"/>
      <c r="O200" s="173"/>
    </row>
    <row r="201" spans="1:15" ht="14.25">
      <c r="A201" s="34"/>
      <c r="B201" s="850" t="s">
        <v>194</v>
      </c>
      <c r="C201" s="851">
        <v>53</v>
      </c>
      <c r="D201" s="852" t="s">
        <v>25</v>
      </c>
      <c r="E201" s="34"/>
      <c r="F201" s="853" t="s">
        <v>225</v>
      </c>
      <c r="G201" s="854">
        <v>0</v>
      </c>
      <c r="H201" s="855" t="s">
        <v>20</v>
      </c>
      <c r="I201" s="34"/>
      <c r="J201" s="173"/>
      <c r="K201" s="34"/>
      <c r="L201" s="34"/>
      <c r="M201" s="34"/>
      <c r="N201" s="34"/>
      <c r="O201" s="173"/>
    </row>
    <row r="202" spans="1:15" ht="14.25">
      <c r="A202" s="34"/>
      <c r="B202" s="850" t="s">
        <v>273</v>
      </c>
      <c r="C202" s="851">
        <v>53</v>
      </c>
      <c r="D202" s="852" t="s">
        <v>20</v>
      </c>
      <c r="E202" s="34"/>
      <c r="F202" s="853" t="s">
        <v>365</v>
      </c>
      <c r="G202" s="854">
        <v>2</v>
      </c>
      <c r="H202" s="855" t="s">
        <v>20</v>
      </c>
      <c r="I202" s="34"/>
      <c r="J202" s="173"/>
      <c r="K202" s="34"/>
      <c r="L202" s="34"/>
      <c r="M202" s="34"/>
      <c r="N202" s="34"/>
      <c r="O202" s="173"/>
    </row>
    <row r="203" spans="1:15" ht="14.25">
      <c r="A203" s="34"/>
      <c r="B203" s="850" t="s">
        <v>380</v>
      </c>
      <c r="C203" s="851">
        <v>53</v>
      </c>
      <c r="D203" s="852" t="s">
        <v>8</v>
      </c>
      <c r="E203" s="34"/>
      <c r="F203" s="853" t="s">
        <v>365</v>
      </c>
      <c r="G203" s="854">
        <v>2</v>
      </c>
      <c r="H203" s="855" t="s">
        <v>20</v>
      </c>
      <c r="I203" s="34"/>
      <c r="J203" s="173"/>
      <c r="K203" s="34"/>
      <c r="L203" s="34"/>
      <c r="M203" s="34"/>
      <c r="N203" s="34"/>
      <c r="O203" s="173"/>
    </row>
    <row r="204" spans="1:15" ht="14.25">
      <c r="A204" s="34"/>
      <c r="B204" s="850" t="s">
        <v>323</v>
      </c>
      <c r="C204" s="851">
        <v>53</v>
      </c>
      <c r="D204" s="852" t="s">
        <v>18</v>
      </c>
      <c r="E204" s="34"/>
      <c r="F204" s="853" t="s">
        <v>300</v>
      </c>
      <c r="G204" s="854">
        <v>4</v>
      </c>
      <c r="H204" s="855" t="s">
        <v>20</v>
      </c>
      <c r="I204" s="34"/>
      <c r="J204" s="173"/>
      <c r="K204" s="34"/>
      <c r="L204" s="34"/>
      <c r="M204" s="34"/>
      <c r="N204" s="34"/>
      <c r="O204" s="173"/>
    </row>
    <row r="205" spans="1:15" ht="14.25">
      <c r="A205" s="34"/>
      <c r="B205" s="850" t="s">
        <v>327</v>
      </c>
      <c r="C205" s="851">
        <v>53</v>
      </c>
      <c r="D205" s="852" t="s">
        <v>26</v>
      </c>
      <c r="E205" s="34"/>
      <c r="F205" s="853" t="s">
        <v>300</v>
      </c>
      <c r="G205" s="854">
        <v>4</v>
      </c>
      <c r="H205" s="855" t="s">
        <v>20</v>
      </c>
      <c r="I205" s="34"/>
      <c r="J205" s="173"/>
      <c r="K205" s="34"/>
      <c r="L205" s="34"/>
      <c r="M205" s="34"/>
      <c r="N205" s="34"/>
      <c r="O205" s="173"/>
    </row>
    <row r="206" spans="1:15" ht="14.25">
      <c r="A206" s="34"/>
      <c r="B206" s="850" t="s">
        <v>229</v>
      </c>
      <c r="C206" s="851">
        <v>53</v>
      </c>
      <c r="D206" s="852" t="s">
        <v>11</v>
      </c>
      <c r="E206" s="34"/>
      <c r="F206" s="853" t="s">
        <v>283</v>
      </c>
      <c r="G206" s="854">
        <v>6</v>
      </c>
      <c r="H206" s="855" t="s">
        <v>20</v>
      </c>
      <c r="I206" s="34"/>
      <c r="J206" s="173"/>
      <c r="K206" s="34"/>
      <c r="L206" s="34"/>
      <c r="M206" s="34"/>
      <c r="N206" s="34"/>
      <c r="O206" s="173"/>
    </row>
    <row r="207" spans="1:15" ht="14.25">
      <c r="A207" s="34"/>
      <c r="B207" s="850" t="s">
        <v>250</v>
      </c>
      <c r="C207" s="851">
        <v>54</v>
      </c>
      <c r="D207" s="852" t="s">
        <v>16</v>
      </c>
      <c r="E207" s="34"/>
      <c r="F207" s="853" t="s">
        <v>283</v>
      </c>
      <c r="G207" s="854">
        <v>6</v>
      </c>
      <c r="H207" s="855" t="s">
        <v>20</v>
      </c>
      <c r="I207" s="34"/>
      <c r="J207" s="173"/>
      <c r="K207" s="34"/>
      <c r="L207" s="34"/>
      <c r="M207" s="34"/>
      <c r="N207" s="34"/>
      <c r="O207" s="173"/>
    </row>
    <row r="208" spans="1:15" ht="14.25">
      <c r="A208" s="34"/>
      <c r="B208" s="850" t="s">
        <v>336</v>
      </c>
      <c r="C208" s="851">
        <v>54</v>
      </c>
      <c r="D208" s="852" t="s">
        <v>13</v>
      </c>
      <c r="E208" s="34"/>
      <c r="F208" s="853" t="s">
        <v>399</v>
      </c>
      <c r="G208" s="854">
        <v>8</v>
      </c>
      <c r="H208" s="855" t="s">
        <v>20</v>
      </c>
      <c r="I208" s="34"/>
      <c r="J208" s="173"/>
      <c r="K208" s="34"/>
      <c r="L208" s="34"/>
      <c r="M208" s="34"/>
      <c r="N208" s="34"/>
      <c r="O208" s="173"/>
    </row>
    <row r="209" spans="1:15" ht="14.25">
      <c r="A209" s="34"/>
      <c r="B209" s="850" t="s">
        <v>373</v>
      </c>
      <c r="C209" s="851">
        <v>54</v>
      </c>
      <c r="D209" s="852" t="s">
        <v>21</v>
      </c>
      <c r="E209" s="34"/>
      <c r="F209" s="853" t="s">
        <v>399</v>
      </c>
      <c r="G209" s="854">
        <v>8</v>
      </c>
      <c r="H209" s="855" t="s">
        <v>20</v>
      </c>
      <c r="I209" s="34"/>
      <c r="J209" s="173"/>
      <c r="K209" s="34"/>
      <c r="L209" s="34"/>
      <c r="M209" s="34"/>
      <c r="N209" s="34"/>
      <c r="O209" s="173"/>
    </row>
    <row r="210" spans="1:15" ht="14.25">
      <c r="A210" s="34"/>
      <c r="B210" s="850" t="s">
        <v>194</v>
      </c>
      <c r="C210" s="851">
        <v>54</v>
      </c>
      <c r="D210" s="852" t="s">
        <v>25</v>
      </c>
      <c r="E210" s="34"/>
      <c r="F210" s="853" t="s">
        <v>406</v>
      </c>
      <c r="G210" s="854">
        <v>10</v>
      </c>
      <c r="H210" s="855" t="s">
        <v>20</v>
      </c>
      <c r="I210" s="34"/>
      <c r="J210" s="173"/>
      <c r="K210" s="34"/>
      <c r="L210" s="34"/>
      <c r="M210" s="34"/>
      <c r="N210" s="34"/>
      <c r="O210" s="173"/>
    </row>
    <row r="211" spans="1:15" ht="14.25">
      <c r="A211" s="34"/>
      <c r="B211" s="850" t="s">
        <v>273</v>
      </c>
      <c r="C211" s="851">
        <v>54</v>
      </c>
      <c r="D211" s="852" t="s">
        <v>20</v>
      </c>
      <c r="E211" s="34"/>
      <c r="F211" s="853" t="s">
        <v>406</v>
      </c>
      <c r="G211" s="854">
        <v>10</v>
      </c>
      <c r="H211" s="855" t="s">
        <v>20</v>
      </c>
      <c r="I211" s="34"/>
      <c r="J211" s="173"/>
      <c r="K211" s="34"/>
      <c r="L211" s="34"/>
      <c r="M211" s="34"/>
      <c r="N211" s="34"/>
      <c r="O211" s="173"/>
    </row>
    <row r="212" spans="1:15" ht="14.25">
      <c r="A212" s="34"/>
      <c r="B212" s="850" t="s">
        <v>380</v>
      </c>
      <c r="C212" s="851">
        <v>54</v>
      </c>
      <c r="D212" s="852" t="s">
        <v>8</v>
      </c>
      <c r="E212" s="34"/>
      <c r="F212" s="853" t="s">
        <v>145</v>
      </c>
      <c r="G212" s="854">
        <v>0</v>
      </c>
      <c r="H212" s="855" t="s">
        <v>21</v>
      </c>
      <c r="I212" s="34"/>
      <c r="J212" s="173"/>
      <c r="K212" s="34"/>
      <c r="L212" s="34"/>
      <c r="M212" s="34"/>
      <c r="N212" s="34"/>
      <c r="O212" s="173"/>
    </row>
    <row r="213" spans="1:15" ht="14.25">
      <c r="A213" s="34"/>
      <c r="B213" s="850" t="s">
        <v>323</v>
      </c>
      <c r="C213" s="851">
        <v>54</v>
      </c>
      <c r="D213" s="852" t="s">
        <v>18</v>
      </c>
      <c r="E213" s="34"/>
      <c r="F213" s="853" t="s">
        <v>145</v>
      </c>
      <c r="G213" s="854">
        <v>0</v>
      </c>
      <c r="H213" s="855" t="s">
        <v>21</v>
      </c>
      <c r="I213" s="34"/>
      <c r="J213" s="173"/>
      <c r="K213" s="34"/>
      <c r="L213" s="34"/>
      <c r="M213" s="34"/>
      <c r="N213" s="34"/>
      <c r="O213" s="173"/>
    </row>
    <row r="214" spans="1:15" ht="14.25">
      <c r="A214" s="34"/>
      <c r="B214" s="850" t="s">
        <v>327</v>
      </c>
      <c r="C214" s="851">
        <v>54</v>
      </c>
      <c r="D214" s="852" t="s">
        <v>26</v>
      </c>
      <c r="E214" s="34"/>
      <c r="F214" s="853" t="s">
        <v>189</v>
      </c>
      <c r="G214" s="854">
        <v>0</v>
      </c>
      <c r="H214" s="855" t="s">
        <v>21</v>
      </c>
      <c r="I214" s="34"/>
      <c r="J214" s="173"/>
      <c r="K214" s="34"/>
      <c r="L214" s="34"/>
      <c r="M214" s="34"/>
      <c r="N214" s="34"/>
      <c r="O214" s="173"/>
    </row>
    <row r="215" spans="1:15" ht="14.25">
      <c r="A215" s="34"/>
      <c r="B215" s="850" t="s">
        <v>229</v>
      </c>
      <c r="C215" s="851">
        <v>54</v>
      </c>
      <c r="D215" s="852" t="s">
        <v>11</v>
      </c>
      <c r="E215" s="34"/>
      <c r="F215" s="853" t="s">
        <v>189</v>
      </c>
      <c r="G215" s="854">
        <v>0</v>
      </c>
      <c r="H215" s="855" t="s">
        <v>21</v>
      </c>
      <c r="I215" s="34"/>
      <c r="J215" s="173"/>
      <c r="K215" s="34"/>
      <c r="L215" s="34"/>
      <c r="M215" s="34"/>
      <c r="N215" s="34"/>
      <c r="O215" s="173"/>
    </row>
    <row r="216" spans="1:15" ht="14.25">
      <c r="A216" s="34"/>
      <c r="B216" s="850" t="s">
        <v>370</v>
      </c>
      <c r="C216" s="851">
        <v>55</v>
      </c>
      <c r="D216" s="852" t="s">
        <v>21</v>
      </c>
      <c r="E216" s="34"/>
      <c r="F216" s="853" t="s">
        <v>306</v>
      </c>
      <c r="G216" s="854">
        <v>0</v>
      </c>
      <c r="H216" s="855" t="s">
        <v>21</v>
      </c>
      <c r="I216" s="34"/>
      <c r="J216" s="173"/>
      <c r="K216" s="34"/>
      <c r="L216" s="34"/>
      <c r="M216" s="34"/>
      <c r="N216" s="34"/>
      <c r="O216" s="173"/>
    </row>
    <row r="217" spans="1:15" ht="14.25">
      <c r="A217" s="34"/>
      <c r="B217" s="850" t="s">
        <v>333</v>
      </c>
      <c r="C217" s="851">
        <v>55</v>
      </c>
      <c r="D217" s="852" t="s">
        <v>26</v>
      </c>
      <c r="E217" s="34"/>
      <c r="F217" s="853" t="s">
        <v>306</v>
      </c>
      <c r="G217" s="854">
        <v>0</v>
      </c>
      <c r="H217" s="855" t="s">
        <v>21</v>
      </c>
      <c r="I217" s="34"/>
      <c r="J217" s="173"/>
      <c r="K217" s="34"/>
      <c r="L217" s="34"/>
      <c r="M217" s="34"/>
      <c r="N217" s="34"/>
      <c r="O217" s="173"/>
    </row>
    <row r="218" spans="1:15" ht="14.25">
      <c r="A218" s="34"/>
      <c r="B218" s="850" t="s">
        <v>371</v>
      </c>
      <c r="C218" s="851">
        <v>55</v>
      </c>
      <c r="D218" s="852" t="s">
        <v>18</v>
      </c>
      <c r="E218" s="34"/>
      <c r="F218" s="853" t="s">
        <v>222</v>
      </c>
      <c r="G218" s="854">
        <v>0</v>
      </c>
      <c r="H218" s="855" t="s">
        <v>21</v>
      </c>
      <c r="I218" s="34"/>
      <c r="J218" s="173"/>
      <c r="K218" s="34"/>
      <c r="L218" s="34"/>
      <c r="M218" s="34"/>
      <c r="N218" s="34"/>
      <c r="O218" s="173"/>
    </row>
    <row r="219" spans="1:15" ht="14.25">
      <c r="A219" s="34"/>
      <c r="B219" s="850" t="s">
        <v>308</v>
      </c>
      <c r="C219" s="851">
        <v>55</v>
      </c>
      <c r="D219" s="852" t="s">
        <v>13</v>
      </c>
      <c r="E219" s="34"/>
      <c r="F219" s="853" t="s">
        <v>222</v>
      </c>
      <c r="G219" s="854">
        <v>0</v>
      </c>
      <c r="H219" s="855" t="s">
        <v>21</v>
      </c>
      <c r="I219" s="34"/>
      <c r="J219" s="173"/>
      <c r="K219" s="34"/>
      <c r="L219" s="34"/>
      <c r="M219" s="34"/>
      <c r="N219" s="34"/>
      <c r="O219" s="173"/>
    </row>
    <row r="220" spans="1:15" ht="14.25">
      <c r="A220" s="34"/>
      <c r="B220" s="850" t="s">
        <v>351</v>
      </c>
      <c r="C220" s="851">
        <v>55</v>
      </c>
      <c r="D220" s="852" t="s">
        <v>25</v>
      </c>
      <c r="E220" s="34"/>
      <c r="F220" s="853" t="s">
        <v>289</v>
      </c>
      <c r="G220" s="854">
        <v>0</v>
      </c>
      <c r="H220" s="855" t="s">
        <v>21</v>
      </c>
      <c r="I220" s="34"/>
      <c r="J220" s="173"/>
      <c r="K220" s="34"/>
      <c r="L220" s="34"/>
      <c r="M220" s="34"/>
      <c r="N220" s="34"/>
      <c r="O220" s="173"/>
    </row>
    <row r="221" spans="1:15" ht="14.25">
      <c r="A221" s="34"/>
      <c r="B221" s="850" t="s">
        <v>315</v>
      </c>
      <c r="C221" s="851">
        <v>55</v>
      </c>
      <c r="D221" s="852" t="s">
        <v>11</v>
      </c>
      <c r="E221" s="34"/>
      <c r="F221" s="853" t="s">
        <v>289</v>
      </c>
      <c r="G221" s="854">
        <v>0</v>
      </c>
      <c r="H221" s="855" t="s">
        <v>21</v>
      </c>
      <c r="I221" s="34"/>
      <c r="J221" s="173"/>
      <c r="K221" s="34"/>
      <c r="L221" s="34"/>
      <c r="M221" s="34"/>
      <c r="N221" s="34"/>
      <c r="O221" s="173"/>
    </row>
    <row r="222" spans="1:15" ht="14.25">
      <c r="A222" s="34"/>
      <c r="B222" s="850" t="s">
        <v>278</v>
      </c>
      <c r="C222" s="851">
        <v>55</v>
      </c>
      <c r="D222" s="852" t="s">
        <v>8</v>
      </c>
      <c r="E222" s="34"/>
      <c r="F222" s="853" t="s">
        <v>368</v>
      </c>
      <c r="G222" s="854">
        <v>2</v>
      </c>
      <c r="H222" s="855" t="s">
        <v>21</v>
      </c>
      <c r="I222" s="34"/>
      <c r="J222" s="173"/>
      <c r="K222" s="34"/>
      <c r="L222" s="34"/>
      <c r="M222" s="34"/>
      <c r="N222" s="34"/>
      <c r="O222" s="173"/>
    </row>
    <row r="223" spans="1:15" ht="14.25">
      <c r="A223" s="34"/>
      <c r="B223" s="850" t="s">
        <v>355</v>
      </c>
      <c r="C223" s="851">
        <v>55</v>
      </c>
      <c r="D223" s="852" t="s">
        <v>16</v>
      </c>
      <c r="E223" s="34"/>
      <c r="F223" s="853" t="s">
        <v>368</v>
      </c>
      <c r="G223" s="854">
        <v>2</v>
      </c>
      <c r="H223" s="855" t="s">
        <v>21</v>
      </c>
      <c r="I223" s="34"/>
      <c r="J223" s="173"/>
      <c r="K223" s="34"/>
      <c r="L223" s="34"/>
      <c r="M223" s="34"/>
      <c r="N223" s="34"/>
      <c r="O223" s="173"/>
    </row>
    <row r="224" spans="1:15" ht="14.25">
      <c r="A224" s="34"/>
      <c r="B224" s="850" t="s">
        <v>241</v>
      </c>
      <c r="C224" s="851">
        <v>55</v>
      </c>
      <c r="D224" s="852" t="s">
        <v>20</v>
      </c>
      <c r="E224" s="34"/>
      <c r="F224" s="853" t="s">
        <v>256</v>
      </c>
      <c r="G224" s="854">
        <v>4</v>
      </c>
      <c r="H224" s="855" t="s">
        <v>21</v>
      </c>
      <c r="I224" s="34"/>
      <c r="J224" s="173"/>
      <c r="K224" s="34"/>
      <c r="L224" s="34"/>
      <c r="M224" s="34"/>
      <c r="N224" s="34"/>
      <c r="O224" s="173"/>
    </row>
    <row r="225" spans="1:15" ht="14.25">
      <c r="A225" s="34"/>
      <c r="B225" s="850" t="s">
        <v>370</v>
      </c>
      <c r="C225" s="851">
        <v>56</v>
      </c>
      <c r="D225" s="852" t="s">
        <v>21</v>
      </c>
      <c r="E225" s="34"/>
      <c r="F225" s="853" t="s">
        <v>256</v>
      </c>
      <c r="G225" s="854">
        <v>4</v>
      </c>
      <c r="H225" s="855" t="s">
        <v>21</v>
      </c>
      <c r="I225" s="34"/>
      <c r="J225" s="173"/>
      <c r="K225" s="34"/>
      <c r="L225" s="34"/>
      <c r="M225" s="34"/>
      <c r="N225" s="34"/>
      <c r="O225" s="173"/>
    </row>
    <row r="226" spans="1:15" ht="14.25">
      <c r="A226" s="34"/>
      <c r="B226" s="850" t="s">
        <v>333</v>
      </c>
      <c r="C226" s="851">
        <v>56</v>
      </c>
      <c r="D226" s="852" t="s">
        <v>26</v>
      </c>
      <c r="E226" s="34"/>
      <c r="F226" s="853" t="s">
        <v>161</v>
      </c>
      <c r="G226" s="854">
        <v>6</v>
      </c>
      <c r="H226" s="855" t="s">
        <v>21</v>
      </c>
      <c r="I226" s="34"/>
      <c r="J226" s="173"/>
      <c r="K226" s="34"/>
      <c r="L226" s="34"/>
      <c r="M226" s="34"/>
      <c r="N226" s="34"/>
      <c r="O226" s="173"/>
    </row>
    <row r="227" spans="1:15" ht="14.25">
      <c r="A227" s="34"/>
      <c r="B227" s="850" t="s">
        <v>371</v>
      </c>
      <c r="C227" s="851">
        <v>56</v>
      </c>
      <c r="D227" s="852" t="s">
        <v>18</v>
      </c>
      <c r="E227" s="34"/>
      <c r="F227" s="853" t="s">
        <v>161</v>
      </c>
      <c r="G227" s="854">
        <v>6</v>
      </c>
      <c r="H227" s="855" t="s">
        <v>21</v>
      </c>
      <c r="I227" s="34"/>
      <c r="J227" s="173"/>
      <c r="K227" s="34"/>
      <c r="L227" s="34"/>
      <c r="M227" s="34"/>
      <c r="N227" s="34"/>
      <c r="O227" s="173"/>
    </row>
    <row r="228" spans="1:15" ht="14.25">
      <c r="A228" s="34"/>
      <c r="B228" s="850" t="s">
        <v>308</v>
      </c>
      <c r="C228" s="851">
        <v>56</v>
      </c>
      <c r="D228" s="852" t="s">
        <v>13</v>
      </c>
      <c r="E228" s="34"/>
      <c r="F228" s="853" t="s">
        <v>362</v>
      </c>
      <c r="G228" s="854">
        <v>8</v>
      </c>
      <c r="H228" s="855" t="s">
        <v>21</v>
      </c>
      <c r="I228" s="34"/>
      <c r="J228" s="173"/>
      <c r="K228" s="34"/>
      <c r="L228" s="34"/>
      <c r="M228" s="34"/>
      <c r="N228" s="34"/>
      <c r="O228" s="173"/>
    </row>
    <row r="229" spans="1:15" ht="14.25">
      <c r="A229" s="34"/>
      <c r="B229" s="850" t="s">
        <v>351</v>
      </c>
      <c r="C229" s="851">
        <v>56</v>
      </c>
      <c r="D229" s="852" t="s">
        <v>25</v>
      </c>
      <c r="E229" s="34"/>
      <c r="F229" s="853" t="s">
        <v>362</v>
      </c>
      <c r="G229" s="854">
        <v>8</v>
      </c>
      <c r="H229" s="855" t="s">
        <v>21</v>
      </c>
      <c r="I229" s="34"/>
      <c r="J229" s="173"/>
      <c r="K229" s="34"/>
      <c r="L229" s="34"/>
      <c r="M229" s="34"/>
      <c r="N229" s="34"/>
      <c r="O229" s="173"/>
    </row>
    <row r="230" spans="1:15" ht="14.25">
      <c r="A230" s="34"/>
      <c r="B230" s="850" t="s">
        <v>315</v>
      </c>
      <c r="C230" s="851">
        <v>56</v>
      </c>
      <c r="D230" s="852" t="s">
        <v>11</v>
      </c>
      <c r="E230" s="34"/>
      <c r="F230" s="853" t="s">
        <v>392</v>
      </c>
      <c r="G230" s="854">
        <v>10</v>
      </c>
      <c r="H230" s="855" t="s">
        <v>21</v>
      </c>
      <c r="I230" s="34"/>
      <c r="J230" s="173"/>
      <c r="K230" s="34"/>
      <c r="L230" s="34"/>
      <c r="M230" s="34"/>
      <c r="N230" s="34"/>
      <c r="O230" s="173"/>
    </row>
    <row r="231" spans="1:15" ht="14.25">
      <c r="A231" s="34"/>
      <c r="B231" s="850" t="s">
        <v>278</v>
      </c>
      <c r="C231" s="851">
        <v>56</v>
      </c>
      <c r="D231" s="852" t="s">
        <v>8</v>
      </c>
      <c r="E231" s="34"/>
      <c r="F231" s="853" t="s">
        <v>392</v>
      </c>
      <c r="G231" s="854">
        <v>10</v>
      </c>
      <c r="H231" s="855" t="s">
        <v>21</v>
      </c>
      <c r="I231" s="34"/>
      <c r="J231" s="173"/>
      <c r="K231" s="34"/>
      <c r="L231" s="34"/>
      <c r="M231" s="34"/>
      <c r="N231" s="34"/>
      <c r="O231" s="173"/>
    </row>
    <row r="232" spans="1:15" ht="14.25">
      <c r="A232" s="34"/>
      <c r="B232" s="850" t="s">
        <v>355</v>
      </c>
      <c r="C232" s="851">
        <v>56</v>
      </c>
      <c r="D232" s="852" t="s">
        <v>16</v>
      </c>
      <c r="E232" s="34"/>
      <c r="F232" s="853" t="s">
        <v>298</v>
      </c>
      <c r="G232" s="854">
        <v>0</v>
      </c>
      <c r="H232" s="855" t="s">
        <v>25</v>
      </c>
      <c r="I232" s="34"/>
      <c r="J232" s="173"/>
      <c r="K232" s="34"/>
      <c r="L232" s="34"/>
      <c r="M232" s="34"/>
      <c r="N232" s="34"/>
      <c r="O232" s="173"/>
    </row>
    <row r="233" spans="1:15" ht="14.25">
      <c r="A233" s="34"/>
      <c r="B233" s="850" t="s">
        <v>241</v>
      </c>
      <c r="C233" s="851">
        <v>56</v>
      </c>
      <c r="D233" s="852" t="s">
        <v>20</v>
      </c>
      <c r="E233" s="34"/>
      <c r="F233" s="853" t="s">
        <v>298</v>
      </c>
      <c r="G233" s="854">
        <v>0</v>
      </c>
      <c r="H233" s="855" t="s">
        <v>25</v>
      </c>
      <c r="I233" s="34"/>
      <c r="J233" s="173"/>
      <c r="K233" s="34"/>
      <c r="L233" s="34"/>
      <c r="M233" s="34"/>
      <c r="N233" s="34"/>
      <c r="O233" s="173"/>
    </row>
    <row r="234" spans="1:15" ht="14.25">
      <c r="A234" s="34"/>
      <c r="B234" s="850" t="s">
        <v>245</v>
      </c>
      <c r="C234" s="851">
        <v>57</v>
      </c>
      <c r="D234" s="852" t="s">
        <v>20</v>
      </c>
      <c r="E234" s="34"/>
      <c r="F234" s="853" t="s">
        <v>343</v>
      </c>
      <c r="G234" s="854">
        <v>0</v>
      </c>
      <c r="H234" s="855" t="s">
        <v>25</v>
      </c>
      <c r="I234" s="34"/>
      <c r="J234" s="173"/>
      <c r="K234" s="34"/>
      <c r="L234" s="34"/>
      <c r="M234" s="34"/>
      <c r="N234" s="34"/>
      <c r="O234" s="173"/>
    </row>
    <row r="235" spans="1:15" ht="14.25">
      <c r="A235" s="34"/>
      <c r="B235" s="850" t="s">
        <v>388</v>
      </c>
      <c r="C235" s="851">
        <v>57</v>
      </c>
      <c r="D235" s="852" t="s">
        <v>13</v>
      </c>
      <c r="E235" s="34"/>
      <c r="F235" s="853" t="s">
        <v>343</v>
      </c>
      <c r="G235" s="854">
        <v>0</v>
      </c>
      <c r="H235" s="855" t="s">
        <v>25</v>
      </c>
      <c r="I235" s="34"/>
      <c r="J235" s="173"/>
      <c r="K235" s="34"/>
      <c r="L235" s="34"/>
      <c r="M235" s="34"/>
      <c r="N235" s="34"/>
      <c r="O235" s="173"/>
    </row>
    <row r="236" spans="1:15" ht="14.25">
      <c r="A236" s="34"/>
      <c r="B236" s="850" t="s">
        <v>249</v>
      </c>
      <c r="C236" s="851">
        <v>57</v>
      </c>
      <c r="D236" s="852" t="s">
        <v>11</v>
      </c>
      <c r="E236" s="34"/>
      <c r="F236" s="853" t="s">
        <v>319</v>
      </c>
      <c r="G236" s="854">
        <v>0</v>
      </c>
      <c r="H236" s="855" t="s">
        <v>25</v>
      </c>
      <c r="I236" s="34"/>
      <c r="J236" s="173"/>
      <c r="K236" s="34"/>
      <c r="L236" s="34"/>
      <c r="M236" s="34"/>
      <c r="N236" s="34"/>
      <c r="O236" s="173"/>
    </row>
    <row r="237" spans="1:15" ht="14.25">
      <c r="A237" s="34"/>
      <c r="B237" s="850" t="s">
        <v>181</v>
      </c>
      <c r="C237" s="851">
        <v>57</v>
      </c>
      <c r="D237" s="852" t="s">
        <v>8</v>
      </c>
      <c r="E237" s="34"/>
      <c r="F237" s="853" t="s">
        <v>319</v>
      </c>
      <c r="G237" s="854">
        <v>0</v>
      </c>
      <c r="H237" s="855" t="s">
        <v>25</v>
      </c>
      <c r="I237" s="34"/>
      <c r="J237" s="173"/>
      <c r="K237" s="34"/>
      <c r="L237" s="34"/>
      <c r="M237" s="34"/>
      <c r="N237" s="34"/>
      <c r="O237" s="173"/>
    </row>
    <row r="238" spans="1:15" ht="14.25">
      <c r="A238" s="34"/>
      <c r="B238" s="850" t="s">
        <v>261</v>
      </c>
      <c r="C238" s="851">
        <v>57</v>
      </c>
      <c r="D238" s="852" t="s">
        <v>21</v>
      </c>
      <c r="E238" s="34"/>
      <c r="F238" s="853" t="s">
        <v>285</v>
      </c>
      <c r="G238" s="854">
        <v>0</v>
      </c>
      <c r="H238" s="855" t="s">
        <v>25</v>
      </c>
      <c r="I238" s="34"/>
      <c r="J238" s="173"/>
      <c r="K238" s="34"/>
      <c r="L238" s="34"/>
      <c r="M238" s="34"/>
      <c r="N238" s="34"/>
      <c r="O238" s="173"/>
    </row>
    <row r="239" spans="1:15" ht="14.25">
      <c r="A239" s="34"/>
      <c r="B239" s="850" t="s">
        <v>340</v>
      </c>
      <c r="C239" s="851">
        <v>57</v>
      </c>
      <c r="D239" s="852" t="s">
        <v>18</v>
      </c>
      <c r="E239" s="34"/>
      <c r="F239" s="853" t="s">
        <v>285</v>
      </c>
      <c r="G239" s="854">
        <v>0</v>
      </c>
      <c r="H239" s="855" t="s">
        <v>25</v>
      </c>
      <c r="I239" s="34"/>
      <c r="J239" s="173"/>
      <c r="K239" s="34"/>
      <c r="L239" s="34"/>
      <c r="M239" s="34"/>
      <c r="N239" s="34"/>
      <c r="O239" s="173"/>
    </row>
    <row r="240" spans="1:15" ht="14.25">
      <c r="A240" s="34"/>
      <c r="B240" s="850" t="s">
        <v>191</v>
      </c>
      <c r="C240" s="851">
        <v>57</v>
      </c>
      <c r="D240" s="852" t="s">
        <v>16</v>
      </c>
      <c r="E240" s="34"/>
      <c r="F240" s="853" t="s">
        <v>238</v>
      </c>
      <c r="G240" s="854">
        <v>0</v>
      </c>
      <c r="H240" s="855" t="s">
        <v>25</v>
      </c>
      <c r="I240" s="34"/>
      <c r="J240" s="173"/>
      <c r="K240" s="34"/>
      <c r="L240" s="34"/>
      <c r="M240" s="34"/>
      <c r="N240" s="34"/>
      <c r="O240" s="173"/>
    </row>
    <row r="241" spans="1:15" ht="14.25">
      <c r="A241" s="34"/>
      <c r="B241" s="850" t="s">
        <v>375</v>
      </c>
      <c r="C241" s="851">
        <v>57</v>
      </c>
      <c r="D241" s="852" t="s">
        <v>25</v>
      </c>
      <c r="E241" s="34"/>
      <c r="F241" s="853" t="s">
        <v>238</v>
      </c>
      <c r="G241" s="854">
        <v>0</v>
      </c>
      <c r="H241" s="855" t="s">
        <v>25</v>
      </c>
      <c r="I241" s="34"/>
      <c r="J241" s="173"/>
      <c r="K241" s="34"/>
      <c r="L241" s="34"/>
      <c r="M241" s="34"/>
      <c r="N241" s="34"/>
      <c r="O241" s="173"/>
    </row>
    <row r="242" spans="1:15" ht="14.25">
      <c r="A242" s="34"/>
      <c r="B242" s="850" t="s">
        <v>313</v>
      </c>
      <c r="C242" s="851">
        <v>57</v>
      </c>
      <c r="D242" s="852" t="s">
        <v>26</v>
      </c>
      <c r="E242" s="34"/>
      <c r="F242" s="853" t="s">
        <v>175</v>
      </c>
      <c r="G242" s="854">
        <v>2</v>
      </c>
      <c r="H242" s="855" t="s">
        <v>25</v>
      </c>
      <c r="I242" s="34"/>
      <c r="J242" s="173"/>
      <c r="K242" s="34"/>
      <c r="L242" s="34"/>
      <c r="M242" s="34"/>
      <c r="N242" s="34"/>
      <c r="O242" s="173"/>
    </row>
    <row r="243" spans="1:15" ht="14.25">
      <c r="A243" s="34"/>
      <c r="B243" s="850" t="s">
        <v>245</v>
      </c>
      <c r="C243" s="851">
        <v>58</v>
      </c>
      <c r="D243" s="852" t="s">
        <v>20</v>
      </c>
      <c r="E243" s="34"/>
      <c r="F243" s="853" t="s">
        <v>175</v>
      </c>
      <c r="G243" s="854">
        <v>2</v>
      </c>
      <c r="H243" s="855" t="s">
        <v>25</v>
      </c>
      <c r="I243" s="34"/>
      <c r="J243" s="173"/>
      <c r="K243" s="34"/>
      <c r="L243" s="34"/>
      <c r="M243" s="34"/>
      <c r="N243" s="34"/>
      <c r="O243" s="173"/>
    </row>
    <row r="244" spans="1:15" ht="14.25">
      <c r="A244" s="34"/>
      <c r="B244" s="850" t="s">
        <v>388</v>
      </c>
      <c r="C244" s="851">
        <v>58</v>
      </c>
      <c r="D244" s="852" t="s">
        <v>13</v>
      </c>
      <c r="E244" s="34"/>
      <c r="F244" s="853" t="s">
        <v>212</v>
      </c>
      <c r="G244" s="854">
        <v>4</v>
      </c>
      <c r="H244" s="855" t="s">
        <v>25</v>
      </c>
      <c r="I244" s="34"/>
      <c r="J244" s="173"/>
      <c r="K244" s="34"/>
      <c r="L244" s="34"/>
      <c r="M244" s="34"/>
      <c r="N244" s="34"/>
      <c r="O244" s="173"/>
    </row>
    <row r="245" spans="1:15" ht="14.25">
      <c r="A245" s="34"/>
      <c r="B245" s="850" t="s">
        <v>249</v>
      </c>
      <c r="C245" s="851">
        <v>58</v>
      </c>
      <c r="D245" s="852" t="s">
        <v>11</v>
      </c>
      <c r="E245" s="34"/>
      <c r="F245" s="853" t="s">
        <v>212</v>
      </c>
      <c r="G245" s="854">
        <v>4</v>
      </c>
      <c r="H245" s="855" t="s">
        <v>25</v>
      </c>
      <c r="I245" s="34"/>
      <c r="J245" s="173"/>
      <c r="K245" s="34"/>
      <c r="L245" s="34"/>
      <c r="M245" s="34"/>
      <c r="N245" s="34"/>
      <c r="O245" s="173"/>
    </row>
    <row r="246" spans="1:15" ht="14.25">
      <c r="A246" s="34"/>
      <c r="B246" s="850" t="s">
        <v>181</v>
      </c>
      <c r="C246" s="851">
        <v>58</v>
      </c>
      <c r="D246" s="852" t="s">
        <v>8</v>
      </c>
      <c r="E246" s="34"/>
      <c r="F246" s="853" t="s">
        <v>227</v>
      </c>
      <c r="G246" s="854">
        <v>6</v>
      </c>
      <c r="H246" s="855" t="s">
        <v>25</v>
      </c>
      <c r="I246" s="34"/>
      <c r="J246" s="173"/>
      <c r="K246" s="34"/>
      <c r="L246" s="34"/>
      <c r="M246" s="34"/>
      <c r="N246" s="34"/>
      <c r="O246" s="173"/>
    </row>
    <row r="247" spans="1:15" ht="14.25">
      <c r="A247" s="34"/>
      <c r="B247" s="850" t="s">
        <v>261</v>
      </c>
      <c r="C247" s="851">
        <v>58</v>
      </c>
      <c r="D247" s="852" t="s">
        <v>21</v>
      </c>
      <c r="E247" s="34"/>
      <c r="F247" s="853" t="s">
        <v>227</v>
      </c>
      <c r="G247" s="854">
        <v>6</v>
      </c>
      <c r="H247" s="855" t="s">
        <v>25</v>
      </c>
      <c r="I247" s="34"/>
      <c r="J247" s="173"/>
      <c r="K247" s="34"/>
      <c r="L247" s="34"/>
      <c r="M247" s="34"/>
      <c r="N247" s="34"/>
      <c r="O247" s="173"/>
    </row>
    <row r="248" spans="1:15" ht="14.25">
      <c r="A248" s="34"/>
      <c r="B248" s="850" t="s">
        <v>340</v>
      </c>
      <c r="C248" s="851">
        <v>58</v>
      </c>
      <c r="D248" s="852" t="s">
        <v>18</v>
      </c>
      <c r="E248" s="34"/>
      <c r="F248" s="853" t="s">
        <v>158</v>
      </c>
      <c r="G248" s="854">
        <v>8</v>
      </c>
      <c r="H248" s="855" t="s">
        <v>25</v>
      </c>
      <c r="I248" s="34"/>
      <c r="J248" s="173"/>
      <c r="K248" s="34"/>
      <c r="L248" s="34"/>
      <c r="M248" s="34"/>
      <c r="N248" s="34"/>
      <c r="O248" s="173"/>
    </row>
    <row r="249" spans="1:15" ht="14.25">
      <c r="A249" s="34"/>
      <c r="B249" s="850" t="s">
        <v>191</v>
      </c>
      <c r="C249" s="851">
        <v>58</v>
      </c>
      <c r="D249" s="852" t="s">
        <v>16</v>
      </c>
      <c r="E249" s="34"/>
      <c r="F249" s="853" t="s">
        <v>158</v>
      </c>
      <c r="G249" s="854">
        <v>8</v>
      </c>
      <c r="H249" s="855" t="s">
        <v>25</v>
      </c>
      <c r="I249" s="34"/>
      <c r="J249" s="173"/>
      <c r="K249" s="34"/>
      <c r="L249" s="34"/>
      <c r="M249" s="34"/>
      <c r="N249" s="34"/>
      <c r="O249" s="173"/>
    </row>
    <row r="250" spans="1:15" ht="14.25">
      <c r="A250" s="34"/>
      <c r="B250" s="850" t="s">
        <v>375</v>
      </c>
      <c r="C250" s="851">
        <v>58</v>
      </c>
      <c r="D250" s="852" t="s">
        <v>25</v>
      </c>
      <c r="E250" s="34"/>
      <c r="F250" s="853" t="s">
        <v>390</v>
      </c>
      <c r="G250" s="854">
        <v>10</v>
      </c>
      <c r="H250" s="855" t="s">
        <v>25</v>
      </c>
      <c r="I250" s="34"/>
      <c r="J250" s="173"/>
      <c r="K250" s="34"/>
      <c r="L250" s="34"/>
      <c r="M250" s="34"/>
      <c r="N250" s="34"/>
      <c r="O250" s="173"/>
    </row>
    <row r="251" spans="1:15" ht="14.25">
      <c r="A251" s="34"/>
      <c r="B251" s="850" t="s">
        <v>313</v>
      </c>
      <c r="C251" s="851">
        <v>58</v>
      </c>
      <c r="D251" s="852" t="s">
        <v>26</v>
      </c>
      <c r="E251" s="34"/>
      <c r="F251" s="853" t="s">
        <v>390</v>
      </c>
      <c r="G251" s="854">
        <v>10</v>
      </c>
      <c r="H251" s="855" t="s">
        <v>25</v>
      </c>
      <c r="I251" s="34"/>
      <c r="J251" s="173"/>
      <c r="K251" s="34"/>
      <c r="L251" s="34"/>
      <c r="M251" s="34"/>
      <c r="N251" s="34"/>
      <c r="O251" s="173"/>
    </row>
    <row r="252" spans="1:15" ht="14.25">
      <c r="A252" s="34"/>
      <c r="B252" s="850" t="s">
        <v>297</v>
      </c>
      <c r="C252" s="851">
        <v>59</v>
      </c>
      <c r="D252" s="852" t="s">
        <v>13</v>
      </c>
      <c r="E252" s="34"/>
      <c r="F252" s="853" t="s">
        <v>295</v>
      </c>
      <c r="G252" s="854">
        <v>0</v>
      </c>
      <c r="H252" s="855" t="s">
        <v>26</v>
      </c>
      <c r="I252" s="34"/>
      <c r="J252" s="173"/>
      <c r="K252" s="34"/>
      <c r="L252" s="34"/>
      <c r="M252" s="34"/>
      <c r="N252" s="34"/>
      <c r="O252" s="173"/>
    </row>
    <row r="253" spans="1:15" ht="14.25">
      <c r="A253" s="34"/>
      <c r="B253" s="850" t="s">
        <v>309</v>
      </c>
      <c r="C253" s="851">
        <v>59</v>
      </c>
      <c r="D253" s="852" t="s">
        <v>11</v>
      </c>
      <c r="E253" s="34"/>
      <c r="F253" s="853" t="s">
        <v>295</v>
      </c>
      <c r="G253" s="854">
        <v>0</v>
      </c>
      <c r="H253" s="855" t="s">
        <v>26</v>
      </c>
      <c r="I253" s="34"/>
      <c r="J253" s="173"/>
      <c r="K253" s="34"/>
      <c r="L253" s="34"/>
      <c r="M253" s="34"/>
      <c r="N253" s="34"/>
      <c r="O253" s="173"/>
    </row>
    <row r="254" spans="1:15" ht="14.25">
      <c r="A254" s="34"/>
      <c r="B254" s="850" t="s">
        <v>266</v>
      </c>
      <c r="C254" s="851">
        <v>59</v>
      </c>
      <c r="D254" s="852" t="s">
        <v>25</v>
      </c>
      <c r="E254" s="34"/>
      <c r="F254" s="853" t="s">
        <v>186</v>
      </c>
      <c r="G254" s="854">
        <v>0</v>
      </c>
      <c r="H254" s="855" t="s">
        <v>26</v>
      </c>
      <c r="I254" s="34"/>
      <c r="J254" s="173"/>
      <c r="K254" s="34"/>
      <c r="L254" s="34"/>
      <c r="M254" s="34"/>
      <c r="N254" s="34"/>
      <c r="O254" s="173"/>
    </row>
    <row r="255" spans="1:15" ht="14.25">
      <c r="A255" s="34"/>
      <c r="B255" s="850" t="s">
        <v>394</v>
      </c>
      <c r="C255" s="851">
        <v>59</v>
      </c>
      <c r="D255" s="852" t="s">
        <v>18</v>
      </c>
      <c r="E255" s="34"/>
      <c r="F255" s="853" t="s">
        <v>186</v>
      </c>
      <c r="G255" s="854">
        <v>0</v>
      </c>
      <c r="H255" s="855" t="s">
        <v>26</v>
      </c>
      <c r="I255" s="34"/>
      <c r="J255" s="173"/>
      <c r="K255" s="34"/>
      <c r="L255" s="34"/>
      <c r="M255" s="34"/>
      <c r="N255" s="34"/>
      <c r="O255" s="173"/>
    </row>
    <row r="256" spans="1:15" ht="14.25">
      <c r="A256" s="34"/>
      <c r="B256" s="850" t="s">
        <v>276</v>
      </c>
      <c r="C256" s="851">
        <v>59</v>
      </c>
      <c r="D256" s="852" t="s">
        <v>8</v>
      </c>
      <c r="E256" s="34"/>
      <c r="F256" s="853" t="s">
        <v>255</v>
      </c>
      <c r="G256" s="854">
        <v>0</v>
      </c>
      <c r="H256" s="855" t="s">
        <v>26</v>
      </c>
      <c r="I256" s="34"/>
      <c r="J256" s="173"/>
      <c r="K256" s="34"/>
      <c r="L256" s="34"/>
      <c r="M256" s="34"/>
      <c r="N256" s="34"/>
      <c r="O256" s="173"/>
    </row>
    <row r="257" spans="1:15" ht="14.25">
      <c r="A257" s="34"/>
      <c r="B257" s="850" t="s">
        <v>395</v>
      </c>
      <c r="C257" s="851">
        <v>59</v>
      </c>
      <c r="D257" s="852" t="s">
        <v>21</v>
      </c>
      <c r="E257" s="34"/>
      <c r="F257" s="853" t="s">
        <v>255</v>
      </c>
      <c r="G257" s="854">
        <v>0</v>
      </c>
      <c r="H257" s="855" t="s">
        <v>26</v>
      </c>
      <c r="I257" s="34"/>
      <c r="J257" s="173"/>
      <c r="K257" s="34"/>
      <c r="L257" s="34"/>
      <c r="M257" s="34"/>
      <c r="N257" s="34"/>
      <c r="O257" s="173"/>
    </row>
    <row r="258" spans="1:15" ht="14.25">
      <c r="A258" s="34"/>
      <c r="B258" s="850" t="s">
        <v>354</v>
      </c>
      <c r="C258" s="851">
        <v>59</v>
      </c>
      <c r="D258" s="852" t="s">
        <v>20</v>
      </c>
      <c r="E258" s="34"/>
      <c r="F258" s="853" t="s">
        <v>328</v>
      </c>
      <c r="G258" s="854">
        <v>0</v>
      </c>
      <c r="H258" s="855" t="s">
        <v>26</v>
      </c>
      <c r="I258" s="34"/>
      <c r="J258" s="173"/>
      <c r="K258" s="34"/>
      <c r="L258" s="34"/>
      <c r="M258" s="34"/>
      <c r="N258" s="34"/>
      <c r="O258" s="173"/>
    </row>
    <row r="259" spans="1:15" ht="14.25">
      <c r="A259" s="34"/>
      <c r="B259" s="850" t="s">
        <v>408</v>
      </c>
      <c r="C259" s="851">
        <v>59</v>
      </c>
      <c r="D259" s="852" t="s">
        <v>16</v>
      </c>
      <c r="E259" s="34"/>
      <c r="F259" s="853" t="s">
        <v>328</v>
      </c>
      <c r="G259" s="854">
        <v>0</v>
      </c>
      <c r="H259" s="855" t="s">
        <v>26</v>
      </c>
      <c r="I259" s="34"/>
      <c r="J259" s="173"/>
      <c r="K259" s="34"/>
      <c r="L259" s="34"/>
      <c r="M259" s="34"/>
      <c r="N259" s="34"/>
      <c r="O259" s="173"/>
    </row>
    <row r="260" spans="1:15" ht="14.25">
      <c r="A260" s="34"/>
      <c r="B260" s="850" t="s">
        <v>330</v>
      </c>
      <c r="C260" s="851">
        <v>59</v>
      </c>
      <c r="D260" s="852" t="s">
        <v>26</v>
      </c>
      <c r="E260" s="34"/>
      <c r="F260" s="853" t="s">
        <v>251</v>
      </c>
      <c r="G260" s="854">
        <v>2</v>
      </c>
      <c r="H260" s="855" t="s">
        <v>26</v>
      </c>
      <c r="I260" s="34"/>
      <c r="J260" s="173"/>
      <c r="K260" s="34"/>
      <c r="L260" s="34"/>
      <c r="M260" s="34"/>
      <c r="N260" s="34"/>
      <c r="O260" s="173"/>
    </row>
    <row r="261" spans="1:15" ht="14.25">
      <c r="A261" s="34"/>
      <c r="B261" s="850" t="s">
        <v>297</v>
      </c>
      <c r="C261" s="851">
        <v>60</v>
      </c>
      <c r="D261" s="852" t="s">
        <v>13</v>
      </c>
      <c r="E261" s="34"/>
      <c r="F261" s="853" t="s">
        <v>251</v>
      </c>
      <c r="G261" s="854">
        <v>2</v>
      </c>
      <c r="H261" s="855" t="s">
        <v>26</v>
      </c>
      <c r="I261" s="34"/>
      <c r="J261" s="173"/>
      <c r="K261" s="34"/>
      <c r="L261" s="34"/>
      <c r="M261" s="34"/>
      <c r="N261" s="34"/>
      <c r="O261" s="173"/>
    </row>
    <row r="262" spans="1:15" ht="14.25">
      <c r="A262" s="34"/>
      <c r="B262" s="850" t="s">
        <v>309</v>
      </c>
      <c r="C262" s="851">
        <v>60</v>
      </c>
      <c r="D262" s="852" t="s">
        <v>11</v>
      </c>
      <c r="E262" s="34"/>
      <c r="F262" s="853" t="s">
        <v>347</v>
      </c>
      <c r="G262" s="854">
        <v>4</v>
      </c>
      <c r="H262" s="855" t="s">
        <v>26</v>
      </c>
      <c r="I262" s="34"/>
      <c r="J262" s="173"/>
      <c r="K262" s="34"/>
      <c r="L262" s="34"/>
      <c r="M262" s="34"/>
      <c r="N262" s="34"/>
      <c r="O262" s="173"/>
    </row>
    <row r="263" spans="1:15" ht="14.25">
      <c r="A263" s="34"/>
      <c r="B263" s="850" t="s">
        <v>266</v>
      </c>
      <c r="C263" s="851">
        <v>60</v>
      </c>
      <c r="D263" s="852" t="s">
        <v>25</v>
      </c>
      <c r="E263" s="34"/>
      <c r="F263" s="853" t="s">
        <v>347</v>
      </c>
      <c r="G263" s="854">
        <v>4</v>
      </c>
      <c r="H263" s="855" t="s">
        <v>26</v>
      </c>
      <c r="I263" s="34"/>
      <c r="J263" s="173"/>
      <c r="K263" s="34"/>
      <c r="L263" s="34"/>
      <c r="M263" s="34"/>
      <c r="N263" s="34"/>
      <c r="O263" s="173"/>
    </row>
    <row r="264" spans="1:15" ht="14.25">
      <c r="A264" s="34"/>
      <c r="B264" s="850" t="s">
        <v>394</v>
      </c>
      <c r="C264" s="851">
        <v>60</v>
      </c>
      <c r="D264" s="852" t="s">
        <v>18</v>
      </c>
      <c r="E264" s="34"/>
      <c r="F264" s="853" t="s">
        <v>243</v>
      </c>
      <c r="G264" s="854">
        <v>6</v>
      </c>
      <c r="H264" s="855" t="s">
        <v>26</v>
      </c>
      <c r="I264" s="34"/>
      <c r="J264" s="173"/>
      <c r="K264" s="34"/>
      <c r="L264" s="34"/>
      <c r="M264" s="34"/>
      <c r="N264" s="34"/>
      <c r="O264" s="173"/>
    </row>
    <row r="265" spans="1:15" ht="14.25">
      <c r="A265" s="34"/>
      <c r="B265" s="850" t="s">
        <v>276</v>
      </c>
      <c r="C265" s="851">
        <v>60</v>
      </c>
      <c r="D265" s="852" t="s">
        <v>8</v>
      </c>
      <c r="E265" s="34"/>
      <c r="F265" s="853" t="s">
        <v>243</v>
      </c>
      <c r="G265" s="854">
        <v>6</v>
      </c>
      <c r="H265" s="855" t="s">
        <v>26</v>
      </c>
      <c r="I265" s="34"/>
      <c r="J265" s="173"/>
      <c r="K265" s="34"/>
      <c r="L265" s="34"/>
      <c r="M265" s="34"/>
      <c r="N265" s="34"/>
      <c r="O265" s="173"/>
    </row>
    <row r="266" spans="1:15" ht="14.25">
      <c r="A266" s="34"/>
      <c r="B266" s="850" t="s">
        <v>395</v>
      </c>
      <c r="C266" s="851">
        <v>60</v>
      </c>
      <c r="D266" s="852" t="s">
        <v>21</v>
      </c>
      <c r="E266" s="34"/>
      <c r="F266" s="853" t="s">
        <v>325</v>
      </c>
      <c r="G266" s="854">
        <v>8</v>
      </c>
      <c r="H266" s="855" t="s">
        <v>26</v>
      </c>
      <c r="I266" s="34"/>
      <c r="J266" s="173"/>
      <c r="K266" s="34"/>
      <c r="L266" s="34"/>
      <c r="M266" s="34"/>
      <c r="N266" s="34"/>
      <c r="O266" s="173"/>
    </row>
    <row r="267" spans="1:15" ht="14.25">
      <c r="A267" s="34"/>
      <c r="B267" s="850" t="s">
        <v>354</v>
      </c>
      <c r="C267" s="851">
        <v>60</v>
      </c>
      <c r="D267" s="852" t="s">
        <v>20</v>
      </c>
      <c r="E267" s="34"/>
      <c r="F267" s="853" t="s">
        <v>325</v>
      </c>
      <c r="G267" s="854">
        <v>8</v>
      </c>
      <c r="H267" s="855" t="s">
        <v>26</v>
      </c>
      <c r="I267" s="34"/>
      <c r="J267" s="173"/>
      <c r="K267" s="34"/>
      <c r="L267" s="34"/>
      <c r="M267" s="34"/>
      <c r="N267" s="34"/>
      <c r="O267" s="173"/>
    </row>
    <row r="268" spans="1:15" ht="14.25">
      <c r="A268" s="34"/>
      <c r="B268" s="850" t="s">
        <v>408</v>
      </c>
      <c r="C268" s="851">
        <v>60</v>
      </c>
      <c r="D268" s="852" t="s">
        <v>16</v>
      </c>
      <c r="E268" s="34"/>
      <c r="F268" s="853" t="s">
        <v>364</v>
      </c>
      <c r="G268" s="854">
        <v>10</v>
      </c>
      <c r="H268" s="855" t="s">
        <v>26</v>
      </c>
      <c r="I268" s="34"/>
      <c r="J268" s="173"/>
      <c r="K268" s="34"/>
      <c r="L268" s="34"/>
      <c r="M268" s="34"/>
      <c r="N268" s="34"/>
      <c r="O268" s="173"/>
    </row>
    <row r="269" spans="1:15" ht="14.25">
      <c r="B269" s="890" t="s">
        <v>330</v>
      </c>
      <c r="C269" s="891">
        <v>60</v>
      </c>
      <c r="D269" s="892" t="s">
        <v>26</v>
      </c>
      <c r="F269" s="893" t="s">
        <v>364</v>
      </c>
      <c r="G269" s="894">
        <v>10</v>
      </c>
      <c r="H269" s="895" t="s">
        <v>26</v>
      </c>
      <c r="I269" s="34"/>
      <c r="J269" s="173"/>
      <c r="K269" s="34"/>
      <c r="L269" s="34"/>
      <c r="M269" s="34"/>
      <c r="N269" s="34"/>
      <c r="O269" s="173"/>
    </row>
    <row r="270" spans="1:15" ht="12.75">
      <c r="H270" s="34"/>
      <c r="I270" s="34"/>
      <c r="J270" s="173"/>
      <c r="K270" s="34"/>
      <c r="L270" s="34"/>
      <c r="M270" s="34"/>
      <c r="N270" s="34"/>
      <c r="O270" s="173"/>
    </row>
    <row r="271" spans="1:15" ht="12.75">
      <c r="H271" s="34"/>
      <c r="I271" s="34"/>
      <c r="J271" s="173"/>
      <c r="K271" s="34"/>
      <c r="L271" s="34"/>
      <c r="M271" s="34"/>
      <c r="N271" s="34"/>
      <c r="O271" s="173"/>
    </row>
    <row r="272" spans="1:15" ht="12.75">
      <c r="H272" s="34"/>
      <c r="I272" s="34"/>
      <c r="J272" s="173"/>
      <c r="K272" s="34"/>
      <c r="L272" s="34"/>
      <c r="M272" s="34"/>
      <c r="N272" s="34"/>
      <c r="O272" s="173"/>
    </row>
    <row r="273" spans="2:15" ht="12.75">
      <c r="H273" s="34"/>
      <c r="I273" s="34"/>
      <c r="J273" s="173"/>
      <c r="K273" s="34"/>
      <c r="L273" s="34"/>
      <c r="M273" s="34"/>
      <c r="N273" s="34"/>
      <c r="O273" s="173"/>
    </row>
    <row r="274" spans="2:15" ht="12.75">
      <c r="H274" s="34"/>
      <c r="I274" s="34"/>
      <c r="J274" s="173"/>
      <c r="K274" s="34"/>
      <c r="L274" s="34"/>
      <c r="M274" s="34"/>
      <c r="N274" s="34"/>
      <c r="O274" s="173"/>
    </row>
    <row r="275" spans="2:15" ht="12.75">
      <c r="B275">
        <f>Setup!C8</f>
        <v>0</v>
      </c>
      <c r="H275" s="34"/>
      <c r="I275" s="34"/>
      <c r="J275" s="173"/>
      <c r="K275" s="34"/>
      <c r="L275" s="34"/>
      <c r="M275" s="34"/>
      <c r="N275" s="34"/>
      <c r="O275" s="173"/>
    </row>
    <row r="276" spans="2:15" ht="12.75">
      <c r="H276" s="34"/>
      <c r="I276" s="34"/>
      <c r="J276" s="173"/>
      <c r="K276" s="34"/>
      <c r="L276" s="34"/>
      <c r="M276" s="34"/>
      <c r="N276" s="34"/>
      <c r="O276" s="173"/>
    </row>
    <row r="277" spans="2:15" ht="12.75">
      <c r="H277" s="34"/>
      <c r="I277" s="34"/>
      <c r="J277" s="173"/>
      <c r="K277" s="34"/>
      <c r="L277" s="34"/>
      <c r="M277" s="34"/>
      <c r="N277" s="34"/>
      <c r="O277" s="173"/>
    </row>
    <row r="278" spans="2:15" ht="12.75">
      <c r="H278" s="34"/>
      <c r="I278" s="34"/>
      <c r="J278" s="173"/>
      <c r="K278" s="34"/>
      <c r="L278" s="34"/>
      <c r="M278" s="34"/>
      <c r="N278" s="34"/>
      <c r="O278" s="173"/>
    </row>
    <row r="279" spans="2:15" ht="12.75">
      <c r="H279" s="34"/>
      <c r="I279" s="34"/>
      <c r="J279" s="173"/>
      <c r="K279" s="34"/>
      <c r="L279" s="34"/>
      <c r="M279" s="34"/>
      <c r="N279" s="34"/>
      <c r="O279" s="173"/>
    </row>
    <row r="280" spans="2:15" ht="12.75">
      <c r="H280" s="34"/>
      <c r="I280" s="34"/>
      <c r="J280" s="173"/>
      <c r="K280" s="34"/>
      <c r="L280" s="34"/>
      <c r="M280" s="34"/>
      <c r="N280" s="34"/>
      <c r="O280" s="173"/>
    </row>
    <row r="281" spans="2:15" ht="12.75">
      <c r="H281" s="34"/>
      <c r="I281" s="34"/>
      <c r="J281" s="173"/>
      <c r="K281" s="34"/>
      <c r="L281" s="34"/>
      <c r="M281" s="34"/>
      <c r="N281" s="34"/>
      <c r="O281" s="173"/>
    </row>
    <row r="282" spans="2:15" ht="12.75">
      <c r="H282" s="34"/>
      <c r="I282" s="34"/>
      <c r="J282" s="173"/>
      <c r="K282" s="34"/>
      <c r="L282" s="34"/>
      <c r="M282" s="34"/>
      <c r="N282" s="34"/>
      <c r="O282" s="173"/>
    </row>
    <row r="283" spans="2:15" ht="12.75">
      <c r="H283" s="34"/>
      <c r="I283" s="34"/>
      <c r="J283" s="173"/>
      <c r="K283" s="34"/>
      <c r="L283" s="34"/>
      <c r="M283" s="34"/>
      <c r="N283" s="34"/>
      <c r="O283" s="173"/>
    </row>
    <row r="284" spans="2:15" ht="12.75">
      <c r="H284" s="34"/>
      <c r="I284" s="34"/>
      <c r="J284" s="173"/>
      <c r="K284" s="34"/>
      <c r="L284" s="34"/>
      <c r="M284" s="34"/>
      <c r="N284" s="34"/>
      <c r="O284" s="173"/>
    </row>
    <row r="285" spans="2:15" ht="12.75">
      <c r="H285" s="34"/>
      <c r="I285" s="34"/>
      <c r="J285" s="173"/>
      <c r="K285" s="34"/>
      <c r="L285" s="34"/>
      <c r="M285" s="34"/>
      <c r="N285" s="34"/>
      <c r="O285" s="173"/>
    </row>
    <row r="286" spans="2:15" ht="12.75">
      <c r="H286" s="34"/>
      <c r="I286" s="34"/>
      <c r="J286" s="173"/>
      <c r="K286" s="34"/>
      <c r="L286" s="34"/>
      <c r="M286" s="34"/>
      <c r="N286" s="34"/>
      <c r="O286" s="173"/>
    </row>
    <row r="287" spans="2:15" ht="12.75">
      <c r="H287" s="34"/>
      <c r="I287" s="34"/>
      <c r="J287" s="173"/>
      <c r="K287" s="34"/>
      <c r="L287" s="34"/>
      <c r="M287" s="34"/>
      <c r="N287" s="34"/>
      <c r="O287" s="173"/>
    </row>
    <row r="288" spans="2:15" ht="12.75">
      <c r="H288" s="34"/>
      <c r="I288" s="34"/>
      <c r="J288" s="173"/>
      <c r="K288" s="34"/>
      <c r="L288" s="34"/>
      <c r="M288" s="34"/>
      <c r="N288" s="34"/>
      <c r="O288" s="173"/>
    </row>
    <row r="289" spans="8:15" ht="12.75">
      <c r="H289" s="34"/>
      <c r="I289" s="34"/>
      <c r="J289" s="173"/>
      <c r="K289" s="34"/>
      <c r="L289" s="34"/>
      <c r="M289" s="34"/>
      <c r="N289" s="34"/>
      <c r="O289" s="173"/>
    </row>
    <row r="290" spans="8:15" ht="12.75">
      <c r="H290" s="34"/>
      <c r="I290" s="34"/>
      <c r="J290" s="173"/>
      <c r="K290" s="34"/>
      <c r="L290" s="34"/>
      <c r="M290" s="34"/>
      <c r="N290" s="34"/>
      <c r="O290" s="173"/>
    </row>
    <row r="291" spans="8:15" ht="12.75">
      <c r="H291" s="34"/>
      <c r="I291" s="34"/>
      <c r="J291" s="173"/>
      <c r="K291" s="34"/>
      <c r="L291" s="34"/>
      <c r="M291" s="34"/>
      <c r="N291" s="34"/>
      <c r="O291" s="173"/>
    </row>
    <row r="292" spans="8:15" ht="12.75">
      <c r="H292" s="34"/>
      <c r="I292" s="34"/>
      <c r="J292" s="173"/>
      <c r="K292" s="34"/>
      <c r="L292" s="34"/>
      <c r="M292" s="34"/>
      <c r="N292" s="34"/>
      <c r="O292" s="173"/>
    </row>
    <row r="293" spans="8:15" ht="12.75">
      <c r="H293" s="34"/>
      <c r="I293" s="34"/>
      <c r="J293" s="173"/>
      <c r="K293" s="34"/>
      <c r="L293" s="34"/>
      <c r="M293" s="34"/>
      <c r="N293" s="34"/>
      <c r="O293" s="173"/>
    </row>
    <row r="294" spans="8:15" ht="12.75">
      <c r="H294" s="34"/>
      <c r="I294" s="34"/>
      <c r="J294" s="173"/>
      <c r="K294" s="34"/>
      <c r="L294" s="34"/>
      <c r="M294" s="34"/>
      <c r="N294" s="34"/>
      <c r="O294" s="173"/>
    </row>
    <row r="295" spans="8:15" ht="12.75">
      <c r="H295" s="34"/>
      <c r="I295" s="34"/>
      <c r="J295" s="173"/>
      <c r="K295" s="34"/>
      <c r="L295" s="34"/>
      <c r="M295" s="34"/>
      <c r="N295" s="34"/>
      <c r="O295" s="173"/>
    </row>
    <row r="296" spans="8:15" ht="12.75">
      <c r="H296" s="34"/>
      <c r="I296" s="34"/>
      <c r="J296" s="173"/>
      <c r="K296" s="34"/>
      <c r="L296" s="34"/>
      <c r="M296" s="34"/>
      <c r="N296" s="34"/>
      <c r="O296" s="173"/>
    </row>
    <row r="297" spans="8:15" ht="12.75">
      <c r="H297" s="34"/>
      <c r="I297" s="34"/>
      <c r="J297" s="173"/>
      <c r="K297" s="34"/>
      <c r="L297" s="34"/>
      <c r="M297" s="34"/>
      <c r="N297" s="34"/>
      <c r="O297" s="173"/>
    </row>
    <row r="298" spans="8:15" ht="12.75">
      <c r="H298" s="34"/>
      <c r="I298" s="34"/>
      <c r="J298" s="173"/>
      <c r="K298" s="34"/>
      <c r="L298" s="34"/>
      <c r="M298" s="34"/>
      <c r="N298" s="34"/>
      <c r="O298" s="173"/>
    </row>
    <row r="299" spans="8:15" ht="12.75">
      <c r="H299" s="34"/>
      <c r="I299" s="34"/>
      <c r="J299" s="173"/>
      <c r="K299" s="34"/>
      <c r="L299" s="34"/>
      <c r="M299" s="34"/>
      <c r="N299" s="34"/>
      <c r="O299" s="173"/>
    </row>
    <row r="300" spans="8:15" ht="12.75">
      <c r="H300" s="34"/>
      <c r="I300" s="34"/>
      <c r="J300" s="173"/>
      <c r="K300" s="34"/>
      <c r="L300" s="34"/>
      <c r="M300" s="34"/>
      <c r="N300" s="34"/>
      <c r="O300" s="173"/>
    </row>
    <row r="301" spans="8:15" ht="12.75">
      <c r="H301" s="34"/>
      <c r="I301" s="34"/>
      <c r="J301" s="173"/>
      <c r="K301" s="34"/>
      <c r="L301" s="34"/>
      <c r="M301" s="34"/>
      <c r="N301" s="34"/>
      <c r="O301" s="173"/>
    </row>
    <row r="302" spans="8:15" ht="12.75">
      <c r="H302" s="34"/>
      <c r="I302" s="34"/>
      <c r="J302" s="173"/>
      <c r="K302" s="34"/>
      <c r="L302" s="34"/>
      <c r="M302" s="34"/>
      <c r="N302" s="34"/>
      <c r="O302" s="173"/>
    </row>
    <row r="303" spans="8:15" ht="12.75">
      <c r="H303" s="34"/>
      <c r="I303" s="34"/>
      <c r="J303" s="173"/>
      <c r="K303" s="34"/>
      <c r="L303" s="34"/>
      <c r="M303" s="34"/>
      <c r="N303" s="34"/>
      <c r="O303" s="173"/>
    </row>
    <row r="304" spans="8:15" ht="12.75">
      <c r="H304" s="34"/>
      <c r="I304" s="34"/>
      <c r="J304" s="173"/>
      <c r="K304" s="34"/>
      <c r="L304" s="34"/>
      <c r="M304" s="34"/>
      <c r="N304" s="34"/>
      <c r="O304" s="173"/>
    </row>
    <row r="305" spans="8:15" ht="12.75">
      <c r="H305" s="34"/>
      <c r="I305" s="34"/>
      <c r="J305" s="173"/>
      <c r="K305" s="34"/>
      <c r="L305" s="34"/>
      <c r="M305" s="34"/>
      <c r="N305" s="34"/>
      <c r="O305" s="173"/>
    </row>
    <row r="306" spans="8:15" ht="12.75">
      <c r="H306" s="34"/>
      <c r="I306" s="34"/>
      <c r="J306" s="173"/>
      <c r="K306" s="34"/>
      <c r="L306" s="34"/>
      <c r="M306" s="34"/>
      <c r="N306" s="34"/>
      <c r="O306" s="173"/>
    </row>
    <row r="307" spans="8:15" ht="12.75">
      <c r="H307" s="34"/>
      <c r="I307" s="34"/>
      <c r="J307" s="173"/>
      <c r="K307" s="34"/>
      <c r="L307" s="34"/>
      <c r="M307" s="34"/>
      <c r="N307" s="34"/>
      <c r="O307" s="173"/>
    </row>
    <row r="308" spans="8:15" ht="12.75">
      <c r="H308" s="34"/>
      <c r="I308" s="34"/>
      <c r="J308" s="173"/>
      <c r="K308" s="34"/>
      <c r="L308" s="34"/>
      <c r="M308" s="34"/>
      <c r="N308" s="34"/>
      <c r="O308" s="173"/>
    </row>
    <row r="309" spans="8:15" ht="12.75">
      <c r="H309" s="34"/>
      <c r="I309" s="34"/>
      <c r="J309" s="173"/>
      <c r="K309" s="34"/>
      <c r="L309" s="34"/>
      <c r="M309" s="34"/>
      <c r="N309" s="34"/>
      <c r="O309" s="173"/>
    </row>
    <row r="310" spans="8:15" ht="12.75">
      <c r="H310" s="34"/>
      <c r="I310" s="34"/>
      <c r="J310" s="173"/>
      <c r="K310" s="34"/>
      <c r="L310" s="34"/>
      <c r="M310" s="34"/>
      <c r="N310" s="34"/>
      <c r="O310" s="173"/>
    </row>
    <row r="311" spans="8:15" ht="12.75">
      <c r="H311" s="34"/>
      <c r="I311" s="34"/>
      <c r="J311" s="173"/>
      <c r="K311" s="34"/>
      <c r="L311" s="34"/>
      <c r="M311" s="34"/>
      <c r="N311" s="34"/>
      <c r="O311" s="173"/>
    </row>
    <row r="312" spans="8:15" ht="12.75">
      <c r="H312" s="34"/>
      <c r="I312" s="34"/>
      <c r="J312" s="173"/>
      <c r="K312" s="34"/>
      <c r="L312" s="34"/>
      <c r="M312" s="34"/>
      <c r="N312" s="34"/>
      <c r="O312" s="173"/>
    </row>
    <row r="313" spans="8:15" ht="12.75">
      <c r="H313" s="34"/>
      <c r="I313" s="34"/>
      <c r="J313" s="173"/>
      <c r="K313" s="34"/>
      <c r="L313" s="34"/>
      <c r="M313" s="34"/>
      <c r="N313" s="34"/>
      <c r="O313" s="173"/>
    </row>
    <row r="314" spans="8:15" ht="12.75">
      <c r="H314" s="34"/>
      <c r="I314" s="34"/>
      <c r="J314" s="173"/>
      <c r="K314" s="34"/>
      <c r="L314" s="34"/>
      <c r="M314" s="34"/>
      <c r="N314" s="34"/>
      <c r="O314" s="173"/>
    </row>
    <row r="315" spans="8:15" ht="12.75">
      <c r="H315" s="34"/>
      <c r="I315" s="34"/>
      <c r="J315" s="173"/>
      <c r="K315" s="34"/>
      <c r="L315" s="34"/>
      <c r="M315" s="34"/>
      <c r="N315" s="34"/>
      <c r="O315" s="173"/>
    </row>
    <row r="316" spans="8:15" ht="12.75">
      <c r="H316" s="34"/>
      <c r="I316" s="34"/>
      <c r="J316" s="173"/>
      <c r="K316" s="34"/>
      <c r="L316" s="34"/>
      <c r="M316" s="34"/>
      <c r="N316" s="34"/>
      <c r="O316" s="173"/>
    </row>
    <row r="317" spans="8:15" ht="12.75">
      <c r="H317" s="34"/>
      <c r="I317" s="34"/>
      <c r="J317" s="173"/>
      <c r="K317" s="34"/>
      <c r="L317" s="34"/>
      <c r="M317" s="34"/>
      <c r="N317" s="34"/>
      <c r="O317" s="173"/>
    </row>
    <row r="318" spans="8:15" ht="12.75">
      <c r="H318" s="34"/>
      <c r="I318" s="34"/>
      <c r="J318" s="173"/>
      <c r="K318" s="34"/>
      <c r="L318" s="34"/>
      <c r="M318" s="34"/>
      <c r="N318" s="34"/>
      <c r="O318" s="173"/>
    </row>
    <row r="319" spans="8:15" ht="12.75">
      <c r="H319" s="34"/>
      <c r="I319" s="34"/>
      <c r="J319" s="173"/>
      <c r="K319" s="34"/>
      <c r="L319" s="34"/>
      <c r="M319" s="34"/>
      <c r="N319" s="34"/>
      <c r="O319" s="173"/>
    </row>
    <row r="320" spans="8:15" ht="12.75">
      <c r="H320" s="34"/>
      <c r="I320" s="34"/>
      <c r="J320" s="173"/>
      <c r="K320" s="34"/>
      <c r="L320" s="34"/>
      <c r="M320" s="34"/>
      <c r="N320" s="34"/>
      <c r="O320" s="173"/>
    </row>
    <row r="321" spans="8:15" ht="12.75">
      <c r="H321" s="34"/>
      <c r="I321" s="34"/>
      <c r="J321" s="173"/>
      <c r="K321" s="34"/>
      <c r="L321" s="34"/>
      <c r="M321" s="34"/>
      <c r="N321" s="34"/>
      <c r="O321" s="173"/>
    </row>
    <row r="322" spans="8:15" ht="12.75">
      <c r="H322" s="34"/>
      <c r="I322" s="34"/>
      <c r="J322" s="173"/>
      <c r="K322" s="34"/>
      <c r="L322" s="34"/>
      <c r="M322" s="34"/>
      <c r="N322" s="34"/>
      <c r="O322" s="173"/>
    </row>
    <row r="323" spans="8:15" ht="12.75">
      <c r="H323" s="34"/>
      <c r="I323" s="34"/>
      <c r="J323" s="173"/>
      <c r="K323" s="34"/>
      <c r="L323" s="34"/>
      <c r="M323" s="34"/>
      <c r="N323" s="34"/>
      <c r="O323" s="173"/>
    </row>
    <row r="324" spans="8:15" ht="12.75">
      <c r="H324" s="34"/>
      <c r="I324" s="34"/>
      <c r="J324" s="173"/>
      <c r="K324" s="34"/>
      <c r="L324" s="34"/>
      <c r="M324" s="34"/>
      <c r="N324" s="34"/>
      <c r="O324" s="173"/>
    </row>
    <row r="325" spans="8:15" ht="12.75">
      <c r="H325" s="34"/>
      <c r="I325" s="34"/>
      <c r="J325" s="173"/>
      <c r="K325" s="34"/>
      <c r="L325" s="34"/>
      <c r="M325" s="34"/>
      <c r="N325" s="34"/>
      <c r="O325" s="173"/>
    </row>
    <row r="326" spans="8:15" ht="12.75">
      <c r="H326" s="34"/>
      <c r="I326" s="34"/>
      <c r="J326" s="173"/>
      <c r="K326" s="34"/>
      <c r="L326" s="34"/>
      <c r="M326" s="34"/>
      <c r="N326" s="34"/>
      <c r="O326" s="173"/>
    </row>
    <row r="327" spans="8:15" ht="12.75">
      <c r="H327" s="34"/>
      <c r="I327" s="34"/>
      <c r="J327" s="173"/>
      <c r="K327" s="34"/>
      <c r="L327" s="34"/>
      <c r="M327" s="34"/>
      <c r="N327" s="34"/>
      <c r="O327" s="173"/>
    </row>
    <row r="328" spans="8:15" ht="12.75">
      <c r="H328" s="34"/>
      <c r="I328" s="34"/>
      <c r="J328" s="173"/>
      <c r="K328" s="34"/>
      <c r="L328" s="34"/>
      <c r="M328" s="34"/>
      <c r="N328" s="34"/>
      <c r="O328" s="173"/>
    </row>
    <row r="329" spans="8:15" ht="12.75">
      <c r="H329" s="34"/>
      <c r="I329" s="34"/>
      <c r="J329" s="173"/>
      <c r="K329" s="34"/>
      <c r="L329" s="34"/>
      <c r="M329" s="34"/>
      <c r="N329" s="34"/>
      <c r="O329" s="173"/>
    </row>
    <row r="330" spans="8:15" ht="12.75">
      <c r="H330" s="34"/>
      <c r="I330" s="34"/>
      <c r="J330" s="173"/>
      <c r="K330" s="34"/>
      <c r="L330" s="34"/>
      <c r="M330" s="34"/>
      <c r="N330" s="34"/>
      <c r="O330" s="173"/>
    </row>
    <row r="331" spans="8:15" ht="12.75">
      <c r="H331" s="34"/>
      <c r="I331" s="34"/>
      <c r="J331" s="173"/>
      <c r="K331" s="34"/>
      <c r="L331" s="34"/>
      <c r="M331" s="34"/>
      <c r="N331" s="34"/>
      <c r="O331" s="173"/>
    </row>
    <row r="332" spans="8:15" ht="12.75">
      <c r="H332" s="34"/>
      <c r="I332" s="34"/>
      <c r="J332" s="173"/>
      <c r="K332" s="34"/>
      <c r="L332" s="34"/>
      <c r="M332" s="34"/>
      <c r="N332" s="34"/>
      <c r="O332" s="173"/>
    </row>
    <row r="333" spans="8:15" ht="12.75">
      <c r="H333" s="34"/>
      <c r="I333" s="34"/>
      <c r="J333" s="173"/>
      <c r="K333" s="34"/>
      <c r="L333" s="34"/>
      <c r="M333" s="34"/>
      <c r="N333" s="34"/>
      <c r="O333" s="173"/>
    </row>
    <row r="334" spans="8:15" ht="12.75">
      <c r="H334" s="34"/>
      <c r="I334" s="34"/>
      <c r="J334" s="173"/>
      <c r="K334" s="34"/>
      <c r="L334" s="34"/>
      <c r="M334" s="34"/>
      <c r="N334" s="34"/>
      <c r="O334" s="173"/>
    </row>
    <row r="335" spans="8:15" ht="12.75">
      <c r="H335" s="34"/>
      <c r="I335" s="34"/>
      <c r="J335" s="173"/>
      <c r="K335" s="34"/>
      <c r="L335" s="34"/>
      <c r="M335" s="34"/>
      <c r="N335" s="34"/>
      <c r="O335" s="173"/>
    </row>
    <row r="336" spans="8:15" ht="12.75">
      <c r="H336" s="34"/>
      <c r="I336" s="34"/>
      <c r="J336" s="173"/>
      <c r="K336" s="34"/>
      <c r="L336" s="34"/>
      <c r="M336" s="34"/>
      <c r="N336" s="34"/>
      <c r="O336" s="173"/>
    </row>
    <row r="337" spans="8:15" ht="12.75">
      <c r="H337" s="34"/>
      <c r="I337" s="34"/>
      <c r="J337" s="173"/>
      <c r="K337" s="34"/>
      <c r="L337" s="34"/>
      <c r="M337" s="34"/>
      <c r="N337" s="34"/>
      <c r="O337" s="173"/>
    </row>
    <row r="338" spans="8:15" ht="12.75">
      <c r="H338" s="34"/>
      <c r="I338" s="34"/>
      <c r="J338" s="173"/>
      <c r="K338" s="34"/>
      <c r="L338" s="34"/>
      <c r="M338" s="34"/>
      <c r="N338" s="34"/>
      <c r="O338" s="173"/>
    </row>
    <row r="339" spans="8:15" ht="12.75">
      <c r="H339" s="34"/>
      <c r="I339" s="34"/>
      <c r="J339" s="173"/>
      <c r="K339" s="34"/>
      <c r="L339" s="34"/>
      <c r="M339" s="34"/>
      <c r="N339" s="34"/>
      <c r="O339" s="173"/>
    </row>
    <row r="340" spans="8:15" ht="12.75">
      <c r="H340" s="34"/>
      <c r="I340" s="34"/>
      <c r="J340" s="173"/>
      <c r="K340" s="34"/>
      <c r="L340" s="34"/>
      <c r="M340" s="34"/>
      <c r="N340" s="34"/>
      <c r="O340" s="173"/>
    </row>
    <row r="341" spans="8:15" ht="12.75">
      <c r="H341" s="34"/>
      <c r="I341" s="34"/>
      <c r="J341" s="173"/>
      <c r="K341" s="34"/>
      <c r="L341" s="34"/>
      <c r="M341" s="34"/>
      <c r="N341" s="34"/>
      <c r="O341" s="173"/>
    </row>
    <row r="342" spans="8:15" ht="12.75">
      <c r="H342" s="34"/>
      <c r="I342" s="34"/>
      <c r="J342" s="173"/>
      <c r="K342" s="34"/>
      <c r="L342" s="34"/>
      <c r="M342" s="34"/>
      <c r="N342" s="34"/>
      <c r="O342" s="173"/>
    </row>
    <row r="343" spans="8:15" ht="12.75">
      <c r="H343" s="34"/>
      <c r="I343" s="34"/>
      <c r="J343" s="173"/>
      <c r="K343" s="34"/>
      <c r="L343" s="34"/>
      <c r="M343" s="34"/>
      <c r="N343" s="34"/>
      <c r="O343" s="173"/>
    </row>
    <row r="344" spans="8:15" ht="12.75">
      <c r="H344" s="34"/>
      <c r="I344" s="34"/>
      <c r="J344" s="173"/>
      <c r="K344" s="34"/>
      <c r="L344" s="34"/>
      <c r="M344" s="34"/>
      <c r="N344" s="34"/>
      <c r="O344" s="173"/>
    </row>
    <row r="345" spans="8:15" ht="12.75">
      <c r="H345" s="34"/>
      <c r="I345" s="34"/>
      <c r="J345" s="173"/>
      <c r="K345" s="34"/>
      <c r="L345" s="34"/>
      <c r="M345" s="34"/>
      <c r="N345" s="34"/>
      <c r="O345" s="173"/>
    </row>
    <row r="346" spans="8:15" ht="12.75">
      <c r="H346" s="34"/>
      <c r="I346" s="34"/>
      <c r="J346" s="173"/>
      <c r="K346" s="34"/>
      <c r="L346" s="34"/>
      <c r="M346" s="34"/>
      <c r="N346" s="34"/>
      <c r="O346" s="173"/>
    </row>
    <row r="347" spans="8:15" ht="12.75">
      <c r="H347" s="34"/>
      <c r="I347" s="34"/>
      <c r="J347" s="173"/>
      <c r="K347" s="34"/>
      <c r="L347" s="34"/>
      <c r="M347" s="34"/>
      <c r="N347" s="34"/>
      <c r="O347" s="173"/>
    </row>
    <row r="348" spans="8:15" ht="12.75">
      <c r="H348" s="34"/>
      <c r="I348" s="34"/>
      <c r="J348" s="173"/>
      <c r="K348" s="34"/>
      <c r="L348" s="34"/>
      <c r="M348" s="34"/>
      <c r="N348" s="34"/>
      <c r="O348" s="173"/>
    </row>
    <row r="349" spans="8:15" ht="12.75">
      <c r="H349" s="34"/>
      <c r="I349" s="34"/>
      <c r="J349" s="173"/>
      <c r="K349" s="34"/>
      <c r="L349" s="34"/>
      <c r="M349" s="34"/>
      <c r="N349" s="34"/>
      <c r="O349" s="173"/>
    </row>
    <row r="350" spans="8:15" ht="12.75">
      <c r="H350" s="34"/>
      <c r="I350" s="34"/>
      <c r="J350" s="173"/>
      <c r="K350" s="34"/>
      <c r="L350" s="34"/>
      <c r="M350" s="34"/>
      <c r="N350" s="34"/>
      <c r="O350" s="173"/>
    </row>
    <row r="351" spans="8:15" ht="12.75">
      <c r="H351" s="34"/>
      <c r="I351" s="34"/>
      <c r="J351" s="173"/>
      <c r="K351" s="34"/>
      <c r="L351" s="34"/>
      <c r="M351" s="34"/>
      <c r="N351" s="34"/>
      <c r="O351" s="173"/>
    </row>
    <row r="352" spans="8:15" ht="12.75">
      <c r="H352" s="34"/>
      <c r="I352" s="34"/>
      <c r="J352" s="173"/>
      <c r="K352" s="34"/>
      <c r="L352" s="34"/>
      <c r="M352" s="34"/>
      <c r="N352" s="34"/>
      <c r="O352" s="173"/>
    </row>
    <row r="353" spans="8:15" ht="12.75">
      <c r="H353" s="34"/>
      <c r="I353" s="34"/>
      <c r="J353" s="173"/>
      <c r="K353" s="34"/>
      <c r="L353" s="34"/>
      <c r="M353" s="34"/>
      <c r="N353" s="34"/>
      <c r="O353" s="173"/>
    </row>
    <row r="354" spans="8:15" ht="12.75">
      <c r="H354" s="34"/>
      <c r="I354" s="34"/>
      <c r="J354" s="173"/>
      <c r="K354" s="34"/>
      <c r="L354" s="34"/>
      <c r="M354" s="34"/>
      <c r="N354" s="34"/>
      <c r="O354" s="173"/>
    </row>
    <row r="355" spans="8:15" ht="12.75">
      <c r="H355" s="34"/>
      <c r="I355" s="34"/>
      <c r="J355" s="173"/>
      <c r="K355" s="34"/>
      <c r="L355" s="34"/>
      <c r="M355" s="34"/>
      <c r="N355" s="34"/>
      <c r="O355" s="173"/>
    </row>
    <row r="356" spans="8:15" ht="12.75">
      <c r="H356" s="34"/>
      <c r="I356" s="34"/>
      <c r="J356" s="173"/>
      <c r="K356" s="34"/>
      <c r="L356" s="34"/>
      <c r="M356" s="34"/>
      <c r="N356" s="34"/>
      <c r="O356" s="173"/>
    </row>
    <row r="357" spans="8:15" ht="12.75">
      <c r="H357" s="34"/>
      <c r="I357" s="34"/>
      <c r="J357" s="173"/>
      <c r="K357" s="34"/>
      <c r="L357" s="34"/>
      <c r="M357" s="34"/>
      <c r="N357" s="34"/>
      <c r="O357" s="173"/>
    </row>
    <row r="358" spans="8:15" ht="12.75">
      <c r="H358" s="34"/>
      <c r="I358" s="34"/>
      <c r="J358" s="173"/>
      <c r="K358" s="34"/>
      <c r="L358" s="34"/>
      <c r="M358" s="34"/>
      <c r="N358" s="34"/>
      <c r="O358" s="173"/>
    </row>
    <row r="359" spans="8:15" ht="12.75">
      <c r="H359" s="34"/>
      <c r="I359" s="34"/>
      <c r="J359" s="173"/>
      <c r="K359" s="34"/>
      <c r="L359" s="34"/>
      <c r="M359" s="34"/>
      <c r="N359" s="34"/>
      <c r="O359" s="173"/>
    </row>
    <row r="360" spans="8:15" ht="12.75">
      <c r="H360" s="34"/>
      <c r="I360" s="34"/>
      <c r="J360" s="173"/>
      <c r="K360" s="34"/>
      <c r="L360" s="34"/>
      <c r="M360" s="34"/>
      <c r="N360" s="34"/>
      <c r="O360" s="173"/>
    </row>
    <row r="361" spans="8:15" ht="12.75">
      <c r="H361" s="34"/>
      <c r="I361" s="34"/>
      <c r="J361" s="173"/>
      <c r="K361" s="34"/>
      <c r="L361" s="34"/>
      <c r="M361" s="34"/>
      <c r="N361" s="34"/>
      <c r="O361" s="173"/>
    </row>
    <row r="362" spans="8:15" ht="12.75">
      <c r="H362" s="34"/>
      <c r="I362" s="34"/>
      <c r="J362" s="173"/>
      <c r="K362" s="34"/>
      <c r="L362" s="34"/>
      <c r="M362" s="34"/>
      <c r="N362" s="34"/>
      <c r="O362" s="173"/>
    </row>
    <row r="363" spans="8:15" ht="12.75">
      <c r="H363" s="34"/>
      <c r="I363" s="34"/>
      <c r="J363" s="173"/>
      <c r="K363" s="34"/>
      <c r="L363" s="34"/>
      <c r="M363" s="34"/>
      <c r="N363" s="34"/>
      <c r="O363" s="173"/>
    </row>
    <row r="364" spans="8:15" ht="12.75">
      <c r="H364" s="34"/>
      <c r="I364" s="34"/>
      <c r="J364" s="173"/>
      <c r="K364" s="34"/>
      <c r="L364" s="34"/>
      <c r="M364" s="34"/>
      <c r="N364" s="34"/>
      <c r="O364" s="173"/>
    </row>
    <row r="365" spans="8:15" ht="12.75">
      <c r="H365" s="34"/>
      <c r="I365" s="34"/>
      <c r="J365" s="173"/>
      <c r="K365" s="34"/>
      <c r="L365" s="34"/>
      <c r="M365" s="34"/>
      <c r="N365" s="34"/>
      <c r="O365" s="173"/>
    </row>
    <row r="366" spans="8:15" ht="12.75">
      <c r="H366" s="34"/>
      <c r="I366" s="34"/>
      <c r="J366" s="173"/>
      <c r="K366" s="34"/>
      <c r="L366" s="34"/>
      <c r="M366" s="34"/>
      <c r="N366" s="34"/>
      <c r="O366" s="173"/>
    </row>
    <row r="367" spans="8:15" ht="12.75">
      <c r="H367" s="34"/>
      <c r="I367" s="34"/>
      <c r="J367" s="173"/>
      <c r="K367" s="34"/>
      <c r="L367" s="34"/>
      <c r="M367" s="34"/>
      <c r="N367" s="34"/>
      <c r="O367" s="173"/>
    </row>
    <row r="368" spans="8:15" ht="12.75">
      <c r="H368" s="34"/>
      <c r="I368" s="34"/>
      <c r="J368" s="173"/>
      <c r="K368" s="34"/>
      <c r="L368" s="34"/>
      <c r="M368" s="34"/>
      <c r="N368" s="34"/>
      <c r="O368" s="173"/>
    </row>
    <row r="369" spans="8:15" ht="12.75">
      <c r="H369" s="34"/>
      <c r="I369" s="34"/>
      <c r="J369" s="173"/>
      <c r="K369" s="34"/>
      <c r="L369" s="34"/>
      <c r="M369" s="34"/>
      <c r="N369" s="34"/>
      <c r="O369" s="173"/>
    </row>
    <row r="370" spans="8:15" ht="12.75">
      <c r="H370" s="34"/>
      <c r="I370" s="34"/>
      <c r="J370" s="173"/>
      <c r="K370" s="34"/>
      <c r="L370" s="34"/>
      <c r="M370" s="34"/>
      <c r="N370" s="34"/>
      <c r="O370" s="173"/>
    </row>
    <row r="371" spans="8:15" ht="12.75">
      <c r="H371" s="34"/>
      <c r="I371" s="34"/>
      <c r="J371" s="173"/>
      <c r="K371" s="34"/>
      <c r="L371" s="34"/>
      <c r="M371" s="34"/>
      <c r="N371" s="34"/>
      <c r="O371" s="173"/>
    </row>
    <row r="372" spans="8:15" ht="12.75">
      <c r="H372" s="34"/>
      <c r="I372" s="34"/>
      <c r="J372" s="173"/>
      <c r="K372" s="34"/>
      <c r="L372" s="34"/>
      <c r="M372" s="34"/>
      <c r="N372" s="34"/>
      <c r="O372" s="173"/>
    </row>
    <row r="373" spans="8:15" ht="12.75">
      <c r="H373" s="34"/>
      <c r="I373" s="34"/>
      <c r="J373" s="173"/>
      <c r="K373" s="34"/>
      <c r="L373" s="34"/>
      <c r="M373" s="34"/>
      <c r="N373" s="34"/>
      <c r="O373" s="173"/>
    </row>
    <row r="374" spans="8:15" ht="12.75">
      <c r="H374" s="34"/>
      <c r="I374" s="34"/>
      <c r="J374" s="173"/>
      <c r="K374" s="34"/>
      <c r="L374" s="34"/>
      <c r="M374" s="34"/>
      <c r="N374" s="34"/>
      <c r="O374" s="173"/>
    </row>
    <row r="375" spans="8:15" ht="12.75">
      <c r="H375" s="34"/>
      <c r="I375" s="34"/>
      <c r="J375" s="173"/>
      <c r="K375" s="34"/>
      <c r="L375" s="34"/>
      <c r="M375" s="34"/>
      <c r="N375" s="34"/>
      <c r="O375" s="173"/>
    </row>
    <row r="376" spans="8:15" ht="12.75">
      <c r="H376" s="34"/>
      <c r="I376" s="34"/>
      <c r="J376" s="173"/>
      <c r="K376" s="34"/>
      <c r="L376" s="34"/>
      <c r="M376" s="34"/>
      <c r="N376" s="34"/>
      <c r="O376" s="173"/>
    </row>
    <row r="377" spans="8:15" ht="12.75">
      <c r="H377" s="34"/>
      <c r="I377" s="34"/>
      <c r="J377" s="173"/>
      <c r="K377" s="34"/>
      <c r="L377" s="34"/>
      <c r="M377" s="34"/>
      <c r="N377" s="34"/>
      <c r="O377" s="173"/>
    </row>
    <row r="378" spans="8:15" ht="12.75">
      <c r="H378" s="34"/>
      <c r="I378" s="34"/>
      <c r="J378" s="173"/>
      <c r="K378" s="34"/>
      <c r="L378" s="34"/>
      <c r="M378" s="34"/>
      <c r="N378" s="34"/>
      <c r="O378" s="173"/>
    </row>
    <row r="379" spans="8:15" ht="12.75">
      <c r="H379" s="34"/>
      <c r="I379" s="34"/>
      <c r="J379" s="173"/>
      <c r="K379" s="34"/>
      <c r="L379" s="34"/>
      <c r="M379" s="34"/>
      <c r="N379" s="34"/>
      <c r="O379" s="173"/>
    </row>
    <row r="380" spans="8:15" ht="12.75">
      <c r="H380" s="34"/>
      <c r="I380" s="34"/>
      <c r="J380" s="173"/>
      <c r="K380" s="34"/>
      <c r="L380" s="34"/>
      <c r="M380" s="34"/>
      <c r="N380" s="34"/>
      <c r="O380" s="173"/>
    </row>
    <row r="381" spans="8:15" ht="12.75">
      <c r="H381" s="34"/>
      <c r="I381" s="34"/>
      <c r="J381" s="173"/>
      <c r="K381" s="34"/>
      <c r="L381" s="34"/>
      <c r="M381" s="34"/>
      <c r="N381" s="34"/>
      <c r="O381" s="173"/>
    </row>
    <row r="382" spans="8:15" ht="12.75">
      <c r="H382" s="34"/>
      <c r="I382" s="34"/>
      <c r="J382" s="173"/>
      <c r="K382" s="34"/>
      <c r="L382" s="34"/>
      <c r="M382" s="34"/>
      <c r="N382" s="34"/>
      <c r="O382" s="173"/>
    </row>
    <row r="383" spans="8:15" ht="12.75">
      <c r="H383" s="34"/>
      <c r="I383" s="34"/>
      <c r="J383" s="173"/>
      <c r="K383" s="34"/>
      <c r="L383" s="34"/>
      <c r="M383" s="34"/>
      <c r="N383" s="34"/>
      <c r="O383" s="173"/>
    </row>
    <row r="384" spans="8:15" ht="12.75">
      <c r="H384" s="34"/>
      <c r="I384" s="34"/>
      <c r="J384" s="173"/>
      <c r="K384" s="34"/>
      <c r="L384" s="34"/>
      <c r="M384" s="34"/>
      <c r="N384" s="34"/>
      <c r="O384" s="173"/>
    </row>
    <row r="385" spans="8:15" ht="12.75">
      <c r="H385" s="34"/>
      <c r="I385" s="34"/>
      <c r="J385" s="173"/>
      <c r="K385" s="34"/>
      <c r="L385" s="34"/>
      <c r="M385" s="34"/>
      <c r="N385" s="34"/>
      <c r="O385" s="173"/>
    </row>
    <row r="386" spans="8:15" ht="12.75">
      <c r="H386" s="34"/>
      <c r="I386" s="34"/>
      <c r="J386" s="173"/>
      <c r="K386" s="34"/>
      <c r="L386" s="34"/>
      <c r="M386" s="34"/>
      <c r="N386" s="34"/>
      <c r="O386" s="173"/>
    </row>
    <row r="387" spans="8:15" ht="12.75">
      <c r="H387" s="34"/>
      <c r="I387" s="34"/>
      <c r="J387" s="173"/>
      <c r="K387" s="34"/>
      <c r="L387" s="34"/>
      <c r="M387" s="34"/>
      <c r="N387" s="34"/>
      <c r="O387" s="173"/>
    </row>
    <row r="388" spans="8:15" ht="12.75">
      <c r="H388" s="34"/>
      <c r="I388" s="34"/>
      <c r="J388" s="173"/>
      <c r="K388" s="34"/>
      <c r="L388" s="34"/>
      <c r="M388" s="34"/>
      <c r="N388" s="34"/>
      <c r="O388" s="173"/>
    </row>
    <row r="389" spans="8:15" ht="12.75">
      <c r="H389" s="34"/>
      <c r="I389" s="34"/>
      <c r="J389" s="173"/>
      <c r="K389" s="34"/>
      <c r="L389" s="34"/>
      <c r="M389" s="34"/>
      <c r="N389" s="34"/>
      <c r="O389" s="173"/>
    </row>
    <row r="390" spans="8:15" ht="12.75">
      <c r="H390" s="34"/>
      <c r="I390" s="34"/>
      <c r="J390" s="173"/>
      <c r="K390" s="34"/>
      <c r="L390" s="34"/>
      <c r="M390" s="34"/>
      <c r="N390" s="34"/>
      <c r="O390" s="173"/>
    </row>
    <row r="391" spans="8:15" ht="12.75">
      <c r="H391" s="34"/>
      <c r="I391" s="34"/>
      <c r="J391" s="173"/>
      <c r="K391" s="34"/>
      <c r="L391" s="34"/>
      <c r="M391" s="34"/>
      <c r="N391" s="34"/>
      <c r="O391" s="173"/>
    </row>
    <row r="392" spans="8:15" ht="12.75">
      <c r="H392" s="34"/>
      <c r="I392" s="34"/>
      <c r="J392" s="173"/>
      <c r="K392" s="34"/>
      <c r="L392" s="34"/>
      <c r="M392" s="34"/>
      <c r="N392" s="34"/>
      <c r="O392" s="173"/>
    </row>
    <row r="393" spans="8:15" ht="12.75">
      <c r="H393" s="34"/>
      <c r="I393" s="34"/>
      <c r="J393" s="173"/>
      <c r="K393" s="34"/>
      <c r="L393" s="34"/>
      <c r="M393" s="34"/>
      <c r="N393" s="34"/>
      <c r="O393" s="173"/>
    </row>
    <row r="394" spans="8:15" ht="12.75">
      <c r="H394" s="34"/>
      <c r="I394" s="34"/>
      <c r="J394" s="173"/>
      <c r="K394" s="34"/>
      <c r="L394" s="34"/>
      <c r="M394" s="34"/>
      <c r="N394" s="34"/>
      <c r="O394" s="173"/>
    </row>
    <row r="395" spans="8:15" ht="12.75">
      <c r="H395" s="34"/>
      <c r="I395" s="34"/>
      <c r="J395" s="173"/>
      <c r="K395" s="34"/>
      <c r="L395" s="34"/>
      <c r="M395" s="34"/>
      <c r="N395" s="34"/>
      <c r="O395" s="173"/>
    </row>
    <row r="396" spans="8:15" ht="12.75">
      <c r="H396" s="34"/>
      <c r="I396" s="34"/>
      <c r="J396" s="173"/>
      <c r="K396" s="34"/>
      <c r="L396" s="34"/>
      <c r="M396" s="34"/>
      <c r="N396" s="34"/>
      <c r="O396" s="173"/>
    </row>
    <row r="397" spans="8:15" ht="12.75">
      <c r="H397" s="34"/>
      <c r="I397" s="34"/>
      <c r="J397" s="173"/>
      <c r="K397" s="34"/>
      <c r="L397" s="34"/>
      <c r="M397" s="34"/>
      <c r="N397" s="34"/>
      <c r="O397" s="173"/>
    </row>
    <row r="398" spans="8:15" ht="12.75">
      <c r="H398" s="34"/>
      <c r="I398" s="34"/>
      <c r="J398" s="173"/>
      <c r="K398" s="34"/>
      <c r="L398" s="34"/>
      <c r="M398" s="34"/>
      <c r="N398" s="34"/>
      <c r="O398" s="173"/>
    </row>
    <row r="399" spans="8:15" ht="12.75">
      <c r="H399" s="34"/>
      <c r="I399" s="34"/>
      <c r="J399" s="173"/>
      <c r="K399" s="34"/>
      <c r="L399" s="34"/>
      <c r="M399" s="34"/>
      <c r="N399" s="34"/>
      <c r="O399" s="173"/>
    </row>
    <row r="400" spans="8:15" ht="12.75">
      <c r="H400" s="34"/>
      <c r="I400" s="34"/>
      <c r="J400" s="173"/>
      <c r="K400" s="34"/>
      <c r="L400" s="34"/>
      <c r="M400" s="34"/>
      <c r="N400" s="34"/>
      <c r="O400" s="173"/>
    </row>
    <row r="401" spans="8:15" ht="12.75">
      <c r="H401" s="34"/>
      <c r="I401" s="34"/>
      <c r="J401" s="173"/>
      <c r="K401" s="34"/>
      <c r="L401" s="34"/>
      <c r="M401" s="34"/>
      <c r="N401" s="34"/>
      <c r="O401" s="173"/>
    </row>
    <row r="402" spans="8:15" ht="12.75">
      <c r="H402" s="34"/>
      <c r="I402" s="34"/>
      <c r="J402" s="173"/>
      <c r="K402" s="34"/>
      <c r="L402" s="34"/>
      <c r="M402" s="34"/>
      <c r="N402" s="34"/>
      <c r="O402" s="173"/>
    </row>
    <row r="403" spans="8:15" ht="12.75">
      <c r="H403" s="34"/>
      <c r="I403" s="34"/>
      <c r="J403" s="173"/>
      <c r="K403" s="34"/>
      <c r="L403" s="34"/>
      <c r="M403" s="34"/>
      <c r="N403" s="34"/>
      <c r="O403" s="173"/>
    </row>
    <row r="404" spans="8:15" ht="12.75">
      <c r="H404" s="34"/>
      <c r="I404" s="34"/>
      <c r="J404" s="173"/>
      <c r="K404" s="34"/>
      <c r="L404" s="34"/>
      <c r="M404" s="34"/>
      <c r="N404" s="34"/>
      <c r="O404" s="173"/>
    </row>
    <row r="405" spans="8:15" ht="12.75">
      <c r="H405" s="34"/>
      <c r="I405" s="34"/>
      <c r="J405" s="173"/>
      <c r="K405" s="34"/>
      <c r="L405" s="34"/>
      <c r="M405" s="34"/>
      <c r="N405" s="34"/>
      <c r="O405" s="173"/>
    </row>
    <row r="406" spans="8:15" ht="12.75">
      <c r="H406" s="34"/>
      <c r="I406" s="34"/>
      <c r="J406" s="173"/>
      <c r="K406" s="34"/>
      <c r="L406" s="34"/>
      <c r="M406" s="34"/>
      <c r="N406" s="34"/>
      <c r="O406" s="173"/>
    </row>
    <row r="407" spans="8:15" ht="12.75">
      <c r="H407" s="34"/>
      <c r="I407" s="34"/>
      <c r="J407" s="173"/>
      <c r="K407" s="34"/>
      <c r="L407" s="34"/>
      <c r="M407" s="34"/>
      <c r="N407" s="34"/>
      <c r="O407" s="173"/>
    </row>
    <row r="408" spans="8:15" ht="12.75">
      <c r="H408" s="34"/>
      <c r="I408" s="34"/>
      <c r="J408" s="173"/>
      <c r="K408" s="34"/>
      <c r="L408" s="34"/>
      <c r="M408" s="34"/>
      <c r="N408" s="34"/>
      <c r="O408" s="173"/>
    </row>
    <row r="409" spans="8:15" ht="12.75">
      <c r="H409" s="34"/>
      <c r="I409" s="34"/>
      <c r="J409" s="173"/>
      <c r="K409" s="34"/>
      <c r="L409" s="34"/>
      <c r="M409" s="34"/>
      <c r="N409" s="34"/>
      <c r="O409" s="173"/>
    </row>
    <row r="410" spans="8:15" ht="12.75">
      <c r="H410" s="34"/>
      <c r="I410" s="34"/>
      <c r="J410" s="173"/>
      <c r="K410" s="34"/>
      <c r="L410" s="34"/>
      <c r="M410" s="34"/>
      <c r="N410" s="34"/>
      <c r="O410" s="173"/>
    </row>
    <row r="411" spans="8:15" ht="12.75">
      <c r="H411" s="34"/>
      <c r="I411" s="34"/>
      <c r="J411" s="173"/>
      <c r="K411" s="34"/>
      <c r="L411" s="34"/>
      <c r="M411" s="34"/>
      <c r="N411" s="34"/>
      <c r="O411" s="173"/>
    </row>
    <row r="412" spans="8:15" ht="12.75">
      <c r="H412" s="34"/>
      <c r="I412" s="34"/>
      <c r="J412" s="173"/>
      <c r="K412" s="34"/>
      <c r="L412" s="34"/>
      <c r="M412" s="34"/>
      <c r="N412" s="34"/>
      <c r="O412" s="173"/>
    </row>
    <row r="413" spans="8:15" ht="12.75">
      <c r="H413" s="34"/>
      <c r="I413" s="34"/>
      <c r="J413" s="173"/>
      <c r="K413" s="34"/>
      <c r="L413" s="34"/>
      <c r="M413" s="34"/>
      <c r="N413" s="34"/>
      <c r="O413" s="173"/>
    </row>
    <row r="414" spans="8:15" ht="12.75">
      <c r="H414" s="34"/>
      <c r="I414" s="34"/>
      <c r="J414" s="173"/>
      <c r="K414" s="34"/>
      <c r="L414" s="34"/>
      <c r="M414" s="34"/>
      <c r="N414" s="34"/>
      <c r="O414" s="173"/>
    </row>
    <row r="415" spans="8:15" ht="12.75">
      <c r="H415" s="34"/>
      <c r="I415" s="34"/>
      <c r="J415" s="173"/>
      <c r="K415" s="34"/>
      <c r="L415" s="34"/>
      <c r="M415" s="34"/>
      <c r="N415" s="34"/>
      <c r="O415" s="173"/>
    </row>
    <row r="416" spans="8:15" ht="12.75">
      <c r="H416" s="34"/>
      <c r="I416" s="34"/>
      <c r="J416" s="173"/>
      <c r="K416" s="34"/>
      <c r="L416" s="34"/>
      <c r="M416" s="34"/>
      <c r="N416" s="34"/>
      <c r="O416" s="173"/>
    </row>
    <row r="417" spans="8:15" ht="12.75">
      <c r="H417" s="34"/>
      <c r="I417" s="34"/>
      <c r="J417" s="173"/>
      <c r="K417" s="34"/>
      <c r="L417" s="34"/>
      <c r="M417" s="34"/>
      <c r="N417" s="34"/>
      <c r="O417" s="173"/>
    </row>
    <row r="418" spans="8:15" ht="12.75">
      <c r="H418" s="34"/>
      <c r="I418" s="34"/>
      <c r="J418" s="173"/>
      <c r="K418" s="34"/>
      <c r="L418" s="34"/>
      <c r="M418" s="34"/>
      <c r="N418" s="34"/>
      <c r="O418" s="173"/>
    </row>
    <row r="419" spans="8:15" ht="12.75">
      <c r="H419" s="34"/>
      <c r="I419" s="34"/>
      <c r="J419" s="173"/>
      <c r="K419" s="34"/>
      <c r="L419" s="34"/>
      <c r="M419" s="34"/>
      <c r="N419" s="34"/>
      <c r="O419" s="173"/>
    </row>
    <row r="420" spans="8:15" ht="12.75">
      <c r="H420" s="34"/>
      <c r="I420" s="34"/>
      <c r="J420" s="173"/>
      <c r="K420" s="34"/>
      <c r="L420" s="34"/>
      <c r="M420" s="34"/>
      <c r="N420" s="34"/>
      <c r="O420" s="173"/>
    </row>
    <row r="421" spans="8:15" ht="12.75">
      <c r="H421" s="34"/>
      <c r="I421" s="34"/>
      <c r="J421" s="173"/>
      <c r="K421" s="34"/>
      <c r="L421" s="34"/>
      <c r="M421" s="34"/>
      <c r="N421" s="34"/>
      <c r="O421" s="173"/>
    </row>
    <row r="422" spans="8:15" ht="12.75">
      <c r="H422" s="34"/>
      <c r="I422" s="34"/>
      <c r="J422" s="173"/>
      <c r="K422" s="34"/>
      <c r="L422" s="34"/>
      <c r="M422" s="34"/>
      <c r="N422" s="34"/>
      <c r="O422" s="173"/>
    </row>
    <row r="423" spans="8:15" ht="12.75">
      <c r="H423" s="34"/>
      <c r="I423" s="34"/>
      <c r="J423" s="173"/>
      <c r="K423" s="34"/>
      <c r="L423" s="34"/>
      <c r="M423" s="34"/>
      <c r="N423" s="34"/>
      <c r="O423" s="173"/>
    </row>
    <row r="424" spans="8:15" ht="12.75">
      <c r="H424" s="34"/>
      <c r="I424" s="34"/>
      <c r="J424" s="173"/>
      <c r="K424" s="34"/>
      <c r="L424" s="34"/>
      <c r="M424" s="34"/>
      <c r="N424" s="34"/>
      <c r="O424" s="173"/>
    </row>
    <row r="425" spans="8:15" ht="12.75">
      <c r="H425" s="34"/>
      <c r="I425" s="34"/>
      <c r="J425" s="173"/>
      <c r="K425" s="34"/>
      <c r="L425" s="34"/>
      <c r="M425" s="34"/>
      <c r="N425" s="34"/>
      <c r="O425" s="173"/>
    </row>
    <row r="426" spans="8:15" ht="12.75">
      <c r="H426" s="34"/>
      <c r="I426" s="34"/>
      <c r="J426" s="173"/>
      <c r="K426" s="34"/>
      <c r="L426" s="34"/>
      <c r="M426" s="34"/>
      <c r="N426" s="34"/>
      <c r="O426" s="173"/>
    </row>
    <row r="427" spans="8:15" ht="12.75">
      <c r="H427" s="34"/>
      <c r="I427" s="34"/>
      <c r="J427" s="173"/>
      <c r="K427" s="34"/>
      <c r="L427" s="34"/>
      <c r="M427" s="34"/>
      <c r="N427" s="34"/>
      <c r="O427" s="173"/>
    </row>
    <row r="428" spans="8:15" ht="12.75">
      <c r="H428" s="34"/>
      <c r="I428" s="34"/>
      <c r="J428" s="173"/>
      <c r="K428" s="34"/>
      <c r="L428" s="34"/>
      <c r="M428" s="34"/>
      <c r="N428" s="34"/>
      <c r="O428" s="173"/>
    </row>
    <row r="429" spans="8:15" ht="12.75">
      <c r="H429" s="34"/>
      <c r="I429" s="34"/>
      <c r="J429" s="173"/>
      <c r="K429" s="34"/>
      <c r="L429" s="34"/>
      <c r="M429" s="34"/>
      <c r="N429" s="34"/>
      <c r="O429" s="173"/>
    </row>
    <row r="430" spans="8:15" ht="12.75">
      <c r="H430" s="34"/>
      <c r="I430" s="34"/>
      <c r="J430" s="173"/>
      <c r="K430" s="34"/>
      <c r="L430" s="34"/>
      <c r="M430" s="34"/>
      <c r="N430" s="34"/>
      <c r="O430" s="173"/>
    </row>
    <row r="431" spans="8:15" ht="12.75">
      <c r="H431" s="34"/>
      <c r="I431" s="34"/>
      <c r="J431" s="173"/>
      <c r="K431" s="34"/>
      <c r="L431" s="34"/>
      <c r="M431" s="34"/>
      <c r="N431" s="34"/>
      <c r="O431" s="173"/>
    </row>
    <row r="432" spans="8:15" ht="12.75">
      <c r="H432" s="34"/>
      <c r="I432" s="34"/>
      <c r="J432" s="173"/>
      <c r="K432" s="34"/>
      <c r="L432" s="34"/>
      <c r="M432" s="34"/>
      <c r="N432" s="34"/>
      <c r="O432" s="173"/>
    </row>
    <row r="433" spans="8:15" ht="12.75">
      <c r="H433" s="34"/>
      <c r="I433" s="34"/>
      <c r="J433" s="173"/>
      <c r="K433" s="34"/>
      <c r="L433" s="34"/>
      <c r="M433" s="34"/>
      <c r="N433" s="34"/>
      <c r="O433" s="173"/>
    </row>
    <row r="434" spans="8:15" ht="12.75">
      <c r="H434" s="34"/>
      <c r="I434" s="34"/>
      <c r="J434" s="173"/>
      <c r="K434" s="34"/>
      <c r="L434" s="34"/>
      <c r="M434" s="34"/>
      <c r="N434" s="34"/>
      <c r="O434" s="173"/>
    </row>
    <row r="435" spans="8:15" ht="12.75">
      <c r="H435" s="34"/>
      <c r="I435" s="34"/>
      <c r="J435" s="173"/>
      <c r="K435" s="34"/>
      <c r="L435" s="34"/>
      <c r="M435" s="34"/>
      <c r="N435" s="34"/>
      <c r="O435" s="173"/>
    </row>
    <row r="436" spans="8:15" ht="12.75">
      <c r="H436" s="34"/>
      <c r="I436" s="34"/>
      <c r="J436" s="173"/>
      <c r="K436" s="34"/>
      <c r="L436" s="34"/>
      <c r="M436" s="34"/>
      <c r="N436" s="34"/>
      <c r="O436" s="173"/>
    </row>
    <row r="437" spans="8:15" ht="12.75">
      <c r="H437" s="34"/>
      <c r="I437" s="34"/>
      <c r="J437" s="173"/>
      <c r="K437" s="34"/>
      <c r="L437" s="34"/>
      <c r="M437" s="34"/>
      <c r="N437" s="34"/>
      <c r="O437" s="173"/>
    </row>
    <row r="438" spans="8:15" ht="12.75">
      <c r="H438" s="34"/>
      <c r="I438" s="34"/>
      <c r="J438" s="173"/>
      <c r="K438" s="34"/>
      <c r="L438" s="34"/>
      <c r="M438" s="34"/>
      <c r="N438" s="34"/>
      <c r="O438" s="173"/>
    </row>
    <row r="439" spans="8:15" ht="12.75">
      <c r="H439" s="34"/>
      <c r="I439" s="34"/>
      <c r="J439" s="173"/>
      <c r="K439" s="34"/>
      <c r="L439" s="34"/>
      <c r="M439" s="34"/>
      <c r="N439" s="34"/>
      <c r="O439" s="173"/>
    </row>
    <row r="440" spans="8:15" ht="12.75">
      <c r="H440" s="34"/>
      <c r="I440" s="34"/>
      <c r="J440" s="173"/>
      <c r="K440" s="34"/>
      <c r="L440" s="34"/>
      <c r="M440" s="34"/>
      <c r="N440" s="34"/>
      <c r="O440" s="173"/>
    </row>
    <row r="441" spans="8:15" ht="12.75">
      <c r="H441" s="34"/>
      <c r="I441" s="34"/>
      <c r="J441" s="173"/>
      <c r="K441" s="34"/>
      <c r="L441" s="34"/>
      <c r="M441" s="34"/>
      <c r="N441" s="34"/>
      <c r="O441" s="173"/>
    </row>
    <row r="442" spans="8:15" ht="12.75">
      <c r="H442" s="34"/>
      <c r="I442" s="34"/>
      <c r="J442" s="173"/>
      <c r="K442" s="34"/>
      <c r="L442" s="34"/>
      <c r="M442" s="34"/>
      <c r="N442" s="34"/>
      <c r="O442" s="173"/>
    </row>
    <row r="443" spans="8:15" ht="12.75">
      <c r="H443" s="34"/>
      <c r="I443" s="34"/>
      <c r="J443" s="173"/>
      <c r="K443" s="34"/>
      <c r="L443" s="34"/>
      <c r="M443" s="34"/>
      <c r="N443" s="34"/>
      <c r="O443" s="173"/>
    </row>
    <row r="444" spans="8:15" ht="12.75">
      <c r="H444" s="34"/>
      <c r="I444" s="34"/>
      <c r="J444" s="173"/>
      <c r="K444" s="34"/>
      <c r="L444" s="34"/>
      <c r="M444" s="34"/>
      <c r="N444" s="34"/>
      <c r="O444" s="173"/>
    </row>
    <row r="445" spans="8:15" ht="12.75">
      <c r="H445" s="34"/>
      <c r="I445" s="34"/>
      <c r="J445" s="173"/>
      <c r="K445" s="34"/>
      <c r="L445" s="34"/>
      <c r="M445" s="34"/>
      <c r="N445" s="34"/>
      <c r="O445" s="173"/>
    </row>
    <row r="446" spans="8:15" ht="12.75">
      <c r="H446" s="34"/>
      <c r="I446" s="34"/>
      <c r="J446" s="173"/>
      <c r="K446" s="34"/>
      <c r="L446" s="34"/>
      <c r="M446" s="34"/>
      <c r="N446" s="34"/>
      <c r="O446" s="173"/>
    </row>
    <row r="447" spans="8:15" ht="12.75">
      <c r="H447" s="34"/>
      <c r="I447" s="34"/>
      <c r="J447" s="173"/>
      <c r="K447" s="34"/>
      <c r="L447" s="34"/>
      <c r="M447" s="34"/>
      <c r="N447" s="34"/>
      <c r="O447" s="173"/>
    </row>
    <row r="448" spans="8:15" ht="12.75">
      <c r="H448" s="34"/>
      <c r="I448" s="34"/>
      <c r="J448" s="173"/>
      <c r="K448" s="34"/>
      <c r="L448" s="34"/>
      <c r="M448" s="34"/>
      <c r="N448" s="34"/>
      <c r="O448" s="173"/>
    </row>
    <row r="449" spans="8:15" ht="12.75">
      <c r="H449" s="34"/>
      <c r="I449" s="34"/>
      <c r="J449" s="173"/>
      <c r="K449" s="34"/>
      <c r="L449" s="34"/>
      <c r="M449" s="34"/>
      <c r="N449" s="34"/>
      <c r="O449" s="173"/>
    </row>
    <row r="450" spans="8:15" ht="12.75">
      <c r="H450" s="34"/>
      <c r="I450" s="34"/>
      <c r="J450" s="173"/>
      <c r="K450" s="34"/>
      <c r="L450" s="34"/>
      <c r="M450" s="34"/>
      <c r="N450" s="34"/>
      <c r="O450" s="173"/>
    </row>
    <row r="451" spans="8:15" ht="12.75">
      <c r="H451" s="34"/>
      <c r="I451" s="34"/>
      <c r="J451" s="173"/>
      <c r="K451" s="34"/>
      <c r="L451" s="34"/>
      <c r="M451" s="34"/>
      <c r="N451" s="34"/>
      <c r="O451" s="173"/>
    </row>
    <row r="452" spans="8:15" ht="12.75">
      <c r="H452" s="34"/>
      <c r="I452" s="34"/>
      <c r="J452" s="173"/>
      <c r="K452" s="34"/>
      <c r="L452" s="34"/>
      <c r="M452" s="34"/>
      <c r="N452" s="34"/>
      <c r="O452" s="173"/>
    </row>
    <row r="453" spans="8:15" ht="12.75">
      <c r="H453" s="34"/>
      <c r="I453" s="34"/>
      <c r="J453" s="173"/>
      <c r="K453" s="34"/>
      <c r="L453" s="34"/>
      <c r="M453" s="34"/>
      <c r="N453" s="34"/>
      <c r="O453" s="173"/>
    </row>
    <row r="454" spans="8:15" ht="12.75">
      <c r="H454" s="34"/>
      <c r="I454" s="34"/>
      <c r="J454" s="173"/>
      <c r="K454" s="34"/>
      <c r="L454" s="34"/>
      <c r="M454" s="34"/>
      <c r="N454" s="34"/>
      <c r="O454" s="173"/>
    </row>
    <row r="455" spans="8:15" ht="12.75">
      <c r="H455" s="34"/>
      <c r="I455" s="34"/>
      <c r="J455" s="173"/>
      <c r="K455" s="34"/>
      <c r="L455" s="34"/>
      <c r="M455" s="34"/>
      <c r="N455" s="34"/>
      <c r="O455" s="173"/>
    </row>
    <row r="456" spans="8:15" ht="12.75">
      <c r="H456" s="34"/>
      <c r="I456" s="34"/>
      <c r="J456" s="173"/>
      <c r="K456" s="34"/>
      <c r="L456" s="34"/>
      <c r="M456" s="34"/>
      <c r="N456" s="34"/>
      <c r="O456" s="173"/>
    </row>
    <row r="457" spans="8:15" ht="12.75">
      <c r="H457" s="34"/>
      <c r="I457" s="34"/>
      <c r="J457" s="173"/>
      <c r="K457" s="34"/>
      <c r="L457" s="34"/>
      <c r="M457" s="34"/>
      <c r="N457" s="34"/>
      <c r="O457" s="173"/>
    </row>
    <row r="458" spans="8:15" ht="12.75">
      <c r="H458" s="34"/>
      <c r="I458" s="34"/>
      <c r="J458" s="173"/>
      <c r="K458" s="34"/>
      <c r="L458" s="34"/>
      <c r="M458" s="34"/>
      <c r="N458" s="34"/>
      <c r="O458" s="173"/>
    </row>
    <row r="459" spans="8:15" ht="12.75">
      <c r="H459" s="34"/>
      <c r="I459" s="34"/>
      <c r="J459" s="173"/>
      <c r="K459" s="34"/>
      <c r="L459" s="34"/>
      <c r="M459" s="34"/>
      <c r="N459" s="34"/>
      <c r="O459" s="173"/>
    </row>
    <row r="460" spans="8:15" ht="12.75">
      <c r="H460" s="34"/>
      <c r="I460" s="34"/>
      <c r="J460" s="173"/>
      <c r="K460" s="34"/>
      <c r="L460" s="34"/>
      <c r="M460" s="34"/>
      <c r="N460" s="34"/>
      <c r="O460" s="173"/>
    </row>
    <row r="461" spans="8:15" ht="12.75">
      <c r="H461" s="34"/>
      <c r="I461" s="34"/>
      <c r="J461" s="173"/>
      <c r="K461" s="34"/>
      <c r="L461" s="34"/>
      <c r="M461" s="34"/>
      <c r="N461" s="34"/>
      <c r="O461" s="173"/>
    </row>
    <row r="462" spans="8:15" ht="12.75">
      <c r="H462" s="34"/>
      <c r="I462" s="34"/>
      <c r="J462" s="173"/>
      <c r="K462" s="34"/>
      <c r="L462" s="34"/>
      <c r="M462" s="34"/>
      <c r="N462" s="34"/>
      <c r="O462" s="173"/>
    </row>
    <row r="463" spans="8:15" ht="12.75">
      <c r="H463" s="34"/>
      <c r="I463" s="34"/>
      <c r="J463" s="173"/>
      <c r="K463" s="34"/>
      <c r="L463" s="34"/>
      <c r="M463" s="34"/>
      <c r="N463" s="34"/>
      <c r="O463" s="173"/>
    </row>
    <row r="464" spans="8:15" ht="12.75">
      <c r="H464" s="34"/>
      <c r="I464" s="34"/>
      <c r="J464" s="173"/>
      <c r="K464" s="34"/>
      <c r="L464" s="34"/>
      <c r="M464" s="34"/>
      <c r="N464" s="34"/>
      <c r="O464" s="173"/>
    </row>
    <row r="465" spans="8:15" ht="12.75">
      <c r="H465" s="34"/>
      <c r="I465" s="34"/>
      <c r="J465" s="173"/>
      <c r="K465" s="34"/>
      <c r="L465" s="34"/>
      <c r="M465" s="34"/>
      <c r="N465" s="34"/>
      <c r="O465" s="173"/>
    </row>
    <row r="466" spans="8:15" ht="12.75">
      <c r="H466" s="34"/>
      <c r="I466" s="34"/>
      <c r="J466" s="173"/>
      <c r="K466" s="34"/>
      <c r="L466" s="34"/>
      <c r="M466" s="34"/>
      <c r="N466" s="34"/>
      <c r="O466" s="173"/>
    </row>
    <row r="467" spans="8:15" ht="12.75">
      <c r="H467" s="34"/>
      <c r="I467" s="34"/>
      <c r="J467" s="173"/>
      <c r="K467" s="34"/>
      <c r="L467" s="34"/>
      <c r="M467" s="34"/>
      <c r="N467" s="34"/>
      <c r="O467" s="173"/>
    </row>
    <row r="468" spans="8:15" ht="12.75">
      <c r="H468" s="34"/>
      <c r="I468" s="34"/>
      <c r="J468" s="173"/>
      <c r="K468" s="34"/>
      <c r="L468" s="34"/>
      <c r="M468" s="34"/>
      <c r="N468" s="34"/>
      <c r="O468" s="173"/>
    </row>
    <row r="469" spans="8:15" ht="12.75">
      <c r="H469" s="34"/>
      <c r="I469" s="34"/>
      <c r="J469" s="173"/>
      <c r="K469" s="34"/>
      <c r="L469" s="34"/>
      <c r="M469" s="34"/>
      <c r="N469" s="34"/>
      <c r="O469" s="173"/>
    </row>
    <row r="470" spans="8:15" ht="12.75">
      <c r="H470" s="34"/>
      <c r="I470" s="34"/>
      <c r="J470" s="173"/>
      <c r="K470" s="34"/>
      <c r="L470" s="34"/>
      <c r="M470" s="34"/>
      <c r="N470" s="34"/>
      <c r="O470" s="173"/>
    </row>
    <row r="471" spans="8:15" ht="12.75">
      <c r="H471" s="34"/>
      <c r="I471" s="34"/>
      <c r="J471" s="173"/>
      <c r="K471" s="34"/>
      <c r="L471" s="34"/>
      <c r="M471" s="34"/>
      <c r="N471" s="34"/>
      <c r="O471" s="173"/>
    </row>
    <row r="472" spans="8:15" ht="12.75">
      <c r="H472" s="34"/>
      <c r="I472" s="34"/>
      <c r="J472" s="173"/>
      <c r="K472" s="34"/>
      <c r="L472" s="34"/>
      <c r="M472" s="34"/>
      <c r="N472" s="34"/>
      <c r="O472" s="173"/>
    </row>
    <row r="473" spans="8:15" ht="12.75">
      <c r="H473" s="34"/>
      <c r="I473" s="34"/>
      <c r="J473" s="173"/>
      <c r="K473" s="34"/>
      <c r="L473" s="34"/>
      <c r="M473" s="34"/>
      <c r="N473" s="34"/>
      <c r="O473" s="173"/>
    </row>
    <row r="474" spans="8:15" ht="12.75">
      <c r="H474" s="34"/>
      <c r="I474" s="34"/>
      <c r="J474" s="173"/>
      <c r="K474" s="34"/>
      <c r="L474" s="34"/>
      <c r="M474" s="34"/>
      <c r="N474" s="34"/>
      <c r="O474" s="173"/>
    </row>
    <row r="475" spans="8:15" ht="12.75">
      <c r="H475" s="34"/>
      <c r="I475" s="34"/>
      <c r="J475" s="173"/>
      <c r="K475" s="34"/>
      <c r="L475" s="34"/>
      <c r="M475" s="34"/>
      <c r="N475" s="34"/>
      <c r="O475" s="173"/>
    </row>
    <row r="476" spans="8:15" ht="12.75">
      <c r="H476" s="34"/>
      <c r="I476" s="34"/>
      <c r="J476" s="173"/>
      <c r="K476" s="34"/>
      <c r="L476" s="34"/>
      <c r="M476" s="34"/>
      <c r="N476" s="34"/>
      <c r="O476" s="173"/>
    </row>
    <row r="477" spans="8:15" ht="12.75">
      <c r="H477" s="34"/>
      <c r="I477" s="34"/>
      <c r="J477" s="173"/>
      <c r="K477" s="34"/>
      <c r="L477" s="34"/>
      <c r="M477" s="34"/>
      <c r="N477" s="34"/>
      <c r="O477" s="173"/>
    </row>
    <row r="478" spans="8:15" ht="12.75">
      <c r="H478" s="34"/>
      <c r="I478" s="34"/>
      <c r="J478" s="173"/>
      <c r="K478" s="34"/>
      <c r="L478" s="34"/>
      <c r="M478" s="34"/>
      <c r="N478" s="34"/>
      <c r="O478" s="173"/>
    </row>
    <row r="479" spans="8:15" ht="12.75">
      <c r="H479" s="34"/>
      <c r="I479" s="34"/>
      <c r="J479" s="173"/>
      <c r="K479" s="34"/>
      <c r="L479" s="34"/>
      <c r="M479" s="34"/>
      <c r="N479" s="34"/>
      <c r="O479" s="173"/>
    </row>
    <row r="480" spans="8:15" ht="12.75">
      <c r="H480" s="34"/>
      <c r="I480" s="34"/>
      <c r="J480" s="173"/>
      <c r="K480" s="34"/>
      <c r="L480" s="34"/>
      <c r="M480" s="34"/>
      <c r="N480" s="34"/>
      <c r="O480" s="173"/>
    </row>
    <row r="481" spans="8:15" ht="12.75">
      <c r="H481" s="34"/>
      <c r="I481" s="34"/>
      <c r="J481" s="173"/>
      <c r="K481" s="34"/>
      <c r="L481" s="34"/>
      <c r="M481" s="34"/>
      <c r="N481" s="34"/>
      <c r="O481" s="173"/>
    </row>
    <row r="482" spans="8:15" ht="12.75">
      <c r="H482" s="34"/>
      <c r="I482" s="34"/>
      <c r="J482" s="173"/>
      <c r="K482" s="34"/>
      <c r="L482" s="34"/>
      <c r="M482" s="34"/>
      <c r="N482" s="34"/>
      <c r="O482" s="173"/>
    </row>
    <row r="483" spans="8:15" ht="12.75">
      <c r="H483" s="34"/>
      <c r="I483" s="34"/>
      <c r="J483" s="173"/>
      <c r="K483" s="34"/>
      <c r="L483" s="34"/>
      <c r="M483" s="34"/>
      <c r="N483" s="34"/>
      <c r="O483" s="173"/>
    </row>
    <row r="484" spans="8:15" ht="12.75">
      <c r="H484" s="34"/>
      <c r="I484" s="34"/>
      <c r="J484" s="173"/>
      <c r="K484" s="34"/>
      <c r="L484" s="34"/>
      <c r="M484" s="34"/>
      <c r="N484" s="34"/>
      <c r="O484" s="173"/>
    </row>
    <row r="485" spans="8:15" ht="12.75">
      <c r="H485" s="34"/>
      <c r="I485" s="34"/>
      <c r="J485" s="173"/>
      <c r="K485" s="34"/>
      <c r="L485" s="34"/>
      <c r="M485" s="34"/>
      <c r="N485" s="34"/>
      <c r="O485" s="173"/>
    </row>
    <row r="486" spans="8:15" ht="12.75">
      <c r="H486" s="34"/>
      <c r="I486" s="34"/>
      <c r="J486" s="173"/>
      <c r="K486" s="34"/>
      <c r="L486" s="34"/>
      <c r="M486" s="34"/>
      <c r="N486" s="34"/>
      <c r="O486" s="173"/>
    </row>
    <row r="487" spans="8:15" ht="12.75">
      <c r="H487" s="34"/>
      <c r="I487" s="34"/>
      <c r="J487" s="173"/>
      <c r="K487" s="34"/>
      <c r="L487" s="34"/>
      <c r="M487" s="34"/>
      <c r="N487" s="34"/>
      <c r="O487" s="173"/>
    </row>
    <row r="488" spans="8:15" ht="12.75">
      <c r="H488" s="34"/>
      <c r="I488" s="34"/>
      <c r="J488" s="173"/>
      <c r="K488" s="34"/>
      <c r="L488" s="34"/>
      <c r="M488" s="34"/>
      <c r="N488" s="34"/>
      <c r="O488" s="173"/>
    </row>
    <row r="489" spans="8:15" ht="12.75">
      <c r="H489" s="34"/>
      <c r="I489" s="34"/>
      <c r="J489" s="173"/>
      <c r="K489" s="34"/>
      <c r="L489" s="34"/>
      <c r="M489" s="34"/>
      <c r="N489" s="34"/>
      <c r="O489" s="173"/>
    </row>
    <row r="490" spans="8:15" ht="12.75">
      <c r="H490" s="34"/>
      <c r="I490" s="34"/>
      <c r="J490" s="173"/>
      <c r="K490" s="34"/>
      <c r="L490" s="34"/>
      <c r="M490" s="34"/>
      <c r="N490" s="34"/>
      <c r="O490" s="173"/>
    </row>
    <row r="491" spans="8:15" ht="12.75">
      <c r="H491" s="34"/>
      <c r="I491" s="34"/>
      <c r="J491" s="173"/>
      <c r="K491" s="34"/>
      <c r="L491" s="34"/>
      <c r="M491" s="34"/>
      <c r="N491" s="34"/>
      <c r="O491" s="173"/>
    </row>
    <row r="492" spans="8:15" ht="12.75">
      <c r="H492" s="34"/>
      <c r="I492" s="34"/>
      <c r="J492" s="173"/>
      <c r="K492" s="34"/>
      <c r="L492" s="34"/>
      <c r="M492" s="34"/>
      <c r="N492" s="34"/>
      <c r="O492" s="173"/>
    </row>
    <row r="493" spans="8:15" ht="12.75">
      <c r="H493" s="34"/>
      <c r="I493" s="34"/>
      <c r="J493" s="173"/>
      <c r="K493" s="34"/>
      <c r="L493" s="34"/>
      <c r="M493" s="34"/>
      <c r="N493" s="34"/>
      <c r="O493" s="173"/>
    </row>
    <row r="494" spans="8:15" ht="12.75">
      <c r="H494" s="34"/>
      <c r="I494" s="34"/>
      <c r="J494" s="173"/>
      <c r="K494" s="34"/>
      <c r="L494" s="34"/>
      <c r="M494" s="34"/>
      <c r="N494" s="34"/>
      <c r="O494" s="173"/>
    </row>
    <row r="495" spans="8:15" ht="12.75">
      <c r="H495" s="34"/>
      <c r="I495" s="34"/>
      <c r="J495" s="173"/>
      <c r="K495" s="34"/>
      <c r="L495" s="34"/>
      <c r="M495" s="34"/>
      <c r="N495" s="34"/>
      <c r="O495" s="173"/>
    </row>
    <row r="496" spans="8:15" ht="12.75">
      <c r="H496" s="34"/>
      <c r="I496" s="34"/>
      <c r="J496" s="173"/>
      <c r="K496" s="34"/>
      <c r="L496" s="34"/>
      <c r="M496" s="34"/>
      <c r="N496" s="34"/>
      <c r="O496" s="173"/>
    </row>
    <row r="497" spans="8:15" ht="12.75">
      <c r="H497" s="34"/>
      <c r="I497" s="34"/>
      <c r="J497" s="173"/>
      <c r="K497" s="34"/>
      <c r="L497" s="34"/>
      <c r="M497" s="34"/>
      <c r="N497" s="34"/>
      <c r="O497" s="173"/>
    </row>
    <row r="498" spans="8:15" ht="12.75">
      <c r="H498" s="34"/>
      <c r="I498" s="34"/>
      <c r="J498" s="173"/>
      <c r="K498" s="34"/>
      <c r="L498" s="34"/>
      <c r="M498" s="34"/>
      <c r="N498" s="34"/>
      <c r="O498" s="173"/>
    </row>
    <row r="499" spans="8:15" ht="12.75">
      <c r="H499" s="34"/>
      <c r="I499" s="34"/>
      <c r="J499" s="173"/>
      <c r="K499" s="34"/>
      <c r="L499" s="34"/>
      <c r="M499" s="34"/>
      <c r="N499" s="34"/>
      <c r="O499" s="173"/>
    </row>
    <row r="500" spans="8:15" ht="12.75">
      <c r="H500" s="34"/>
      <c r="I500" s="34"/>
      <c r="J500" s="173"/>
      <c r="K500" s="34"/>
      <c r="L500" s="34"/>
      <c r="M500" s="34"/>
      <c r="N500" s="34"/>
      <c r="O500" s="173"/>
    </row>
    <row r="501" spans="8:15" ht="12.75">
      <c r="H501" s="34"/>
      <c r="I501" s="34"/>
      <c r="J501" s="173"/>
      <c r="K501" s="34"/>
      <c r="L501" s="34"/>
      <c r="M501" s="34"/>
      <c r="N501" s="34"/>
      <c r="O501" s="173"/>
    </row>
    <row r="502" spans="8:15" ht="12.75">
      <c r="H502" s="34"/>
      <c r="I502" s="34"/>
      <c r="J502" s="173"/>
      <c r="K502" s="34"/>
      <c r="L502" s="34"/>
      <c r="M502" s="34"/>
      <c r="N502" s="34"/>
      <c r="O502" s="173"/>
    </row>
    <row r="503" spans="8:15" ht="12.75">
      <c r="H503" s="34"/>
      <c r="I503" s="34"/>
      <c r="J503" s="173"/>
      <c r="K503" s="34"/>
      <c r="L503" s="34"/>
      <c r="M503" s="34"/>
      <c r="N503" s="34"/>
      <c r="O503" s="173"/>
    </row>
    <row r="504" spans="8:15" ht="12.75">
      <c r="H504" s="34"/>
      <c r="I504" s="34"/>
      <c r="J504" s="173"/>
      <c r="K504" s="34"/>
      <c r="L504" s="34"/>
      <c r="M504" s="34"/>
      <c r="N504" s="34"/>
      <c r="O504" s="173"/>
    </row>
    <row r="505" spans="8:15" ht="12.75">
      <c r="H505" s="34"/>
      <c r="I505" s="34"/>
      <c r="J505" s="173"/>
      <c r="K505" s="34"/>
      <c r="L505" s="34"/>
      <c r="M505" s="34"/>
      <c r="N505" s="34"/>
      <c r="O505" s="173"/>
    </row>
    <row r="506" spans="8:15" ht="12.75">
      <c r="H506" s="34"/>
      <c r="I506" s="34"/>
      <c r="J506" s="173"/>
      <c r="K506" s="34"/>
      <c r="L506" s="34"/>
      <c r="M506" s="34"/>
      <c r="N506" s="34"/>
      <c r="O506" s="173"/>
    </row>
    <row r="507" spans="8:15" ht="12.75">
      <c r="H507" s="34"/>
      <c r="I507" s="34"/>
      <c r="J507" s="173"/>
      <c r="K507" s="34"/>
      <c r="L507" s="34"/>
      <c r="M507" s="34"/>
      <c r="N507" s="34"/>
      <c r="O507" s="173"/>
    </row>
    <row r="508" spans="8:15" ht="12.75">
      <c r="H508" s="34"/>
      <c r="I508" s="34"/>
      <c r="J508" s="173"/>
      <c r="K508" s="34"/>
      <c r="L508" s="34"/>
      <c r="M508" s="34"/>
      <c r="N508" s="34"/>
      <c r="O508" s="173"/>
    </row>
    <row r="509" spans="8:15" ht="12.75">
      <c r="H509" s="34"/>
      <c r="I509" s="34"/>
      <c r="J509" s="173"/>
      <c r="K509" s="34"/>
      <c r="L509" s="34"/>
      <c r="M509" s="34"/>
      <c r="N509" s="34"/>
      <c r="O509" s="173"/>
    </row>
    <row r="510" spans="8:15" ht="12.75">
      <c r="H510" s="34"/>
      <c r="I510" s="34"/>
      <c r="J510" s="173"/>
      <c r="K510" s="34"/>
      <c r="L510" s="34"/>
      <c r="M510" s="34"/>
      <c r="N510" s="34"/>
      <c r="O510" s="173"/>
    </row>
    <row r="511" spans="8:15" ht="12.75">
      <c r="H511" s="34"/>
      <c r="I511" s="34"/>
      <c r="J511" s="173"/>
      <c r="K511" s="34"/>
      <c r="L511" s="34"/>
      <c r="M511" s="34"/>
      <c r="N511" s="34"/>
      <c r="O511" s="173"/>
    </row>
    <row r="512" spans="8:15" ht="12.75">
      <c r="H512" s="34"/>
      <c r="I512" s="34"/>
      <c r="J512" s="173"/>
      <c r="K512" s="34"/>
      <c r="L512" s="34"/>
      <c r="M512" s="34"/>
      <c r="N512" s="34"/>
      <c r="O512" s="173"/>
    </row>
    <row r="513" spans="8:15" ht="12.75">
      <c r="H513" s="34"/>
      <c r="I513" s="34"/>
      <c r="J513" s="173"/>
      <c r="K513" s="34"/>
      <c r="L513" s="34"/>
      <c r="M513" s="34"/>
      <c r="N513" s="34"/>
      <c r="O513" s="173"/>
    </row>
    <row r="514" spans="8:15" ht="12.75">
      <c r="H514" s="34"/>
      <c r="I514" s="34"/>
      <c r="J514" s="173"/>
      <c r="K514" s="34"/>
      <c r="L514" s="34"/>
      <c r="M514" s="34"/>
      <c r="N514" s="34"/>
      <c r="O514" s="173"/>
    </row>
    <row r="515" spans="8:15" ht="12.75">
      <c r="H515" s="34"/>
      <c r="I515" s="34"/>
      <c r="J515" s="173"/>
      <c r="K515" s="34"/>
      <c r="L515" s="34"/>
      <c r="M515" s="34"/>
      <c r="N515" s="34"/>
      <c r="O515" s="173"/>
    </row>
    <row r="516" spans="8:15" ht="12.75">
      <c r="H516" s="34"/>
      <c r="I516" s="34"/>
      <c r="J516" s="173"/>
      <c r="K516" s="34"/>
      <c r="L516" s="34"/>
      <c r="M516" s="34"/>
      <c r="N516" s="34"/>
      <c r="O516" s="173"/>
    </row>
    <row r="517" spans="8:15" ht="12.75">
      <c r="H517" s="34"/>
      <c r="I517" s="34"/>
      <c r="J517" s="173"/>
      <c r="K517" s="34"/>
      <c r="L517" s="34"/>
      <c r="M517" s="34"/>
      <c r="N517" s="34"/>
      <c r="O517" s="173"/>
    </row>
    <row r="518" spans="8:15" ht="12.75">
      <c r="H518" s="34"/>
      <c r="I518" s="34"/>
      <c r="J518" s="173"/>
      <c r="K518" s="34"/>
      <c r="L518" s="34"/>
      <c r="M518" s="34"/>
      <c r="N518" s="34"/>
      <c r="O518" s="173"/>
    </row>
    <row r="519" spans="8:15" ht="12.75">
      <c r="H519" s="34"/>
      <c r="I519" s="34"/>
      <c r="J519" s="173"/>
      <c r="K519" s="34"/>
      <c r="L519" s="34"/>
      <c r="M519" s="34"/>
      <c r="N519" s="34"/>
      <c r="O519" s="173"/>
    </row>
    <row r="520" spans="8:15" ht="12.75">
      <c r="H520" s="34"/>
      <c r="I520" s="34"/>
      <c r="J520" s="173"/>
      <c r="K520" s="34"/>
      <c r="L520" s="34"/>
      <c r="M520" s="34"/>
      <c r="N520" s="34"/>
      <c r="O520" s="173"/>
    </row>
    <row r="521" spans="8:15" ht="12.75">
      <c r="H521" s="34"/>
      <c r="I521" s="34"/>
      <c r="J521" s="173"/>
      <c r="K521" s="34"/>
      <c r="L521" s="34"/>
      <c r="M521" s="34"/>
      <c r="N521" s="34"/>
      <c r="O521" s="173"/>
    </row>
    <row r="522" spans="8:15" ht="12.75">
      <c r="H522" s="34"/>
      <c r="I522" s="34"/>
      <c r="J522" s="173"/>
      <c r="K522" s="34"/>
      <c r="L522" s="34"/>
      <c r="M522" s="34"/>
      <c r="N522" s="34"/>
      <c r="O522" s="173"/>
    </row>
    <row r="523" spans="8:15" ht="12.75">
      <c r="H523" s="34"/>
      <c r="I523" s="34"/>
      <c r="J523" s="173"/>
      <c r="K523" s="34"/>
      <c r="L523" s="34"/>
      <c r="M523" s="34"/>
      <c r="N523" s="34"/>
      <c r="O523" s="173"/>
    </row>
    <row r="524" spans="8:15" ht="12.75">
      <c r="H524" s="34"/>
      <c r="I524" s="34"/>
      <c r="J524" s="173"/>
      <c r="K524" s="34"/>
      <c r="L524" s="34"/>
      <c r="M524" s="34"/>
      <c r="N524" s="34"/>
      <c r="O524" s="173"/>
    </row>
    <row r="525" spans="8:15" ht="12.75">
      <c r="H525" s="34"/>
      <c r="I525" s="34"/>
      <c r="J525" s="173"/>
      <c r="K525" s="34"/>
      <c r="L525" s="34"/>
      <c r="M525" s="34"/>
      <c r="N525" s="34"/>
      <c r="O525" s="173"/>
    </row>
    <row r="526" spans="8:15" ht="12.75">
      <c r="H526" s="34"/>
      <c r="I526" s="34"/>
      <c r="J526" s="173"/>
      <c r="K526" s="34"/>
      <c r="L526" s="34"/>
      <c r="M526" s="34"/>
      <c r="N526" s="34"/>
      <c r="O526" s="173"/>
    </row>
    <row r="527" spans="8:15" ht="12.75">
      <c r="H527" s="34"/>
      <c r="I527" s="34"/>
      <c r="J527" s="173"/>
      <c r="K527" s="34"/>
      <c r="L527" s="34"/>
      <c r="M527" s="34"/>
      <c r="N527" s="34"/>
      <c r="O527" s="173"/>
    </row>
    <row r="528" spans="8:15" ht="12.75">
      <c r="H528" s="34"/>
      <c r="I528" s="34"/>
      <c r="J528" s="173"/>
      <c r="K528" s="34"/>
      <c r="L528" s="34"/>
      <c r="M528" s="34"/>
      <c r="N528" s="34"/>
      <c r="O528" s="173"/>
    </row>
    <row r="529" spans="8:15" ht="12.75">
      <c r="H529" s="34"/>
      <c r="I529" s="34"/>
      <c r="J529" s="173"/>
      <c r="K529" s="34"/>
      <c r="L529" s="34"/>
      <c r="M529" s="34"/>
      <c r="N529" s="34"/>
      <c r="O529" s="173"/>
    </row>
    <row r="530" spans="8:15" ht="12.75">
      <c r="H530" s="34"/>
      <c r="I530" s="34"/>
      <c r="J530" s="173"/>
      <c r="K530" s="34"/>
      <c r="L530" s="34"/>
      <c r="M530" s="34"/>
      <c r="N530" s="34"/>
      <c r="O530" s="173"/>
    </row>
    <row r="531" spans="8:15" ht="12.75">
      <c r="H531" s="34"/>
      <c r="I531" s="34"/>
      <c r="J531" s="173"/>
      <c r="K531" s="34"/>
      <c r="L531" s="34"/>
      <c r="M531" s="34"/>
      <c r="N531" s="34"/>
      <c r="O531" s="173"/>
    </row>
    <row r="532" spans="8:15" ht="12.75">
      <c r="H532" s="34"/>
      <c r="I532" s="34"/>
      <c r="J532" s="173"/>
      <c r="K532" s="34"/>
      <c r="L532" s="34"/>
      <c r="M532" s="34"/>
      <c r="N532" s="34"/>
      <c r="O532" s="173"/>
    </row>
    <row r="533" spans="8:15" ht="12.75">
      <c r="H533" s="34"/>
      <c r="I533" s="34"/>
      <c r="J533" s="173"/>
      <c r="K533" s="34"/>
      <c r="L533" s="34"/>
      <c r="M533" s="34"/>
      <c r="N533" s="34"/>
      <c r="O533" s="173"/>
    </row>
    <row r="534" spans="8:15" ht="12.75">
      <c r="H534" s="34"/>
      <c r="I534" s="34"/>
      <c r="J534" s="173"/>
      <c r="K534" s="34"/>
      <c r="L534" s="34"/>
      <c r="M534" s="34"/>
      <c r="N534" s="34"/>
      <c r="O534" s="173"/>
    </row>
    <row r="535" spans="8:15" ht="12.75">
      <c r="H535" s="34"/>
      <c r="I535" s="34"/>
      <c r="J535" s="173"/>
      <c r="K535" s="34"/>
      <c r="L535" s="34"/>
      <c r="M535" s="34"/>
      <c r="N535" s="34"/>
      <c r="O535" s="173"/>
    </row>
    <row r="536" spans="8:15" ht="12.75">
      <c r="H536" s="34"/>
      <c r="I536" s="34"/>
      <c r="J536" s="173"/>
      <c r="K536" s="34"/>
      <c r="L536" s="34"/>
      <c r="M536" s="34"/>
      <c r="N536" s="34"/>
      <c r="O536" s="173"/>
    </row>
    <row r="537" spans="8:15" ht="12.75">
      <c r="H537" s="34"/>
      <c r="I537" s="34"/>
      <c r="J537" s="173"/>
      <c r="K537" s="34"/>
      <c r="L537" s="34"/>
      <c r="M537" s="34"/>
      <c r="N537" s="34"/>
      <c r="O537" s="173"/>
    </row>
    <row r="538" spans="8:15" ht="12.75">
      <c r="H538" s="34"/>
      <c r="I538" s="34"/>
      <c r="J538" s="173"/>
      <c r="K538" s="34"/>
      <c r="L538" s="34"/>
      <c r="M538" s="34"/>
      <c r="N538" s="34"/>
      <c r="O538" s="173"/>
    </row>
    <row r="539" spans="8:15" ht="12.75">
      <c r="H539" s="34"/>
      <c r="I539" s="34"/>
      <c r="J539" s="173"/>
      <c r="K539" s="34"/>
      <c r="L539" s="34"/>
      <c r="M539" s="34"/>
      <c r="N539" s="34"/>
      <c r="O539" s="173"/>
    </row>
    <row r="540" spans="8:15" ht="12.75">
      <c r="H540" s="34"/>
      <c r="I540" s="34"/>
      <c r="J540" s="173"/>
      <c r="K540" s="34"/>
      <c r="L540" s="34"/>
      <c r="M540" s="34"/>
      <c r="N540" s="34"/>
      <c r="O540" s="173"/>
    </row>
    <row r="541" spans="8:15" ht="12.75">
      <c r="H541" s="34"/>
      <c r="I541" s="34"/>
      <c r="J541" s="173"/>
      <c r="K541" s="34"/>
      <c r="L541" s="34"/>
      <c r="M541" s="34"/>
      <c r="N541" s="34"/>
      <c r="O541" s="173"/>
    </row>
    <row r="542" spans="8:15" ht="12.75">
      <c r="H542" s="34"/>
      <c r="I542" s="34"/>
      <c r="J542" s="173"/>
      <c r="K542" s="34"/>
      <c r="L542" s="34"/>
      <c r="M542" s="34"/>
      <c r="N542" s="34"/>
      <c r="O542" s="173"/>
    </row>
    <row r="543" spans="8:15" ht="12.75">
      <c r="H543" s="34"/>
      <c r="I543" s="34"/>
      <c r="J543" s="173"/>
      <c r="K543" s="34"/>
      <c r="L543" s="34"/>
      <c r="M543" s="34"/>
      <c r="N543" s="34"/>
      <c r="O543" s="173"/>
    </row>
    <row r="544" spans="8:15" ht="12.75">
      <c r="H544" s="34"/>
      <c r="I544" s="34"/>
      <c r="J544" s="173"/>
      <c r="K544" s="34"/>
      <c r="L544" s="34"/>
      <c r="M544" s="34"/>
      <c r="N544" s="34"/>
      <c r="O544" s="173"/>
    </row>
    <row r="545" spans="8:15" ht="12.75">
      <c r="H545" s="34"/>
      <c r="I545" s="34"/>
      <c r="J545" s="173"/>
      <c r="K545" s="34"/>
      <c r="L545" s="34"/>
      <c r="M545" s="34"/>
      <c r="N545" s="34"/>
      <c r="O545" s="173"/>
    </row>
    <row r="546" spans="8:15" ht="12.75">
      <c r="H546" s="34"/>
      <c r="I546" s="34"/>
      <c r="J546" s="173"/>
      <c r="K546" s="34"/>
      <c r="L546" s="34"/>
      <c r="M546" s="34"/>
      <c r="N546" s="34"/>
      <c r="O546" s="173"/>
    </row>
    <row r="547" spans="8:15" ht="12.75">
      <c r="H547" s="34"/>
      <c r="I547" s="34"/>
      <c r="J547" s="173"/>
      <c r="K547" s="34"/>
      <c r="L547" s="34"/>
      <c r="M547" s="34"/>
      <c r="N547" s="34"/>
      <c r="O547" s="173"/>
    </row>
    <row r="548" spans="8:15" ht="12.75">
      <c r="H548" s="34"/>
      <c r="I548" s="34"/>
      <c r="J548" s="173"/>
      <c r="K548" s="34"/>
      <c r="L548" s="34"/>
      <c r="M548" s="34"/>
      <c r="N548" s="34"/>
      <c r="O548" s="173"/>
    </row>
    <row r="549" spans="8:15" ht="12.75">
      <c r="H549" s="34"/>
      <c r="I549" s="34"/>
      <c r="J549" s="173"/>
      <c r="K549" s="34"/>
      <c r="L549" s="34"/>
      <c r="M549" s="34"/>
      <c r="N549" s="34"/>
      <c r="O549" s="173"/>
    </row>
    <row r="550" spans="8:15" ht="12.75">
      <c r="H550" s="34"/>
      <c r="I550" s="34"/>
      <c r="J550" s="173"/>
      <c r="K550" s="34"/>
      <c r="L550" s="34"/>
      <c r="M550" s="34"/>
      <c r="N550" s="34"/>
      <c r="O550" s="173"/>
    </row>
    <row r="551" spans="8:15" ht="12.75">
      <c r="H551" s="34"/>
      <c r="I551" s="34"/>
      <c r="J551" s="173"/>
      <c r="K551" s="34"/>
      <c r="L551" s="34"/>
      <c r="M551" s="34"/>
      <c r="N551" s="34"/>
      <c r="O551" s="173"/>
    </row>
    <row r="552" spans="8:15" ht="12.75">
      <c r="H552" s="34"/>
      <c r="I552" s="34"/>
      <c r="J552" s="173"/>
      <c r="K552" s="34"/>
      <c r="L552" s="34"/>
      <c r="M552" s="34"/>
      <c r="N552" s="34"/>
      <c r="O552" s="173"/>
    </row>
    <row r="553" spans="8:15" ht="12.75">
      <c r="H553" s="34"/>
      <c r="I553" s="34"/>
      <c r="J553" s="173"/>
      <c r="K553" s="34"/>
      <c r="L553" s="34"/>
      <c r="M553" s="34"/>
      <c r="N553" s="34"/>
      <c r="O553" s="173"/>
    </row>
    <row r="554" spans="8:15" ht="12.75">
      <c r="H554" s="34"/>
      <c r="I554" s="34"/>
      <c r="J554" s="173"/>
      <c r="K554" s="34"/>
      <c r="L554" s="34"/>
      <c r="M554" s="34"/>
      <c r="N554" s="34"/>
      <c r="O554" s="173"/>
    </row>
    <row r="555" spans="8:15" ht="12.75">
      <c r="H555" s="34"/>
      <c r="I555" s="34"/>
      <c r="J555" s="173"/>
      <c r="K555" s="34"/>
      <c r="L555" s="34"/>
      <c r="M555" s="34"/>
      <c r="N555" s="34"/>
      <c r="O555" s="173"/>
    </row>
    <row r="556" spans="8:15" ht="12.75">
      <c r="H556" s="34"/>
      <c r="I556" s="34"/>
      <c r="J556" s="173"/>
      <c r="K556" s="34"/>
      <c r="L556" s="34"/>
      <c r="M556" s="34"/>
      <c r="N556" s="34"/>
      <c r="O556" s="173"/>
    </row>
    <row r="557" spans="8:15" ht="12.75">
      <c r="H557" s="34"/>
      <c r="I557" s="34"/>
      <c r="J557" s="173"/>
      <c r="K557" s="34"/>
      <c r="L557" s="34"/>
      <c r="M557" s="34"/>
      <c r="N557" s="34"/>
      <c r="O557" s="173"/>
    </row>
    <row r="558" spans="8:15" ht="12.75">
      <c r="H558" s="34"/>
      <c r="I558" s="34"/>
      <c r="J558" s="173"/>
      <c r="K558" s="34"/>
      <c r="L558" s="34"/>
      <c r="M558" s="34"/>
      <c r="N558" s="34"/>
      <c r="O558" s="173"/>
    </row>
    <row r="559" spans="8:15" ht="12.75">
      <c r="H559" s="34"/>
      <c r="I559" s="34"/>
      <c r="J559" s="173"/>
      <c r="K559" s="34"/>
      <c r="L559" s="34"/>
      <c r="M559" s="34"/>
      <c r="N559" s="34"/>
      <c r="O559" s="173"/>
    </row>
    <row r="560" spans="8:15" ht="12.75">
      <c r="H560" s="34"/>
      <c r="I560" s="34"/>
      <c r="J560" s="173"/>
      <c r="K560" s="34"/>
      <c r="L560" s="34"/>
      <c r="M560" s="34"/>
      <c r="N560" s="34"/>
      <c r="O560" s="173"/>
    </row>
    <row r="561" spans="8:15" ht="12.75">
      <c r="H561" s="34"/>
      <c r="I561" s="34"/>
      <c r="J561" s="173"/>
      <c r="K561" s="34"/>
      <c r="L561" s="34"/>
      <c r="M561" s="34"/>
      <c r="N561" s="34"/>
      <c r="O561" s="173"/>
    </row>
    <row r="562" spans="8:15" ht="12.75">
      <c r="H562" s="34"/>
      <c r="I562" s="34"/>
      <c r="J562" s="173"/>
      <c r="K562" s="34"/>
      <c r="L562" s="34"/>
      <c r="M562" s="34"/>
      <c r="N562" s="34"/>
      <c r="O562" s="173"/>
    </row>
    <row r="563" spans="8:15" ht="12.75">
      <c r="H563" s="34"/>
      <c r="I563" s="34"/>
      <c r="J563" s="173"/>
      <c r="K563" s="34"/>
      <c r="L563" s="34"/>
      <c r="M563" s="34"/>
      <c r="N563" s="34"/>
      <c r="O563" s="173"/>
    </row>
    <row r="564" spans="8:15" ht="12.75">
      <c r="H564" s="34"/>
      <c r="I564" s="34"/>
      <c r="J564" s="173"/>
      <c r="K564" s="34"/>
      <c r="L564" s="34"/>
      <c r="M564" s="34"/>
      <c r="N564" s="34"/>
      <c r="O564" s="173"/>
    </row>
    <row r="565" spans="8:15" ht="12.75">
      <c r="H565" s="34"/>
      <c r="I565" s="34"/>
      <c r="J565" s="173"/>
      <c r="K565" s="34"/>
      <c r="L565" s="34"/>
      <c r="M565" s="34"/>
      <c r="N565" s="34"/>
      <c r="O565" s="173"/>
    </row>
    <row r="566" spans="8:15" ht="12.75">
      <c r="H566" s="34"/>
      <c r="I566" s="34"/>
      <c r="J566" s="173"/>
      <c r="K566" s="34"/>
      <c r="L566" s="34"/>
      <c r="M566" s="34"/>
      <c r="N566" s="34"/>
      <c r="O566" s="173"/>
    </row>
    <row r="567" spans="8:15" ht="12.75">
      <c r="H567" s="34"/>
      <c r="I567" s="34"/>
      <c r="J567" s="173"/>
      <c r="K567" s="34"/>
      <c r="L567" s="34"/>
      <c r="M567" s="34"/>
      <c r="N567" s="34"/>
      <c r="O567" s="173"/>
    </row>
    <row r="568" spans="8:15" ht="12.75">
      <c r="H568" s="34"/>
      <c r="I568" s="34"/>
      <c r="J568" s="173"/>
      <c r="K568" s="34"/>
      <c r="L568" s="34"/>
      <c r="M568" s="34"/>
      <c r="N568" s="34"/>
      <c r="O568" s="173"/>
    </row>
    <row r="569" spans="8:15" ht="12.75">
      <c r="H569" s="34"/>
      <c r="I569" s="34"/>
      <c r="J569" s="173"/>
      <c r="K569" s="34"/>
      <c r="L569" s="34"/>
      <c r="M569" s="34"/>
      <c r="N569" s="34"/>
      <c r="O569" s="173"/>
    </row>
    <row r="570" spans="8:15" ht="12.75">
      <c r="H570" s="34"/>
      <c r="I570" s="34"/>
      <c r="J570" s="173"/>
      <c r="K570" s="34"/>
      <c r="L570" s="34"/>
      <c r="M570" s="34"/>
      <c r="N570" s="34"/>
      <c r="O570" s="173"/>
    </row>
    <row r="571" spans="8:15" ht="12.75">
      <c r="H571" s="34"/>
      <c r="I571" s="34"/>
      <c r="J571" s="173"/>
      <c r="K571" s="34"/>
      <c r="L571" s="34"/>
      <c r="M571" s="34"/>
      <c r="N571" s="34"/>
      <c r="O571" s="173"/>
    </row>
    <row r="572" spans="8:15" ht="12.75">
      <c r="H572" s="34"/>
      <c r="I572" s="34"/>
      <c r="J572" s="173"/>
      <c r="K572" s="34"/>
      <c r="L572" s="34"/>
      <c r="M572" s="34"/>
      <c r="N572" s="34"/>
      <c r="O572" s="173"/>
    </row>
    <row r="573" spans="8:15" ht="12.75">
      <c r="H573" s="34"/>
      <c r="I573" s="34"/>
      <c r="J573" s="173"/>
      <c r="K573" s="34"/>
      <c r="L573" s="34"/>
      <c r="M573" s="34"/>
      <c r="N573" s="34"/>
      <c r="O573" s="173"/>
    </row>
    <row r="574" spans="8:15" ht="12.75">
      <c r="H574" s="34"/>
      <c r="I574" s="34"/>
      <c r="J574" s="173"/>
      <c r="K574" s="34"/>
      <c r="L574" s="34"/>
      <c r="M574" s="34"/>
      <c r="N574" s="34"/>
      <c r="O574" s="173"/>
    </row>
    <row r="575" spans="8:15" ht="12.75">
      <c r="H575" s="34"/>
      <c r="I575" s="34"/>
      <c r="J575" s="173"/>
      <c r="K575" s="34"/>
      <c r="L575" s="34"/>
      <c r="M575" s="34"/>
      <c r="N575" s="34"/>
      <c r="O575" s="173"/>
    </row>
    <row r="576" spans="8:15" ht="12.75">
      <c r="H576" s="34"/>
      <c r="I576" s="34"/>
      <c r="J576" s="173"/>
      <c r="K576" s="34"/>
      <c r="L576" s="34"/>
      <c r="M576" s="34"/>
      <c r="N576" s="34"/>
      <c r="O576" s="173"/>
    </row>
    <row r="577" spans="8:15" ht="12.75">
      <c r="H577" s="34"/>
      <c r="I577" s="34"/>
      <c r="J577" s="173"/>
      <c r="K577" s="34"/>
      <c r="L577" s="34"/>
      <c r="M577" s="34"/>
      <c r="N577" s="34"/>
      <c r="O577" s="173"/>
    </row>
    <row r="578" spans="8:15" ht="12.75">
      <c r="H578" s="34"/>
      <c r="I578" s="34"/>
      <c r="J578" s="173"/>
      <c r="K578" s="34"/>
      <c r="L578" s="34"/>
      <c r="M578" s="34"/>
      <c r="N578" s="34"/>
      <c r="O578" s="173"/>
    </row>
    <row r="579" spans="8:15" ht="12.75">
      <c r="H579" s="34"/>
      <c r="I579" s="34"/>
      <c r="J579" s="173"/>
      <c r="K579" s="34"/>
      <c r="L579" s="34"/>
      <c r="M579" s="34"/>
      <c r="N579" s="34"/>
      <c r="O579" s="173"/>
    </row>
    <row r="580" spans="8:15" ht="12.75">
      <c r="H580" s="34"/>
      <c r="I580" s="34"/>
      <c r="J580" s="173"/>
      <c r="K580" s="34"/>
      <c r="L580" s="34"/>
      <c r="M580" s="34"/>
      <c r="N580" s="34"/>
      <c r="O580" s="173"/>
    </row>
    <row r="581" spans="8:15" ht="12.75">
      <c r="H581" s="34"/>
      <c r="I581" s="34"/>
      <c r="J581" s="173"/>
      <c r="K581" s="34"/>
      <c r="L581" s="34"/>
      <c r="M581" s="34"/>
      <c r="N581" s="34"/>
      <c r="O581" s="173"/>
    </row>
    <row r="582" spans="8:15" ht="12.75">
      <c r="H582" s="34"/>
      <c r="I582" s="34"/>
      <c r="J582" s="173"/>
      <c r="K582" s="34"/>
      <c r="L582" s="34"/>
      <c r="M582" s="34"/>
      <c r="N582" s="34"/>
      <c r="O582" s="173"/>
    </row>
    <row r="583" spans="8:15" ht="12.75">
      <c r="H583" s="34"/>
      <c r="I583" s="34"/>
      <c r="J583" s="173"/>
      <c r="K583" s="34"/>
      <c r="L583" s="34"/>
      <c r="M583" s="34"/>
      <c r="N583" s="34"/>
      <c r="O583" s="173"/>
    </row>
    <row r="584" spans="8:15" ht="12.75">
      <c r="H584" s="34"/>
      <c r="I584" s="34"/>
      <c r="J584" s="173"/>
      <c r="K584" s="34"/>
      <c r="L584" s="34"/>
      <c r="M584" s="34"/>
      <c r="N584" s="34"/>
      <c r="O584" s="173"/>
    </row>
    <row r="585" spans="8:15" ht="12.75">
      <c r="H585" s="34"/>
      <c r="I585" s="34"/>
      <c r="J585" s="173"/>
      <c r="K585" s="34"/>
      <c r="L585" s="34"/>
      <c r="M585" s="34"/>
      <c r="N585" s="34"/>
      <c r="O585" s="173"/>
    </row>
    <row r="586" spans="8:15" ht="12.75">
      <c r="H586" s="34"/>
      <c r="I586" s="34"/>
      <c r="J586" s="173"/>
      <c r="K586" s="34"/>
      <c r="L586" s="34"/>
      <c r="M586" s="34"/>
      <c r="N586" s="34"/>
      <c r="O586" s="173"/>
    </row>
    <row r="587" spans="8:15" ht="12.75">
      <c r="H587" s="34"/>
      <c r="I587" s="34"/>
      <c r="J587" s="173"/>
      <c r="K587" s="34"/>
      <c r="L587" s="34"/>
      <c r="M587" s="34"/>
      <c r="N587" s="34"/>
      <c r="O587" s="173"/>
    </row>
    <row r="588" spans="8:15" ht="12.75">
      <c r="H588" s="34"/>
      <c r="I588" s="34"/>
      <c r="J588" s="173"/>
      <c r="K588" s="34"/>
      <c r="L588" s="34"/>
      <c r="M588" s="34"/>
      <c r="N588" s="34"/>
      <c r="O588" s="173"/>
    </row>
    <row r="589" spans="8:15" ht="12.75">
      <c r="H589" s="34"/>
      <c r="I589" s="34"/>
      <c r="J589" s="173"/>
      <c r="K589" s="34"/>
      <c r="L589" s="34"/>
      <c r="M589" s="34"/>
      <c r="N589" s="34"/>
      <c r="O589" s="173"/>
    </row>
    <row r="590" spans="8:15" ht="12.75">
      <c r="H590" s="34"/>
      <c r="I590" s="34"/>
      <c r="J590" s="173"/>
      <c r="K590" s="34"/>
      <c r="L590" s="34"/>
      <c r="M590" s="34"/>
      <c r="N590" s="34"/>
      <c r="O590" s="173"/>
    </row>
    <row r="591" spans="8:15" ht="12.75">
      <c r="H591" s="34"/>
      <c r="I591" s="34"/>
      <c r="J591" s="173"/>
      <c r="K591" s="34"/>
      <c r="L591" s="34"/>
      <c r="M591" s="34"/>
      <c r="N591" s="34"/>
      <c r="O591" s="173"/>
    </row>
    <row r="592" spans="8:15" ht="12.75">
      <c r="H592" s="34"/>
      <c r="I592" s="34"/>
      <c r="J592" s="173"/>
      <c r="K592" s="34"/>
      <c r="L592" s="34"/>
      <c r="M592" s="34"/>
      <c r="N592" s="34"/>
      <c r="O592" s="173"/>
    </row>
    <row r="593" spans="8:15" ht="12.75">
      <c r="H593" s="34"/>
      <c r="I593" s="34"/>
      <c r="J593" s="173"/>
      <c r="K593" s="34"/>
      <c r="L593" s="34"/>
      <c r="M593" s="34"/>
      <c r="N593" s="34"/>
      <c r="O593" s="173"/>
    </row>
    <row r="594" spans="8:15" ht="12.75">
      <c r="H594" s="34"/>
      <c r="I594" s="34"/>
      <c r="J594" s="173"/>
      <c r="K594" s="34"/>
      <c r="L594" s="34"/>
      <c r="M594" s="34"/>
      <c r="N594" s="34"/>
      <c r="O594" s="173"/>
    </row>
    <row r="595" spans="8:15" ht="12.75">
      <c r="H595" s="34"/>
      <c r="I595" s="34"/>
      <c r="J595" s="173"/>
      <c r="K595" s="34"/>
      <c r="L595" s="34"/>
      <c r="M595" s="34"/>
      <c r="N595" s="34"/>
      <c r="O595" s="173"/>
    </row>
    <row r="596" spans="8:15" ht="12.75">
      <c r="H596" s="34"/>
      <c r="I596" s="34"/>
      <c r="J596" s="173"/>
      <c r="K596" s="34"/>
      <c r="L596" s="34"/>
      <c r="M596" s="34"/>
      <c r="N596" s="34"/>
      <c r="O596" s="173"/>
    </row>
    <row r="597" spans="8:15" ht="12.75">
      <c r="H597" s="34"/>
      <c r="I597" s="34"/>
      <c r="J597" s="173"/>
      <c r="K597" s="34"/>
      <c r="L597" s="34"/>
      <c r="M597" s="34"/>
      <c r="N597" s="34"/>
      <c r="O597" s="173"/>
    </row>
    <row r="598" spans="8:15" ht="12.75">
      <c r="H598" s="34"/>
      <c r="I598" s="34"/>
      <c r="J598" s="173"/>
      <c r="K598" s="34"/>
      <c r="L598" s="34"/>
      <c r="M598" s="34"/>
      <c r="N598" s="34"/>
      <c r="O598" s="173"/>
    </row>
    <row r="599" spans="8:15" ht="12.75">
      <c r="H599" s="34"/>
      <c r="I599" s="34"/>
      <c r="J599" s="173"/>
      <c r="K599" s="34"/>
      <c r="L599" s="34"/>
      <c r="M599" s="34"/>
      <c r="N599" s="34"/>
      <c r="O599" s="173"/>
    </row>
    <row r="600" spans="8:15" ht="12.75">
      <c r="H600" s="34"/>
      <c r="I600" s="34"/>
      <c r="J600" s="173"/>
      <c r="K600" s="34"/>
      <c r="L600" s="34"/>
      <c r="M600" s="34"/>
      <c r="N600" s="34"/>
      <c r="O600" s="173"/>
    </row>
    <row r="601" spans="8:15" ht="12.75">
      <c r="H601" s="34"/>
      <c r="I601" s="34"/>
      <c r="J601" s="173"/>
      <c r="K601" s="34"/>
      <c r="L601" s="34"/>
      <c r="M601" s="34"/>
      <c r="N601" s="34"/>
      <c r="O601" s="173"/>
    </row>
    <row r="602" spans="8:15" ht="12.75">
      <c r="H602" s="34"/>
      <c r="I602" s="34"/>
      <c r="J602" s="173"/>
      <c r="K602" s="34"/>
      <c r="L602" s="34"/>
      <c r="M602" s="34"/>
      <c r="N602" s="34"/>
      <c r="O602" s="173"/>
    </row>
    <row r="603" spans="8:15" ht="12.75">
      <c r="H603" s="34"/>
      <c r="I603" s="34"/>
      <c r="J603" s="173"/>
      <c r="K603" s="34"/>
      <c r="L603" s="34"/>
      <c r="M603" s="34"/>
      <c r="N603" s="34"/>
      <c r="O603" s="173"/>
    </row>
    <row r="604" spans="8:15" ht="12.75">
      <c r="H604" s="34"/>
      <c r="I604" s="34"/>
      <c r="J604" s="173"/>
      <c r="K604" s="34"/>
      <c r="L604" s="34"/>
      <c r="M604" s="34"/>
      <c r="N604" s="34"/>
      <c r="O604" s="173"/>
    </row>
    <row r="605" spans="8:15" ht="12.75">
      <c r="H605" s="34"/>
      <c r="I605" s="34"/>
      <c r="J605" s="173"/>
      <c r="K605" s="34"/>
      <c r="L605" s="34"/>
      <c r="M605" s="34"/>
      <c r="N605" s="34"/>
      <c r="O605" s="173"/>
    </row>
    <row r="606" spans="8:15" ht="12.75">
      <c r="H606" s="34"/>
      <c r="I606" s="34"/>
      <c r="J606" s="173"/>
      <c r="K606" s="34"/>
      <c r="L606" s="34"/>
      <c r="M606" s="34"/>
      <c r="N606" s="34"/>
      <c r="O606" s="173"/>
    </row>
    <row r="607" spans="8:15" ht="12.75">
      <c r="H607" s="34"/>
      <c r="I607" s="34"/>
      <c r="J607" s="173"/>
      <c r="K607" s="34"/>
      <c r="L607" s="34"/>
      <c r="M607" s="34"/>
      <c r="N607" s="34"/>
      <c r="O607" s="173"/>
    </row>
    <row r="608" spans="8:15" ht="12.75">
      <c r="H608" s="34"/>
      <c r="I608" s="34"/>
      <c r="J608" s="173"/>
      <c r="K608" s="34"/>
      <c r="L608" s="34"/>
      <c r="M608" s="34"/>
      <c r="N608" s="34"/>
      <c r="O608" s="173"/>
    </row>
    <row r="609" spans="8:15" ht="12.75">
      <c r="H609" s="34"/>
      <c r="I609" s="34"/>
      <c r="J609" s="173"/>
      <c r="K609" s="34"/>
      <c r="L609" s="34"/>
      <c r="M609" s="34"/>
      <c r="N609" s="34"/>
      <c r="O609" s="173"/>
    </row>
    <row r="610" spans="8:15" ht="12.75">
      <c r="H610" s="34"/>
      <c r="I610" s="34"/>
      <c r="J610" s="173"/>
      <c r="K610" s="34"/>
      <c r="L610" s="34"/>
      <c r="M610" s="34"/>
      <c r="N610" s="34"/>
      <c r="O610" s="173"/>
    </row>
    <row r="611" spans="8:15" ht="12.75">
      <c r="H611" s="34"/>
      <c r="I611" s="34"/>
      <c r="J611" s="173"/>
      <c r="K611" s="34"/>
      <c r="L611" s="34"/>
      <c r="M611" s="34"/>
      <c r="N611" s="34"/>
      <c r="O611" s="173"/>
    </row>
    <row r="612" spans="8:15" ht="12.75">
      <c r="H612" s="34"/>
      <c r="I612" s="34"/>
      <c r="J612" s="173"/>
      <c r="K612" s="34"/>
      <c r="L612" s="34"/>
      <c r="M612" s="34"/>
      <c r="N612" s="34"/>
      <c r="O612" s="173"/>
    </row>
    <row r="613" spans="8:15" ht="12.75">
      <c r="H613" s="34"/>
      <c r="I613" s="34"/>
      <c r="J613" s="173"/>
      <c r="K613" s="34"/>
      <c r="L613" s="34"/>
      <c r="M613" s="34"/>
      <c r="N613" s="34"/>
      <c r="O613" s="173"/>
    </row>
    <row r="614" spans="8:15" ht="12.75">
      <c r="H614" s="34"/>
      <c r="I614" s="34"/>
      <c r="J614" s="173"/>
      <c r="K614" s="34"/>
      <c r="L614" s="34"/>
      <c r="M614" s="34"/>
      <c r="N614" s="34"/>
      <c r="O614" s="173"/>
    </row>
    <row r="615" spans="8:15" ht="12.75">
      <c r="H615" s="34"/>
      <c r="I615" s="34"/>
      <c r="J615" s="173"/>
      <c r="K615" s="34"/>
      <c r="L615" s="34"/>
      <c r="M615" s="34"/>
      <c r="N615" s="34"/>
      <c r="O615" s="173"/>
    </row>
    <row r="616" spans="8:15" ht="12.75">
      <c r="H616" s="34"/>
      <c r="I616" s="34"/>
      <c r="J616" s="173"/>
      <c r="K616" s="34"/>
      <c r="L616" s="34"/>
      <c r="M616" s="34"/>
      <c r="N616" s="34"/>
      <c r="O616" s="173"/>
    </row>
    <row r="617" spans="8:15" ht="12.75">
      <c r="H617" s="34"/>
      <c r="I617" s="34"/>
      <c r="J617" s="173"/>
      <c r="K617" s="34"/>
      <c r="L617" s="34"/>
      <c r="M617" s="34"/>
      <c r="N617" s="34"/>
      <c r="O617" s="173"/>
    </row>
    <row r="618" spans="8:15" ht="12.75">
      <c r="H618" s="34"/>
      <c r="I618" s="34"/>
      <c r="J618" s="173"/>
      <c r="K618" s="34"/>
      <c r="L618" s="34"/>
      <c r="M618" s="34"/>
      <c r="N618" s="34"/>
      <c r="O618" s="173"/>
    </row>
    <row r="619" spans="8:15" ht="12.75">
      <c r="H619" s="34"/>
      <c r="I619" s="34"/>
      <c r="J619" s="173"/>
      <c r="K619" s="34"/>
      <c r="L619" s="34"/>
      <c r="M619" s="34"/>
      <c r="N619" s="34"/>
      <c r="O619" s="173"/>
    </row>
    <row r="620" spans="8:15" ht="12.75">
      <c r="H620" s="34"/>
      <c r="I620" s="34"/>
      <c r="J620" s="173"/>
      <c r="K620" s="34"/>
      <c r="L620" s="34"/>
      <c r="M620" s="34"/>
      <c r="N620" s="34"/>
      <c r="O620" s="173"/>
    </row>
    <row r="621" spans="8:15" ht="12.75">
      <c r="H621" s="34"/>
      <c r="I621" s="34"/>
      <c r="J621" s="173"/>
      <c r="K621" s="34"/>
      <c r="L621" s="34"/>
      <c r="M621" s="34"/>
      <c r="N621" s="34"/>
      <c r="O621" s="173"/>
    </row>
    <row r="622" spans="8:15" ht="12.75">
      <c r="H622" s="34"/>
      <c r="I622" s="34"/>
      <c r="J622" s="173"/>
      <c r="K622" s="34"/>
      <c r="L622" s="34"/>
      <c r="M622" s="34"/>
      <c r="N622" s="34"/>
      <c r="O622" s="173"/>
    </row>
    <row r="623" spans="8:15" ht="12.75">
      <c r="H623" s="34"/>
      <c r="I623" s="34"/>
      <c r="J623" s="173"/>
      <c r="K623" s="34"/>
      <c r="L623" s="34"/>
      <c r="M623" s="34"/>
      <c r="N623" s="34"/>
      <c r="O623" s="173"/>
    </row>
    <row r="624" spans="8:15" ht="12.75">
      <c r="H624" s="34"/>
      <c r="I624" s="34"/>
      <c r="J624" s="173"/>
      <c r="K624" s="34"/>
      <c r="L624" s="34"/>
      <c r="M624" s="34"/>
      <c r="N624" s="34"/>
      <c r="O624" s="173"/>
    </row>
    <row r="625" spans="8:15" ht="12.75">
      <c r="H625" s="34"/>
      <c r="I625" s="34"/>
      <c r="J625" s="173"/>
      <c r="K625" s="34"/>
      <c r="L625" s="34"/>
      <c r="M625" s="34"/>
      <c r="N625" s="34"/>
      <c r="O625" s="173"/>
    </row>
    <row r="626" spans="8:15" ht="12.75">
      <c r="H626" s="34"/>
      <c r="I626" s="34"/>
      <c r="J626" s="173"/>
      <c r="K626" s="34"/>
      <c r="L626" s="34"/>
      <c r="M626" s="34"/>
      <c r="N626" s="34"/>
      <c r="O626" s="173"/>
    </row>
    <row r="627" spans="8:15" ht="12.75">
      <c r="H627" s="34"/>
      <c r="I627" s="34"/>
      <c r="J627" s="173"/>
      <c r="K627" s="34"/>
      <c r="L627" s="34"/>
      <c r="M627" s="34"/>
      <c r="N627" s="34"/>
      <c r="O627" s="173"/>
    </row>
    <row r="628" spans="8:15" ht="12.75">
      <c r="H628" s="34"/>
      <c r="I628" s="34"/>
      <c r="J628" s="173"/>
      <c r="K628" s="34"/>
      <c r="L628" s="34"/>
      <c r="M628" s="34"/>
      <c r="N628" s="34"/>
      <c r="O628" s="173"/>
    </row>
    <row r="629" spans="8:15" ht="12.75">
      <c r="H629" s="34"/>
      <c r="I629" s="34"/>
      <c r="J629" s="173"/>
      <c r="K629" s="34"/>
      <c r="L629" s="34"/>
      <c r="M629" s="34"/>
      <c r="N629" s="34"/>
      <c r="O629" s="173"/>
    </row>
    <row r="630" spans="8:15" ht="12.75">
      <c r="H630" s="34"/>
      <c r="I630" s="34"/>
      <c r="J630" s="173"/>
      <c r="K630" s="34"/>
      <c r="L630" s="34"/>
      <c r="M630" s="34"/>
      <c r="N630" s="34"/>
      <c r="O630" s="173"/>
    </row>
    <row r="631" spans="8:15" ht="12.75">
      <c r="H631" s="34"/>
      <c r="I631" s="34"/>
      <c r="J631" s="173"/>
      <c r="K631" s="34"/>
      <c r="L631" s="34"/>
      <c r="M631" s="34"/>
      <c r="N631" s="34"/>
      <c r="O631" s="173"/>
    </row>
    <row r="632" spans="8:15" ht="12.75">
      <c r="H632" s="34"/>
      <c r="I632" s="34"/>
      <c r="J632" s="173"/>
      <c r="K632" s="34"/>
      <c r="L632" s="34"/>
      <c r="M632" s="34"/>
      <c r="N632" s="34"/>
      <c r="O632" s="173"/>
    </row>
    <row r="633" spans="8:15" ht="12.75">
      <c r="H633" s="34"/>
      <c r="I633" s="34"/>
      <c r="J633" s="173"/>
      <c r="K633" s="34"/>
      <c r="L633" s="34"/>
      <c r="M633" s="34"/>
      <c r="N633" s="34"/>
      <c r="O633" s="173"/>
    </row>
    <row r="634" spans="8:15" ht="12.75">
      <c r="H634" s="34"/>
      <c r="I634" s="34"/>
      <c r="J634" s="173"/>
      <c r="K634" s="34"/>
      <c r="L634" s="34"/>
      <c r="M634" s="34"/>
      <c r="N634" s="34"/>
      <c r="O634" s="173"/>
    </row>
    <row r="635" spans="8:15" ht="12.75">
      <c r="H635" s="34"/>
      <c r="I635" s="34"/>
      <c r="J635" s="173"/>
      <c r="K635" s="34"/>
      <c r="L635" s="34"/>
      <c r="M635" s="34"/>
      <c r="N635" s="34"/>
      <c r="O635" s="173"/>
    </row>
    <row r="636" spans="8:15" ht="12.75">
      <c r="H636" s="34"/>
      <c r="I636" s="34"/>
      <c r="J636" s="173"/>
      <c r="K636" s="34"/>
      <c r="L636" s="34"/>
      <c r="M636" s="34"/>
      <c r="N636" s="34"/>
      <c r="O636" s="173"/>
    </row>
    <row r="637" spans="8:15" ht="12.75">
      <c r="H637" s="34"/>
      <c r="I637" s="34"/>
      <c r="J637" s="173"/>
      <c r="K637" s="34"/>
      <c r="L637" s="34"/>
      <c r="M637" s="34"/>
      <c r="N637" s="34"/>
      <c r="O637" s="173"/>
    </row>
    <row r="638" spans="8:15" ht="12.75">
      <c r="H638" s="34"/>
      <c r="I638" s="34"/>
      <c r="J638" s="173"/>
      <c r="K638" s="34"/>
      <c r="L638" s="34"/>
      <c r="M638" s="34"/>
      <c r="N638" s="34"/>
      <c r="O638" s="173"/>
    </row>
    <row r="639" spans="8:15" ht="12.75">
      <c r="H639" s="34"/>
      <c r="I639" s="34"/>
      <c r="J639" s="173"/>
      <c r="K639" s="34"/>
      <c r="L639" s="34"/>
      <c r="M639" s="34"/>
      <c r="N639" s="34"/>
      <c r="O639" s="173"/>
    </row>
    <row r="640" spans="8:15" ht="12.75">
      <c r="H640" s="34"/>
      <c r="I640" s="34"/>
      <c r="J640" s="173"/>
      <c r="K640" s="34"/>
      <c r="L640" s="34"/>
      <c r="M640" s="34"/>
      <c r="N640" s="34"/>
      <c r="O640" s="173"/>
    </row>
    <row r="641" spans="8:15" ht="12.75">
      <c r="H641" s="34"/>
      <c r="I641" s="34"/>
      <c r="J641" s="173"/>
      <c r="K641" s="34"/>
      <c r="L641" s="34"/>
      <c r="M641" s="34"/>
      <c r="N641" s="34"/>
      <c r="O641" s="173"/>
    </row>
    <row r="642" spans="8:15" ht="12.75">
      <c r="H642" s="34"/>
      <c r="I642" s="34"/>
      <c r="J642" s="173"/>
      <c r="K642" s="34"/>
      <c r="L642" s="34"/>
      <c r="M642" s="34"/>
      <c r="N642" s="34"/>
      <c r="O642" s="173"/>
    </row>
    <row r="643" spans="8:15" ht="12.75">
      <c r="H643" s="34"/>
      <c r="I643" s="34"/>
      <c r="J643" s="173"/>
      <c r="K643" s="34"/>
      <c r="L643" s="34"/>
      <c r="M643" s="34"/>
      <c r="N643" s="34"/>
      <c r="O643" s="173"/>
    </row>
    <row r="644" spans="8:15" ht="12.75">
      <c r="H644" s="34"/>
      <c r="I644" s="34"/>
      <c r="J644" s="173"/>
      <c r="K644" s="34"/>
      <c r="L644" s="34"/>
      <c r="M644" s="34"/>
      <c r="N644" s="34"/>
      <c r="O644" s="173"/>
    </row>
    <row r="645" spans="8:15" ht="12.75">
      <c r="H645" s="34"/>
      <c r="I645" s="34"/>
      <c r="J645" s="173"/>
      <c r="K645" s="34"/>
      <c r="L645" s="34"/>
      <c r="M645" s="34"/>
      <c r="N645" s="34"/>
      <c r="O645" s="173"/>
    </row>
    <row r="646" spans="8:15" ht="12.75">
      <c r="H646" s="34"/>
      <c r="I646" s="34"/>
      <c r="J646" s="173"/>
      <c r="K646" s="34"/>
      <c r="L646" s="34"/>
      <c r="M646" s="34"/>
      <c r="N646" s="34"/>
      <c r="O646" s="173"/>
    </row>
    <row r="647" spans="8:15" ht="12.75">
      <c r="H647" s="34"/>
      <c r="I647" s="34"/>
      <c r="J647" s="173"/>
      <c r="K647" s="34"/>
      <c r="L647" s="34"/>
      <c r="M647" s="34"/>
      <c r="N647" s="34"/>
      <c r="O647" s="173"/>
    </row>
    <row r="648" spans="8:15" ht="12.75">
      <c r="H648" s="34"/>
      <c r="I648" s="34"/>
      <c r="J648" s="173"/>
      <c r="K648" s="34"/>
      <c r="L648" s="34"/>
      <c r="M648" s="34"/>
      <c r="N648" s="34"/>
      <c r="O648" s="173"/>
    </row>
    <row r="649" spans="8:15" ht="12.75">
      <c r="H649" s="34"/>
      <c r="I649" s="34"/>
      <c r="J649" s="173"/>
      <c r="K649" s="34"/>
      <c r="L649" s="34"/>
      <c r="M649" s="34"/>
      <c r="N649" s="34"/>
      <c r="O649" s="173"/>
    </row>
    <row r="650" spans="8:15" ht="12.75">
      <c r="H650" s="34"/>
      <c r="I650" s="34"/>
      <c r="J650" s="173"/>
      <c r="K650" s="34"/>
      <c r="L650" s="34"/>
      <c r="M650" s="34"/>
      <c r="N650" s="34"/>
      <c r="O650" s="173"/>
    </row>
    <row r="651" spans="8:15" ht="12.75">
      <c r="H651" s="34"/>
      <c r="I651" s="34"/>
      <c r="J651" s="173"/>
      <c r="K651" s="34"/>
      <c r="L651" s="34"/>
      <c r="M651" s="34"/>
      <c r="N651" s="34"/>
      <c r="O651" s="173"/>
    </row>
    <row r="652" spans="8:15" ht="12.75">
      <c r="H652" s="34"/>
      <c r="I652" s="34"/>
      <c r="J652" s="173"/>
      <c r="K652" s="34"/>
      <c r="L652" s="34"/>
      <c r="M652" s="34"/>
      <c r="N652" s="34"/>
      <c r="O652" s="173"/>
    </row>
    <row r="653" spans="8:15" ht="12.75">
      <c r="H653" s="34"/>
      <c r="I653" s="34"/>
      <c r="J653" s="173"/>
      <c r="K653" s="34"/>
      <c r="L653" s="34"/>
      <c r="M653" s="34"/>
      <c r="N653" s="34"/>
      <c r="O653" s="173"/>
    </row>
    <row r="654" spans="8:15" ht="12.75">
      <c r="H654" s="34"/>
      <c r="I654" s="34"/>
      <c r="J654" s="173"/>
      <c r="K654" s="34"/>
      <c r="L654" s="34"/>
      <c r="M654" s="34"/>
      <c r="N654" s="34"/>
      <c r="O654" s="173"/>
    </row>
    <row r="655" spans="8:15" ht="12.75">
      <c r="H655" s="34"/>
      <c r="I655" s="34"/>
      <c r="J655" s="173"/>
      <c r="K655" s="34"/>
      <c r="L655" s="34"/>
      <c r="M655" s="34"/>
      <c r="N655" s="34"/>
      <c r="O655" s="173"/>
    </row>
    <row r="656" spans="8:15" ht="12.75">
      <c r="H656" s="34"/>
      <c r="I656" s="34"/>
      <c r="J656" s="173"/>
      <c r="K656" s="34"/>
      <c r="L656" s="34"/>
      <c r="M656" s="34"/>
      <c r="N656" s="34"/>
      <c r="O656" s="173"/>
    </row>
    <row r="657" spans="8:15" ht="12.75">
      <c r="H657" s="34"/>
      <c r="I657" s="34"/>
      <c r="J657" s="173"/>
      <c r="K657" s="34"/>
      <c r="L657" s="34"/>
      <c r="M657" s="34"/>
      <c r="N657" s="34"/>
      <c r="O657" s="173"/>
    </row>
    <row r="658" spans="8:15" ht="12.75">
      <c r="H658" s="34"/>
      <c r="I658" s="34"/>
      <c r="J658" s="173"/>
      <c r="K658" s="34"/>
      <c r="L658" s="34"/>
      <c r="M658" s="34"/>
      <c r="N658" s="34"/>
      <c r="O658" s="173"/>
    </row>
    <row r="659" spans="8:15" ht="12.75">
      <c r="H659" s="34"/>
      <c r="I659" s="34"/>
      <c r="J659" s="173"/>
      <c r="K659" s="34"/>
      <c r="L659" s="34"/>
      <c r="M659" s="34"/>
      <c r="N659" s="34"/>
      <c r="O659" s="173"/>
    </row>
    <row r="660" spans="8:15" ht="12.75">
      <c r="H660" s="34"/>
      <c r="I660" s="34"/>
      <c r="J660" s="173"/>
      <c r="K660" s="34"/>
      <c r="L660" s="34"/>
      <c r="M660" s="34"/>
      <c r="N660" s="34"/>
      <c r="O660" s="173"/>
    </row>
    <row r="661" spans="8:15" ht="12.75">
      <c r="H661" s="34"/>
      <c r="I661" s="34"/>
      <c r="J661" s="173"/>
      <c r="K661" s="34"/>
      <c r="L661" s="34"/>
      <c r="M661" s="34"/>
      <c r="N661" s="34"/>
      <c r="O661" s="173"/>
    </row>
    <row r="662" spans="8:15" ht="12.75">
      <c r="H662" s="34"/>
      <c r="I662" s="34"/>
      <c r="J662" s="173"/>
      <c r="K662" s="34"/>
      <c r="L662" s="34"/>
      <c r="M662" s="34"/>
      <c r="N662" s="34"/>
      <c r="O662" s="173"/>
    </row>
    <row r="663" spans="8:15" ht="12.75">
      <c r="H663" s="34"/>
      <c r="I663" s="34"/>
      <c r="J663" s="173"/>
      <c r="K663" s="34"/>
      <c r="L663" s="34"/>
      <c r="M663" s="34"/>
      <c r="N663" s="34"/>
      <c r="O663" s="173"/>
    </row>
    <row r="664" spans="8:15" ht="12.75">
      <c r="H664" s="34"/>
      <c r="I664" s="34"/>
      <c r="J664" s="173"/>
      <c r="K664" s="34"/>
      <c r="L664" s="34"/>
      <c r="M664" s="34"/>
      <c r="N664" s="34"/>
      <c r="O664" s="173"/>
    </row>
    <row r="665" spans="8:15" ht="12.75">
      <c r="H665" s="34"/>
      <c r="I665" s="34"/>
      <c r="J665" s="173"/>
      <c r="K665" s="34"/>
      <c r="L665" s="34"/>
      <c r="M665" s="34"/>
      <c r="N665" s="34"/>
      <c r="O665" s="173"/>
    </row>
    <row r="666" spans="8:15" ht="12.75">
      <c r="H666" s="34"/>
      <c r="I666" s="34"/>
      <c r="J666" s="173"/>
      <c r="K666" s="34"/>
      <c r="L666" s="34"/>
      <c r="M666" s="34"/>
      <c r="N666" s="34"/>
      <c r="O666" s="173"/>
    </row>
    <row r="667" spans="8:15" ht="12.75">
      <c r="H667" s="34"/>
      <c r="I667" s="34"/>
      <c r="J667" s="173"/>
      <c r="K667" s="34"/>
      <c r="L667" s="34"/>
      <c r="M667" s="34"/>
      <c r="N667" s="34"/>
      <c r="O667" s="173"/>
    </row>
    <row r="668" spans="8:15" ht="12.75">
      <c r="H668" s="34"/>
      <c r="I668" s="34"/>
      <c r="J668" s="173"/>
      <c r="K668" s="34"/>
      <c r="L668" s="34"/>
      <c r="M668" s="34"/>
      <c r="N668" s="34"/>
      <c r="O668" s="173"/>
    </row>
    <row r="669" spans="8:15" ht="12.75">
      <c r="H669" s="34"/>
      <c r="I669" s="34"/>
      <c r="J669" s="173"/>
      <c r="K669" s="34"/>
      <c r="L669" s="34"/>
      <c r="M669" s="34"/>
      <c r="N669" s="34"/>
      <c r="O669" s="173"/>
    </row>
    <row r="670" spans="8:15" ht="12.75">
      <c r="H670" s="34"/>
      <c r="I670" s="34"/>
      <c r="J670" s="173"/>
      <c r="K670" s="34"/>
      <c r="L670" s="34"/>
      <c r="M670" s="34"/>
      <c r="N670" s="34"/>
      <c r="O670" s="173"/>
    </row>
    <row r="671" spans="8:15" ht="12.75">
      <c r="H671" s="34"/>
      <c r="I671" s="34"/>
      <c r="J671" s="173"/>
      <c r="K671" s="34"/>
      <c r="L671" s="34"/>
      <c r="M671" s="34"/>
      <c r="N671" s="34"/>
      <c r="O671" s="173"/>
    </row>
    <row r="672" spans="8:15" ht="12.75">
      <c r="H672" s="34"/>
      <c r="I672" s="34"/>
      <c r="J672" s="173"/>
      <c r="K672" s="34"/>
      <c r="L672" s="34"/>
      <c r="M672" s="34"/>
      <c r="N672" s="34"/>
      <c r="O672" s="173"/>
    </row>
    <row r="673" spans="8:15" ht="12.75">
      <c r="H673" s="34"/>
      <c r="I673" s="34"/>
      <c r="J673" s="173"/>
      <c r="K673" s="34"/>
      <c r="L673" s="34"/>
      <c r="M673" s="34"/>
      <c r="N673" s="34"/>
      <c r="O673" s="173"/>
    </row>
    <row r="674" spans="8:15" ht="12.75">
      <c r="H674" s="34"/>
      <c r="I674" s="34"/>
      <c r="J674" s="173"/>
      <c r="K674" s="34"/>
      <c r="L674" s="34"/>
      <c r="M674" s="34"/>
      <c r="N674" s="34"/>
      <c r="O674" s="173"/>
    </row>
    <row r="675" spans="8:15" ht="12.75">
      <c r="H675" s="34"/>
      <c r="I675" s="34"/>
      <c r="J675" s="173"/>
      <c r="K675" s="34"/>
      <c r="L675" s="34"/>
      <c r="M675" s="34"/>
      <c r="N675" s="34"/>
      <c r="O675" s="173"/>
    </row>
    <row r="676" spans="8:15" ht="12.75">
      <c r="H676" s="34"/>
      <c r="I676" s="34"/>
      <c r="J676" s="173"/>
      <c r="K676" s="34"/>
      <c r="L676" s="34"/>
      <c r="M676" s="34"/>
      <c r="N676" s="34"/>
      <c r="O676" s="173"/>
    </row>
    <row r="677" spans="8:15" ht="12.75">
      <c r="H677" s="34"/>
      <c r="I677" s="34"/>
      <c r="J677" s="173"/>
      <c r="K677" s="34"/>
      <c r="L677" s="34"/>
      <c r="M677" s="34"/>
      <c r="N677" s="34"/>
      <c r="O677" s="173"/>
    </row>
    <row r="678" spans="8:15" ht="12.75">
      <c r="H678" s="34"/>
      <c r="I678" s="34"/>
      <c r="J678" s="173"/>
      <c r="K678" s="34"/>
      <c r="L678" s="34"/>
      <c r="M678" s="34"/>
      <c r="N678" s="34"/>
      <c r="O678" s="173"/>
    </row>
    <row r="679" spans="8:15" ht="12.75">
      <c r="H679" s="34"/>
      <c r="I679" s="34"/>
      <c r="J679" s="173"/>
      <c r="K679" s="34"/>
      <c r="L679" s="34"/>
      <c r="M679" s="34"/>
      <c r="N679" s="34"/>
      <c r="O679" s="173"/>
    </row>
    <row r="680" spans="8:15" ht="12.75">
      <c r="H680" s="34"/>
      <c r="I680" s="34"/>
      <c r="J680" s="173"/>
      <c r="K680" s="34"/>
      <c r="L680" s="34"/>
      <c r="M680" s="34"/>
      <c r="N680" s="34"/>
      <c r="O680" s="173"/>
    </row>
    <row r="681" spans="8:15" ht="12.75">
      <c r="H681" s="34"/>
      <c r="I681" s="34"/>
      <c r="J681" s="173"/>
      <c r="K681" s="34"/>
      <c r="L681" s="34"/>
      <c r="M681" s="34"/>
      <c r="N681" s="34"/>
      <c r="O681" s="173"/>
    </row>
    <row r="682" spans="8:15" ht="12.75">
      <c r="H682" s="34"/>
      <c r="I682" s="34"/>
      <c r="J682" s="173"/>
      <c r="K682" s="34"/>
      <c r="L682" s="34"/>
      <c r="M682" s="34"/>
      <c r="N682" s="34"/>
      <c r="O682" s="173"/>
    </row>
    <row r="683" spans="8:15" ht="12.75">
      <c r="H683" s="34"/>
      <c r="I683" s="34"/>
      <c r="J683" s="173"/>
      <c r="K683" s="34"/>
      <c r="L683" s="34"/>
      <c r="M683" s="34"/>
      <c r="N683" s="34"/>
      <c r="O683" s="173"/>
    </row>
    <row r="684" spans="8:15" ht="12.75">
      <c r="H684" s="34"/>
      <c r="I684" s="34"/>
      <c r="J684" s="173"/>
      <c r="K684" s="34"/>
      <c r="L684" s="34"/>
      <c r="M684" s="34"/>
      <c r="N684" s="34"/>
      <c r="O684" s="173"/>
    </row>
    <row r="685" spans="8:15" ht="12.75">
      <c r="H685" s="34"/>
      <c r="I685" s="34"/>
      <c r="J685" s="173"/>
      <c r="K685" s="34"/>
      <c r="L685" s="34"/>
      <c r="M685" s="34"/>
      <c r="N685" s="34"/>
      <c r="O685" s="173"/>
    </row>
    <row r="686" spans="8:15" ht="12.75">
      <c r="H686" s="34"/>
      <c r="I686" s="34"/>
      <c r="J686" s="173"/>
      <c r="K686" s="34"/>
      <c r="L686" s="34"/>
      <c r="M686" s="34"/>
      <c r="N686" s="34"/>
      <c r="O686" s="173"/>
    </row>
    <row r="687" spans="8:15" ht="12.75">
      <c r="H687" s="34"/>
      <c r="I687" s="34"/>
      <c r="J687" s="173"/>
      <c r="K687" s="34"/>
      <c r="L687" s="34"/>
      <c r="M687" s="34"/>
      <c r="N687" s="34"/>
      <c r="O687" s="173"/>
    </row>
    <row r="688" spans="8:15" ht="12.75">
      <c r="H688" s="34"/>
      <c r="I688" s="34"/>
      <c r="J688" s="173"/>
      <c r="K688" s="34"/>
      <c r="L688" s="34"/>
      <c r="M688" s="34"/>
      <c r="N688" s="34"/>
      <c r="O688" s="173"/>
    </row>
    <row r="689" spans="8:15" ht="12.75">
      <c r="H689" s="34"/>
      <c r="I689" s="34"/>
      <c r="J689" s="173"/>
      <c r="K689" s="34"/>
      <c r="L689" s="34"/>
      <c r="M689" s="34"/>
      <c r="N689" s="34"/>
      <c r="O689" s="173"/>
    </row>
    <row r="690" spans="8:15" ht="12.75">
      <c r="H690" s="34"/>
      <c r="I690" s="34"/>
      <c r="J690" s="173"/>
      <c r="K690" s="34"/>
      <c r="L690" s="34"/>
      <c r="M690" s="34"/>
      <c r="N690" s="34"/>
      <c r="O690" s="173"/>
    </row>
    <row r="691" spans="8:15" ht="12.75">
      <c r="H691" s="34"/>
      <c r="I691" s="34"/>
      <c r="J691" s="173"/>
      <c r="K691" s="34"/>
      <c r="L691" s="34"/>
      <c r="M691" s="34"/>
      <c r="N691" s="34"/>
      <c r="O691" s="173"/>
    </row>
    <row r="692" spans="8:15" ht="12.75">
      <c r="H692" s="34"/>
      <c r="I692" s="34"/>
      <c r="J692" s="173"/>
      <c r="K692" s="34"/>
      <c r="L692" s="34"/>
      <c r="M692" s="34"/>
      <c r="N692" s="34"/>
      <c r="O692" s="173"/>
    </row>
    <row r="693" spans="8:15" ht="12.75">
      <c r="H693" s="34"/>
      <c r="I693" s="34"/>
      <c r="J693" s="173"/>
      <c r="K693" s="34"/>
      <c r="L693" s="34"/>
      <c r="M693" s="34"/>
      <c r="N693" s="34"/>
      <c r="O693" s="173"/>
    </row>
    <row r="694" spans="8:15" ht="12.75">
      <c r="H694" s="34"/>
      <c r="I694" s="34"/>
      <c r="J694" s="173"/>
      <c r="K694" s="34"/>
      <c r="L694" s="34"/>
      <c r="M694" s="34"/>
      <c r="N694" s="34"/>
      <c r="O694" s="173"/>
    </row>
    <row r="695" spans="8:15" ht="12.75">
      <c r="H695" s="34"/>
      <c r="I695" s="34"/>
      <c r="J695" s="173"/>
      <c r="K695" s="34"/>
      <c r="L695" s="34"/>
      <c r="M695" s="34"/>
      <c r="N695" s="34"/>
      <c r="O695" s="173"/>
    </row>
    <row r="696" spans="8:15" ht="12.75">
      <c r="H696" s="34"/>
      <c r="I696" s="34"/>
      <c r="J696" s="173"/>
      <c r="K696" s="34"/>
      <c r="L696" s="34"/>
      <c r="M696" s="34"/>
      <c r="N696" s="34"/>
      <c r="O696" s="173"/>
    </row>
    <row r="697" spans="8:15" ht="12.75">
      <c r="H697" s="34"/>
      <c r="I697" s="34"/>
      <c r="J697" s="173"/>
      <c r="K697" s="34"/>
      <c r="L697" s="34"/>
      <c r="M697" s="34"/>
      <c r="N697" s="34"/>
      <c r="O697" s="173"/>
    </row>
    <row r="698" spans="8:15" ht="12.75">
      <c r="H698" s="34"/>
      <c r="I698" s="34"/>
      <c r="J698" s="173"/>
      <c r="K698" s="34"/>
      <c r="L698" s="34"/>
      <c r="M698" s="34"/>
      <c r="N698" s="34"/>
      <c r="O698" s="173"/>
    </row>
    <row r="699" spans="8:15" ht="12.75">
      <c r="H699" s="34"/>
      <c r="I699" s="34"/>
      <c r="J699" s="173"/>
      <c r="K699" s="34"/>
      <c r="L699" s="34"/>
      <c r="M699" s="34"/>
      <c r="N699" s="34"/>
      <c r="O699" s="173"/>
    </row>
    <row r="700" spans="8:15" ht="12.75">
      <c r="H700" s="34"/>
      <c r="I700" s="34"/>
      <c r="J700" s="173"/>
      <c r="K700" s="34"/>
      <c r="L700" s="34"/>
      <c r="M700" s="34"/>
      <c r="N700" s="34"/>
      <c r="O700" s="173"/>
    </row>
    <row r="701" spans="8:15" ht="12.75">
      <c r="H701" s="34"/>
      <c r="I701" s="34"/>
      <c r="J701" s="173"/>
      <c r="K701" s="34"/>
      <c r="L701" s="34"/>
      <c r="M701" s="34"/>
      <c r="N701" s="34"/>
      <c r="O701" s="173"/>
    </row>
    <row r="702" spans="8:15" ht="12.75">
      <c r="H702" s="34"/>
      <c r="I702" s="34"/>
      <c r="J702" s="173"/>
      <c r="K702" s="34"/>
      <c r="L702" s="34"/>
      <c r="M702" s="34"/>
      <c r="N702" s="34"/>
      <c r="O702" s="173"/>
    </row>
    <row r="703" spans="8:15" ht="12.75">
      <c r="H703" s="34"/>
      <c r="I703" s="34"/>
      <c r="J703" s="173"/>
      <c r="K703" s="34"/>
      <c r="L703" s="34"/>
      <c r="M703" s="34"/>
      <c r="N703" s="34"/>
      <c r="O703" s="173"/>
    </row>
    <row r="704" spans="8:15" ht="12.75">
      <c r="H704" s="34"/>
      <c r="I704" s="34"/>
      <c r="J704" s="173"/>
      <c r="K704" s="34"/>
      <c r="L704" s="34"/>
      <c r="M704" s="34"/>
      <c r="N704" s="34"/>
      <c r="O704" s="173"/>
    </row>
    <row r="705" spans="8:15" ht="12.75">
      <c r="H705" s="34"/>
      <c r="I705" s="34"/>
      <c r="J705" s="173"/>
      <c r="K705" s="34"/>
      <c r="L705" s="34"/>
      <c r="M705" s="34"/>
      <c r="N705" s="34"/>
      <c r="O705" s="173"/>
    </row>
    <row r="706" spans="8:15" ht="12.75">
      <c r="H706" s="34"/>
      <c r="I706" s="34"/>
      <c r="J706" s="173"/>
      <c r="K706" s="34"/>
      <c r="L706" s="34"/>
      <c r="M706" s="34"/>
      <c r="N706" s="34"/>
      <c r="O706" s="173"/>
    </row>
    <row r="707" spans="8:15" ht="12.75">
      <c r="H707" s="34"/>
      <c r="I707" s="34"/>
      <c r="J707" s="173"/>
      <c r="K707" s="34"/>
      <c r="L707" s="34"/>
      <c r="M707" s="34"/>
      <c r="N707" s="34"/>
      <c r="O707" s="173"/>
    </row>
    <row r="708" spans="8:15" ht="12.75">
      <c r="H708" s="34"/>
      <c r="I708" s="34"/>
      <c r="J708" s="173"/>
      <c r="K708" s="34"/>
      <c r="L708" s="34"/>
      <c r="M708" s="34"/>
      <c r="N708" s="34"/>
      <c r="O708" s="173"/>
    </row>
    <row r="709" spans="8:15" ht="12.75">
      <c r="H709" s="34"/>
      <c r="I709" s="34"/>
      <c r="J709" s="173"/>
      <c r="K709" s="34"/>
      <c r="L709" s="34"/>
      <c r="M709" s="34"/>
      <c r="N709" s="34"/>
      <c r="O709" s="173"/>
    </row>
    <row r="710" spans="8:15" ht="12.75">
      <c r="H710" s="34"/>
      <c r="I710" s="34"/>
      <c r="J710" s="173"/>
      <c r="K710" s="34"/>
      <c r="L710" s="34"/>
      <c r="M710" s="34"/>
      <c r="N710" s="34"/>
      <c r="O710" s="173"/>
    </row>
    <row r="711" spans="8:15" ht="12.75">
      <c r="H711" s="34"/>
      <c r="I711" s="34"/>
      <c r="J711" s="173"/>
      <c r="K711" s="34"/>
      <c r="L711" s="34"/>
      <c r="M711" s="34"/>
      <c r="N711" s="34"/>
      <c r="O711" s="173"/>
    </row>
    <row r="712" spans="8:15" ht="12.75">
      <c r="H712" s="34"/>
      <c r="I712" s="34"/>
      <c r="J712" s="173"/>
      <c r="K712" s="34"/>
      <c r="L712" s="34"/>
      <c r="M712" s="34"/>
      <c r="N712" s="34"/>
      <c r="O712" s="173"/>
    </row>
    <row r="713" spans="8:15" ht="12.75">
      <c r="H713" s="34"/>
      <c r="I713" s="34"/>
      <c r="J713" s="173"/>
      <c r="K713" s="34"/>
      <c r="L713" s="34"/>
      <c r="M713" s="34"/>
      <c r="N713" s="34"/>
      <c r="O713" s="173"/>
    </row>
    <row r="714" spans="8:15" ht="12.75">
      <c r="H714" s="34"/>
      <c r="I714" s="34"/>
      <c r="J714" s="173"/>
      <c r="K714" s="34"/>
      <c r="L714" s="34"/>
      <c r="M714" s="34"/>
      <c r="N714" s="34"/>
      <c r="O714" s="173"/>
    </row>
    <row r="715" spans="8:15" ht="12.75">
      <c r="H715" s="34"/>
      <c r="I715" s="34"/>
      <c r="J715" s="173"/>
      <c r="K715" s="34"/>
      <c r="L715" s="34"/>
      <c r="M715" s="34"/>
      <c r="N715" s="34"/>
      <c r="O715" s="173"/>
    </row>
    <row r="716" spans="8:15" ht="12.75">
      <c r="H716" s="34"/>
      <c r="I716" s="34"/>
      <c r="J716" s="173"/>
      <c r="K716" s="34"/>
      <c r="L716" s="34"/>
      <c r="M716" s="34"/>
      <c r="N716" s="34"/>
      <c r="O716" s="173"/>
    </row>
    <row r="717" spans="8:15" ht="12.75">
      <c r="H717" s="34"/>
      <c r="I717" s="34"/>
      <c r="J717" s="173"/>
      <c r="K717" s="34"/>
      <c r="L717" s="34"/>
      <c r="M717" s="34"/>
      <c r="N717" s="34"/>
      <c r="O717" s="173"/>
    </row>
    <row r="718" spans="8:15" ht="12.75">
      <c r="H718" s="34"/>
      <c r="I718" s="34"/>
      <c r="J718" s="173"/>
      <c r="K718" s="34"/>
      <c r="L718" s="34"/>
      <c r="M718" s="34"/>
      <c r="N718" s="34"/>
      <c r="O718" s="173"/>
    </row>
    <row r="719" spans="8:15" ht="12.75">
      <c r="H719" s="34"/>
      <c r="I719" s="34"/>
      <c r="J719" s="173"/>
      <c r="K719" s="34"/>
      <c r="L719" s="34"/>
      <c r="M719" s="34"/>
      <c r="N719" s="34"/>
      <c r="O719" s="173"/>
    </row>
    <row r="720" spans="8:15" ht="12.75">
      <c r="H720" s="34"/>
      <c r="I720" s="34"/>
      <c r="J720" s="173"/>
      <c r="K720" s="34"/>
      <c r="L720" s="34"/>
      <c r="M720" s="34"/>
      <c r="N720" s="34"/>
      <c r="O720" s="173"/>
    </row>
    <row r="721" spans="8:15" ht="12.75">
      <c r="H721" s="34"/>
      <c r="I721" s="34"/>
      <c r="J721" s="173"/>
      <c r="K721" s="34"/>
      <c r="L721" s="34"/>
      <c r="M721" s="34"/>
      <c r="N721" s="34"/>
      <c r="O721" s="173"/>
    </row>
    <row r="722" spans="8:15" ht="12.75">
      <c r="H722" s="34"/>
      <c r="I722" s="34"/>
      <c r="J722" s="173"/>
      <c r="K722" s="34"/>
      <c r="L722" s="34"/>
      <c r="M722" s="34"/>
      <c r="N722" s="34"/>
      <c r="O722" s="173"/>
    </row>
    <row r="723" spans="8:15" ht="12.75">
      <c r="H723" s="34"/>
      <c r="I723" s="34"/>
      <c r="J723" s="173"/>
      <c r="K723" s="34"/>
      <c r="L723" s="34"/>
      <c r="M723" s="34"/>
      <c r="N723" s="34"/>
      <c r="O723" s="173"/>
    </row>
    <row r="724" spans="8:15" ht="12.75">
      <c r="H724" s="34"/>
      <c r="I724" s="34"/>
      <c r="J724" s="173"/>
      <c r="K724" s="34"/>
      <c r="L724" s="34"/>
      <c r="M724" s="34"/>
      <c r="N724" s="34"/>
      <c r="O724" s="173"/>
    </row>
    <row r="725" spans="8:15" ht="12.75">
      <c r="H725" s="34"/>
      <c r="I725" s="34"/>
      <c r="J725" s="173"/>
      <c r="K725" s="34"/>
      <c r="L725" s="34"/>
      <c r="M725" s="34"/>
      <c r="N725" s="34"/>
      <c r="O725" s="173"/>
    </row>
    <row r="726" spans="8:15" ht="12.75">
      <c r="H726" s="34"/>
      <c r="I726" s="34"/>
      <c r="J726" s="173"/>
      <c r="K726" s="34"/>
      <c r="L726" s="34"/>
      <c r="M726" s="34"/>
      <c r="N726" s="34"/>
      <c r="O726" s="173"/>
    </row>
    <row r="727" spans="8:15" ht="12.75">
      <c r="H727" s="34"/>
      <c r="I727" s="34"/>
      <c r="J727" s="173"/>
      <c r="K727" s="34"/>
      <c r="L727" s="34"/>
      <c r="M727" s="34"/>
      <c r="N727" s="34"/>
      <c r="O727" s="173"/>
    </row>
    <row r="728" spans="8:15" ht="12.75">
      <c r="H728" s="34"/>
      <c r="I728" s="34"/>
      <c r="J728" s="173"/>
      <c r="K728" s="34"/>
      <c r="L728" s="34"/>
      <c r="M728" s="34"/>
      <c r="N728" s="34"/>
      <c r="O728" s="173"/>
    </row>
    <row r="729" spans="8:15" ht="12.75">
      <c r="H729" s="34"/>
      <c r="I729" s="34"/>
      <c r="J729" s="173"/>
      <c r="K729" s="34"/>
      <c r="L729" s="34"/>
      <c r="M729" s="34"/>
      <c r="N729" s="34"/>
      <c r="O729" s="173"/>
    </row>
    <row r="730" spans="8:15" ht="12.75">
      <c r="H730" s="34"/>
      <c r="I730" s="34"/>
      <c r="J730" s="173"/>
      <c r="K730" s="34"/>
      <c r="L730" s="34"/>
      <c r="M730" s="34"/>
      <c r="N730" s="34"/>
      <c r="O730" s="173"/>
    </row>
    <row r="731" spans="8:15" ht="12.75">
      <c r="H731" s="34"/>
      <c r="I731" s="34"/>
      <c r="J731" s="173"/>
      <c r="K731" s="34"/>
      <c r="L731" s="34"/>
      <c r="M731" s="34"/>
      <c r="N731" s="34"/>
      <c r="O731" s="173"/>
    </row>
    <row r="732" spans="8:15" ht="12.75">
      <c r="H732" s="34"/>
      <c r="I732" s="34"/>
      <c r="J732" s="173"/>
      <c r="K732" s="34"/>
      <c r="L732" s="34"/>
      <c r="M732" s="34"/>
      <c r="N732" s="34"/>
      <c r="O732" s="173"/>
    </row>
    <row r="733" spans="8:15" ht="12.75">
      <c r="H733" s="34"/>
      <c r="I733" s="34"/>
      <c r="J733" s="173"/>
      <c r="K733" s="34"/>
      <c r="L733" s="34"/>
      <c r="M733" s="34"/>
      <c r="N733" s="34"/>
      <c r="O733" s="173"/>
    </row>
    <row r="734" spans="8:15" ht="12.75">
      <c r="H734" s="34"/>
      <c r="I734" s="34"/>
      <c r="J734" s="173"/>
      <c r="K734" s="34"/>
      <c r="L734" s="34"/>
      <c r="M734" s="34"/>
      <c r="N734" s="34"/>
      <c r="O734" s="173"/>
    </row>
    <row r="735" spans="8:15" ht="12.75">
      <c r="H735" s="34"/>
      <c r="I735" s="34"/>
      <c r="J735" s="173"/>
      <c r="K735" s="34"/>
      <c r="L735" s="34"/>
      <c r="M735" s="34"/>
      <c r="N735" s="34"/>
      <c r="O735" s="173"/>
    </row>
    <row r="736" spans="8:15" ht="12.75">
      <c r="H736" s="34"/>
      <c r="I736" s="34"/>
      <c r="J736" s="173"/>
      <c r="K736" s="34"/>
      <c r="L736" s="34"/>
      <c r="M736" s="34"/>
      <c r="N736" s="34"/>
      <c r="O736" s="173"/>
    </row>
    <row r="737" spans="8:15" ht="12.75">
      <c r="H737" s="34"/>
      <c r="I737" s="34"/>
      <c r="J737" s="173"/>
      <c r="K737" s="34"/>
      <c r="L737" s="34"/>
      <c r="M737" s="34"/>
      <c r="N737" s="34"/>
      <c r="O737" s="173"/>
    </row>
    <row r="738" spans="8:15" ht="12.75">
      <c r="H738" s="34"/>
      <c r="I738" s="34"/>
      <c r="J738" s="173"/>
      <c r="K738" s="34"/>
      <c r="L738" s="34"/>
      <c r="M738" s="34"/>
      <c r="N738" s="34"/>
      <c r="O738" s="173"/>
    </row>
    <row r="739" spans="8:15" ht="12.75">
      <c r="H739" s="34"/>
      <c r="I739" s="34"/>
      <c r="J739" s="173"/>
      <c r="K739" s="34"/>
      <c r="L739" s="34"/>
      <c r="M739" s="34"/>
      <c r="N739" s="34"/>
      <c r="O739" s="173"/>
    </row>
    <row r="740" spans="8:15" ht="12.75">
      <c r="H740" s="34"/>
      <c r="I740" s="34"/>
      <c r="J740" s="173"/>
      <c r="K740" s="34"/>
      <c r="L740" s="34"/>
      <c r="M740" s="34"/>
      <c r="N740" s="34"/>
      <c r="O740" s="173"/>
    </row>
    <row r="741" spans="8:15" ht="12.75">
      <c r="H741" s="34"/>
      <c r="I741" s="34"/>
      <c r="J741" s="173"/>
      <c r="K741" s="34"/>
      <c r="L741" s="34"/>
      <c r="M741" s="34"/>
      <c r="N741" s="34"/>
      <c r="O741" s="173"/>
    </row>
    <row r="742" spans="8:15" ht="12.75">
      <c r="H742" s="34"/>
      <c r="I742" s="34"/>
      <c r="J742" s="173"/>
      <c r="K742" s="34"/>
      <c r="L742" s="34"/>
      <c r="M742" s="34"/>
      <c r="N742" s="34"/>
      <c r="O742" s="173"/>
    </row>
    <row r="743" spans="8:15" ht="12.75">
      <c r="H743" s="34"/>
      <c r="I743" s="34"/>
      <c r="J743" s="173"/>
      <c r="K743" s="34"/>
      <c r="L743" s="34"/>
      <c r="M743" s="34"/>
      <c r="N743" s="34"/>
      <c r="O743" s="173"/>
    </row>
    <row r="744" spans="8:15" ht="12.75">
      <c r="H744" s="34"/>
      <c r="I744" s="34"/>
      <c r="J744" s="173"/>
      <c r="K744" s="34"/>
      <c r="L744" s="34"/>
      <c r="M744" s="34"/>
      <c r="N744" s="34"/>
      <c r="O744" s="173"/>
    </row>
    <row r="745" spans="8:15" ht="12.75">
      <c r="H745" s="34"/>
      <c r="I745" s="34"/>
      <c r="J745" s="173"/>
      <c r="K745" s="34"/>
      <c r="L745" s="34"/>
      <c r="M745" s="34"/>
      <c r="N745" s="34"/>
      <c r="O745" s="173"/>
    </row>
    <row r="746" spans="8:15" ht="12.75">
      <c r="H746" s="34"/>
      <c r="I746" s="34"/>
      <c r="J746" s="173"/>
      <c r="K746" s="34"/>
      <c r="L746" s="34"/>
      <c r="M746" s="34"/>
      <c r="N746" s="34"/>
      <c r="O746" s="173"/>
    </row>
    <row r="747" spans="8:15" ht="12.75">
      <c r="H747" s="34"/>
      <c r="I747" s="34"/>
      <c r="J747" s="173"/>
      <c r="K747" s="34"/>
      <c r="L747" s="34"/>
      <c r="M747" s="34"/>
      <c r="N747" s="34"/>
      <c r="O747" s="173"/>
    </row>
    <row r="748" spans="8:15" ht="12.75">
      <c r="H748" s="34"/>
      <c r="I748" s="34"/>
      <c r="J748" s="173"/>
      <c r="K748" s="34"/>
      <c r="L748" s="34"/>
      <c r="M748" s="34"/>
      <c r="N748" s="34"/>
      <c r="O748" s="173"/>
    </row>
    <row r="749" spans="8:15" ht="12.75">
      <c r="H749" s="34"/>
      <c r="I749" s="34"/>
      <c r="J749" s="173"/>
      <c r="K749" s="34"/>
      <c r="L749" s="34"/>
      <c r="M749" s="34"/>
      <c r="N749" s="34"/>
      <c r="O749" s="173"/>
    </row>
    <row r="750" spans="8:15" ht="12.75">
      <c r="H750" s="34"/>
      <c r="I750" s="34"/>
      <c r="J750" s="173"/>
      <c r="K750" s="34"/>
      <c r="L750" s="34"/>
      <c r="M750" s="34"/>
      <c r="N750" s="34"/>
      <c r="O750" s="173"/>
    </row>
    <row r="751" spans="8:15" ht="12.75">
      <c r="H751" s="34"/>
      <c r="I751" s="34"/>
      <c r="J751" s="173"/>
      <c r="K751" s="34"/>
      <c r="L751" s="34"/>
      <c r="M751" s="34"/>
      <c r="N751" s="34"/>
      <c r="O751" s="173"/>
    </row>
    <row r="752" spans="8:15" ht="12.75">
      <c r="H752" s="34"/>
      <c r="I752" s="34"/>
      <c r="J752" s="173"/>
      <c r="K752" s="34"/>
      <c r="L752" s="34"/>
      <c r="M752" s="34"/>
      <c r="N752" s="34"/>
      <c r="O752" s="173"/>
    </row>
    <row r="753" spans="8:15" ht="12.75">
      <c r="H753" s="34"/>
      <c r="I753" s="34"/>
      <c r="J753" s="173"/>
      <c r="K753" s="34"/>
      <c r="L753" s="34"/>
      <c r="M753" s="34"/>
      <c r="N753" s="34"/>
      <c r="O753" s="173"/>
    </row>
    <row r="754" spans="8:15" ht="12.75">
      <c r="H754" s="34"/>
      <c r="I754" s="34"/>
      <c r="J754" s="173"/>
      <c r="K754" s="34"/>
      <c r="L754" s="34"/>
      <c r="M754" s="34"/>
      <c r="N754" s="34"/>
      <c r="O754" s="173"/>
    </row>
    <row r="755" spans="8:15" ht="12.75">
      <c r="H755" s="34"/>
      <c r="I755" s="34"/>
      <c r="J755" s="173"/>
      <c r="K755" s="34"/>
      <c r="L755" s="34"/>
      <c r="M755" s="34"/>
      <c r="N755" s="34"/>
      <c r="O755" s="173"/>
    </row>
    <row r="756" spans="8:15" ht="12.75">
      <c r="H756" s="34"/>
      <c r="I756" s="34"/>
      <c r="J756" s="173"/>
      <c r="K756" s="34"/>
      <c r="L756" s="34"/>
      <c r="M756" s="34"/>
      <c r="N756" s="34"/>
      <c r="O756" s="173"/>
    </row>
    <row r="757" spans="8:15" ht="12.75">
      <c r="H757" s="34"/>
      <c r="I757" s="34"/>
      <c r="J757" s="173"/>
      <c r="K757" s="34"/>
      <c r="L757" s="34"/>
      <c r="M757" s="34"/>
      <c r="N757" s="34"/>
      <c r="O757" s="173"/>
    </row>
    <row r="758" spans="8:15" ht="12.75">
      <c r="H758" s="34"/>
      <c r="I758" s="34"/>
      <c r="J758" s="173"/>
      <c r="K758" s="34"/>
      <c r="L758" s="34"/>
      <c r="M758" s="34"/>
      <c r="N758" s="34"/>
      <c r="O758" s="173"/>
    </row>
    <row r="759" spans="8:15" ht="12.75">
      <c r="H759" s="34"/>
      <c r="I759" s="34"/>
      <c r="J759" s="173"/>
      <c r="K759" s="34"/>
      <c r="L759" s="34"/>
      <c r="M759" s="34"/>
      <c r="N759" s="34"/>
      <c r="O759" s="173"/>
    </row>
    <row r="760" spans="8:15" ht="12.75">
      <c r="H760" s="34"/>
      <c r="I760" s="34"/>
      <c r="J760" s="173"/>
      <c r="K760" s="34"/>
      <c r="L760" s="34"/>
      <c r="M760" s="34"/>
      <c r="N760" s="34"/>
      <c r="O760" s="173"/>
    </row>
    <row r="761" spans="8:15" ht="12.75">
      <c r="H761" s="34"/>
      <c r="I761" s="34"/>
      <c r="J761" s="173"/>
      <c r="K761" s="34"/>
      <c r="L761" s="34"/>
      <c r="M761" s="34"/>
      <c r="N761" s="34"/>
      <c r="O761" s="173"/>
    </row>
    <row r="762" spans="8:15" ht="12.75">
      <c r="H762" s="34"/>
      <c r="I762" s="34"/>
      <c r="J762" s="173"/>
      <c r="K762" s="34"/>
      <c r="L762" s="34"/>
      <c r="M762" s="34"/>
      <c r="N762" s="34"/>
      <c r="O762" s="173"/>
    </row>
    <row r="763" spans="8:15" ht="12.75">
      <c r="H763" s="34"/>
      <c r="I763" s="34"/>
      <c r="J763" s="173"/>
      <c r="K763" s="34"/>
      <c r="L763" s="34"/>
      <c r="M763" s="34"/>
      <c r="N763" s="34"/>
      <c r="O763" s="173"/>
    </row>
    <row r="764" spans="8:15" ht="12.75">
      <c r="H764" s="34"/>
      <c r="I764" s="34"/>
      <c r="J764" s="173"/>
      <c r="K764" s="34"/>
      <c r="L764" s="34"/>
      <c r="M764" s="34"/>
      <c r="N764" s="34"/>
      <c r="O764" s="173"/>
    </row>
    <row r="765" spans="8:15" ht="12.75">
      <c r="H765" s="34"/>
      <c r="I765" s="34"/>
      <c r="J765" s="173"/>
      <c r="K765" s="34"/>
      <c r="L765" s="34"/>
      <c r="M765" s="34"/>
      <c r="N765" s="34"/>
      <c r="O765" s="173"/>
    </row>
    <row r="766" spans="8:15" ht="12.75">
      <c r="H766" s="34"/>
      <c r="I766" s="34"/>
      <c r="J766" s="173"/>
      <c r="K766" s="34"/>
      <c r="L766" s="34"/>
      <c r="M766" s="34"/>
      <c r="N766" s="34"/>
      <c r="O766" s="173"/>
    </row>
    <row r="767" spans="8:15" ht="12.75">
      <c r="H767" s="34"/>
      <c r="I767" s="34"/>
      <c r="J767" s="173"/>
      <c r="K767" s="34"/>
      <c r="L767" s="34"/>
      <c r="M767" s="34"/>
      <c r="N767" s="34"/>
      <c r="O767" s="173"/>
    </row>
    <row r="768" spans="8:15" ht="12.75">
      <c r="H768" s="34"/>
      <c r="I768" s="34"/>
      <c r="J768" s="173"/>
      <c r="K768" s="34"/>
      <c r="L768" s="34"/>
      <c r="M768" s="34"/>
      <c r="N768" s="34"/>
      <c r="O768" s="173"/>
    </row>
    <row r="769" spans="8:15" ht="12.75">
      <c r="H769" s="34"/>
      <c r="I769" s="34"/>
      <c r="J769" s="173"/>
      <c r="K769" s="34"/>
      <c r="L769" s="34"/>
      <c r="M769" s="34"/>
      <c r="N769" s="34"/>
      <c r="O769" s="173"/>
    </row>
    <row r="770" spans="8:15" ht="12.75">
      <c r="H770" s="34"/>
      <c r="I770" s="34"/>
      <c r="J770" s="173"/>
      <c r="K770" s="34"/>
      <c r="L770" s="34"/>
      <c r="M770" s="34"/>
      <c r="N770" s="34"/>
      <c r="O770" s="173"/>
    </row>
    <row r="771" spans="8:15" ht="12.75">
      <c r="H771" s="34"/>
      <c r="I771" s="34"/>
      <c r="J771" s="173"/>
      <c r="K771" s="34"/>
      <c r="L771" s="34"/>
      <c r="M771" s="34"/>
      <c r="N771" s="34"/>
      <c r="O771" s="173"/>
    </row>
    <row r="772" spans="8:15" ht="12.75">
      <c r="H772" s="34"/>
      <c r="I772" s="34"/>
      <c r="J772" s="173"/>
      <c r="K772" s="34"/>
      <c r="L772" s="34"/>
      <c r="M772" s="34"/>
      <c r="N772" s="34"/>
      <c r="O772" s="173"/>
    </row>
    <row r="773" spans="8:15" ht="12.75">
      <c r="H773" s="34"/>
      <c r="I773" s="34"/>
      <c r="J773" s="173"/>
      <c r="K773" s="34"/>
      <c r="L773" s="34"/>
      <c r="M773" s="34"/>
      <c r="N773" s="34"/>
      <c r="O773" s="173"/>
    </row>
    <row r="774" spans="8:15" ht="12.75">
      <c r="H774" s="34"/>
      <c r="I774" s="34"/>
      <c r="J774" s="173"/>
      <c r="K774" s="34"/>
      <c r="L774" s="34"/>
      <c r="M774" s="34"/>
      <c r="N774" s="34"/>
      <c r="O774" s="173"/>
    </row>
    <row r="775" spans="8:15" ht="12.75">
      <c r="H775" s="34"/>
      <c r="I775" s="34"/>
      <c r="J775" s="173"/>
      <c r="K775" s="34"/>
      <c r="L775" s="34"/>
      <c r="M775" s="34"/>
      <c r="N775" s="34"/>
      <c r="O775" s="173"/>
    </row>
    <row r="776" spans="8:15" ht="12.75">
      <c r="H776" s="34"/>
      <c r="I776" s="34"/>
      <c r="J776" s="173"/>
      <c r="K776" s="34"/>
      <c r="L776" s="34"/>
      <c r="M776" s="34"/>
      <c r="N776" s="34"/>
      <c r="O776" s="173"/>
    </row>
    <row r="777" spans="8:15" ht="12.75">
      <c r="H777" s="34"/>
      <c r="I777" s="34"/>
      <c r="J777" s="173"/>
      <c r="K777" s="34"/>
      <c r="L777" s="34"/>
      <c r="M777" s="34"/>
      <c r="N777" s="34"/>
      <c r="O777" s="173"/>
    </row>
    <row r="778" spans="8:15" ht="12.75">
      <c r="H778" s="34"/>
      <c r="I778" s="34"/>
      <c r="J778" s="173"/>
      <c r="K778" s="34"/>
      <c r="L778" s="34"/>
      <c r="M778" s="34"/>
      <c r="N778" s="34"/>
      <c r="O778" s="173"/>
    </row>
    <row r="779" spans="8:15" ht="12.75">
      <c r="H779" s="34"/>
      <c r="I779" s="34"/>
      <c r="J779" s="173"/>
      <c r="K779" s="34"/>
      <c r="L779" s="34"/>
      <c r="M779" s="34"/>
      <c r="N779" s="34"/>
      <c r="O779" s="173"/>
    </row>
    <row r="780" spans="8:15" ht="12.75">
      <c r="H780" s="34"/>
      <c r="I780" s="34"/>
      <c r="J780" s="173"/>
      <c r="K780" s="34"/>
      <c r="L780" s="34"/>
      <c r="M780" s="34"/>
      <c r="N780" s="34"/>
      <c r="O780" s="173"/>
    </row>
    <row r="781" spans="8:15" ht="12.75">
      <c r="H781" s="34"/>
      <c r="I781" s="34"/>
      <c r="J781" s="173"/>
      <c r="K781" s="34"/>
      <c r="L781" s="34"/>
      <c r="M781" s="34"/>
      <c r="N781" s="34"/>
      <c r="O781" s="173"/>
    </row>
    <row r="782" spans="8:15" ht="12.75">
      <c r="H782" s="34"/>
      <c r="I782" s="34"/>
      <c r="J782" s="173"/>
      <c r="K782" s="34"/>
      <c r="L782" s="34"/>
      <c r="M782" s="34"/>
      <c r="N782" s="34"/>
      <c r="O782" s="173"/>
    </row>
    <row r="783" spans="8:15" ht="12.75">
      <c r="H783" s="34"/>
      <c r="I783" s="34"/>
      <c r="J783" s="173"/>
      <c r="K783" s="34"/>
      <c r="L783" s="34"/>
      <c r="M783" s="34"/>
      <c r="N783" s="34"/>
      <c r="O783" s="173"/>
    </row>
    <row r="784" spans="8:15" ht="12.75">
      <c r="H784" s="34"/>
      <c r="I784" s="34"/>
      <c r="J784" s="173"/>
      <c r="K784" s="34"/>
      <c r="L784" s="34"/>
      <c r="M784" s="34"/>
      <c r="N784" s="34"/>
      <c r="O784" s="173"/>
    </row>
    <row r="785" spans="8:15" ht="12.75">
      <c r="H785" s="34"/>
      <c r="I785" s="34"/>
      <c r="J785" s="173"/>
      <c r="K785" s="34"/>
      <c r="L785" s="34"/>
      <c r="M785" s="34"/>
      <c r="N785" s="34"/>
      <c r="O785" s="173"/>
    </row>
    <row r="786" spans="8:15" ht="12.75">
      <c r="H786" s="34"/>
      <c r="I786" s="34"/>
      <c r="J786" s="173"/>
      <c r="K786" s="34"/>
      <c r="L786" s="34"/>
      <c r="M786" s="34"/>
      <c r="N786" s="34"/>
      <c r="O786" s="173"/>
    </row>
    <row r="787" spans="8:15" ht="12.75">
      <c r="H787" s="34"/>
      <c r="I787" s="34"/>
      <c r="J787" s="173"/>
      <c r="K787" s="34"/>
      <c r="L787" s="34"/>
      <c r="M787" s="34"/>
      <c r="N787" s="34"/>
      <c r="O787" s="173"/>
    </row>
    <row r="788" spans="8:15" ht="12.75">
      <c r="H788" s="34"/>
      <c r="I788" s="34"/>
      <c r="J788" s="173"/>
      <c r="K788" s="34"/>
      <c r="L788" s="34"/>
      <c r="M788" s="34"/>
      <c r="N788" s="34"/>
      <c r="O788" s="173"/>
    </row>
    <row r="789" spans="8:15" ht="12.75">
      <c r="H789" s="34"/>
      <c r="I789" s="34"/>
      <c r="J789" s="173"/>
      <c r="K789" s="34"/>
      <c r="L789" s="34"/>
      <c r="M789" s="34"/>
      <c r="N789" s="34"/>
      <c r="O789" s="173"/>
    </row>
    <row r="790" spans="8:15" ht="12.75">
      <c r="H790" s="34"/>
      <c r="I790" s="34"/>
      <c r="J790" s="173"/>
      <c r="K790" s="34"/>
      <c r="L790" s="34"/>
      <c r="M790" s="34"/>
      <c r="N790" s="34"/>
      <c r="O790" s="173"/>
    </row>
    <row r="791" spans="8:15" ht="12.75">
      <c r="H791" s="34"/>
      <c r="I791" s="34"/>
      <c r="J791" s="173"/>
      <c r="K791" s="34"/>
      <c r="L791" s="34"/>
      <c r="M791" s="34"/>
      <c r="N791" s="34"/>
      <c r="O791" s="173"/>
    </row>
    <row r="792" spans="8:15" ht="12.75">
      <c r="H792" s="34"/>
      <c r="I792" s="34"/>
      <c r="J792" s="173"/>
      <c r="K792" s="34"/>
      <c r="L792" s="34"/>
      <c r="M792" s="34"/>
      <c r="N792" s="34"/>
      <c r="O792" s="173"/>
    </row>
    <row r="793" spans="8:15" ht="12.75">
      <c r="H793" s="34"/>
      <c r="I793" s="34"/>
      <c r="J793" s="173"/>
      <c r="K793" s="34"/>
      <c r="L793" s="34"/>
      <c r="M793" s="34"/>
      <c r="N793" s="34"/>
      <c r="O793" s="173"/>
    </row>
    <row r="794" spans="8:15" ht="12.75">
      <c r="H794" s="34"/>
      <c r="I794" s="34"/>
      <c r="J794" s="173"/>
      <c r="K794" s="34"/>
      <c r="L794" s="34"/>
      <c r="M794" s="34"/>
      <c r="N794" s="34"/>
      <c r="O794" s="173"/>
    </row>
    <row r="795" spans="8:15" ht="12.75">
      <c r="H795" s="34"/>
      <c r="I795" s="34"/>
      <c r="J795" s="173"/>
      <c r="K795" s="34"/>
      <c r="L795" s="34"/>
      <c r="M795" s="34"/>
      <c r="N795" s="34"/>
      <c r="O795" s="173"/>
    </row>
    <row r="796" spans="8:15" ht="12.75">
      <c r="H796" s="34"/>
      <c r="I796" s="34"/>
      <c r="J796" s="173"/>
      <c r="K796" s="34"/>
      <c r="L796" s="34"/>
      <c r="M796" s="34"/>
      <c r="N796" s="34"/>
      <c r="O796" s="173"/>
    </row>
    <row r="797" spans="8:15" ht="12.75">
      <c r="H797" s="34"/>
      <c r="I797" s="34"/>
      <c r="J797" s="173"/>
      <c r="K797" s="34"/>
      <c r="L797" s="34"/>
      <c r="M797" s="34"/>
      <c r="N797" s="34"/>
      <c r="O797" s="173"/>
    </row>
    <row r="798" spans="8:15" ht="12.75">
      <c r="H798" s="34"/>
      <c r="I798" s="34"/>
      <c r="J798" s="173"/>
      <c r="K798" s="34"/>
      <c r="L798" s="34"/>
      <c r="M798" s="34"/>
      <c r="N798" s="34"/>
      <c r="O798" s="173"/>
    </row>
    <row r="799" spans="8:15" ht="12.75">
      <c r="H799" s="34"/>
      <c r="I799" s="34"/>
      <c r="J799" s="173"/>
      <c r="K799" s="34"/>
      <c r="L799" s="34"/>
      <c r="M799" s="34"/>
      <c r="N799" s="34"/>
      <c r="O799" s="173"/>
    </row>
    <row r="800" spans="8:15" ht="12.75">
      <c r="H800" s="34"/>
      <c r="I800" s="34"/>
      <c r="J800" s="173"/>
      <c r="K800" s="34"/>
      <c r="L800" s="34"/>
      <c r="M800" s="34"/>
      <c r="N800" s="34"/>
      <c r="O800" s="173"/>
    </row>
    <row r="801" spans="8:15" ht="12.75">
      <c r="H801" s="34"/>
      <c r="I801" s="34"/>
      <c r="J801" s="173"/>
      <c r="K801" s="34"/>
      <c r="L801" s="34"/>
      <c r="M801" s="34"/>
      <c r="N801" s="34"/>
      <c r="O801" s="173"/>
    </row>
    <row r="802" spans="8:15" ht="12.75">
      <c r="H802" s="34"/>
      <c r="I802" s="34"/>
      <c r="J802" s="173"/>
      <c r="K802" s="34"/>
      <c r="L802" s="34"/>
      <c r="M802" s="34"/>
      <c r="N802" s="34"/>
      <c r="O802" s="173"/>
    </row>
    <row r="803" spans="8:15" ht="12.75">
      <c r="H803" s="34"/>
      <c r="I803" s="34"/>
      <c r="J803" s="173"/>
      <c r="K803" s="34"/>
      <c r="L803" s="34"/>
      <c r="M803" s="34"/>
      <c r="N803" s="34"/>
      <c r="O803" s="173"/>
    </row>
    <row r="804" spans="8:15" ht="12.75">
      <c r="H804" s="34"/>
      <c r="I804" s="34"/>
      <c r="J804" s="173"/>
      <c r="K804" s="34"/>
      <c r="L804" s="34"/>
      <c r="M804" s="34"/>
      <c r="N804" s="34"/>
      <c r="O804" s="173"/>
    </row>
    <row r="805" spans="8:15" ht="12.75">
      <c r="H805" s="34"/>
      <c r="I805" s="34"/>
      <c r="J805" s="173"/>
      <c r="K805" s="34"/>
      <c r="L805" s="34"/>
      <c r="M805" s="34"/>
      <c r="N805" s="34"/>
      <c r="O805" s="173"/>
    </row>
    <row r="806" spans="8:15" ht="12.75">
      <c r="H806" s="34"/>
      <c r="I806" s="34"/>
      <c r="J806" s="173"/>
      <c r="K806" s="34"/>
      <c r="L806" s="34"/>
      <c r="M806" s="34"/>
      <c r="N806" s="34"/>
      <c r="O806" s="173"/>
    </row>
    <row r="807" spans="8:15" ht="12.75">
      <c r="H807" s="34"/>
      <c r="I807" s="34"/>
      <c r="J807" s="173"/>
      <c r="K807" s="34"/>
      <c r="L807" s="34"/>
      <c r="M807" s="34"/>
      <c r="N807" s="34"/>
      <c r="O807" s="173"/>
    </row>
    <row r="808" spans="8:15" ht="12.75">
      <c r="H808" s="34"/>
      <c r="I808" s="34"/>
      <c r="J808" s="173"/>
      <c r="K808" s="34"/>
      <c r="L808" s="34"/>
      <c r="M808" s="34"/>
      <c r="N808" s="34"/>
      <c r="O808" s="173"/>
    </row>
    <row r="809" spans="8:15" ht="12.75">
      <c r="H809" s="34"/>
      <c r="I809" s="34"/>
      <c r="J809" s="173"/>
      <c r="K809" s="34"/>
      <c r="L809" s="34"/>
      <c r="M809" s="34"/>
      <c r="N809" s="34"/>
      <c r="O809" s="173"/>
    </row>
    <row r="810" spans="8:15" ht="12.75">
      <c r="H810" s="34"/>
      <c r="I810" s="34"/>
      <c r="J810" s="173"/>
      <c r="K810" s="34"/>
      <c r="L810" s="34"/>
      <c r="M810" s="34"/>
      <c r="N810" s="34"/>
      <c r="O810" s="173"/>
    </row>
    <row r="811" spans="8:15" ht="12.75">
      <c r="H811" s="34"/>
      <c r="I811" s="34"/>
      <c r="J811" s="173"/>
      <c r="K811" s="34"/>
      <c r="L811" s="34"/>
      <c r="M811" s="34"/>
      <c r="N811" s="34"/>
      <c r="O811" s="173"/>
    </row>
    <row r="812" spans="8:15" ht="12.75">
      <c r="H812" s="34"/>
      <c r="I812" s="34"/>
      <c r="J812" s="173"/>
      <c r="K812" s="34"/>
      <c r="L812" s="34"/>
      <c r="M812" s="34"/>
      <c r="N812" s="34"/>
      <c r="O812" s="173"/>
    </row>
    <row r="813" spans="8:15" ht="12.75">
      <c r="H813" s="34"/>
      <c r="I813" s="34"/>
      <c r="J813" s="173"/>
      <c r="K813" s="34"/>
      <c r="L813" s="34"/>
      <c r="M813" s="34"/>
      <c r="N813" s="34"/>
      <c r="O813" s="173"/>
    </row>
    <row r="814" spans="8:15" ht="12.75">
      <c r="H814" s="34"/>
      <c r="I814" s="34"/>
      <c r="J814" s="173"/>
      <c r="K814" s="34"/>
      <c r="L814" s="34"/>
      <c r="M814" s="34"/>
      <c r="N814" s="34"/>
      <c r="O814" s="173"/>
    </row>
    <row r="815" spans="8:15" ht="12.75">
      <c r="H815" s="34"/>
      <c r="I815" s="34"/>
      <c r="J815" s="173"/>
      <c r="K815" s="34"/>
      <c r="L815" s="34"/>
      <c r="M815" s="34"/>
      <c r="N815" s="34"/>
      <c r="O815" s="173"/>
    </row>
    <row r="816" spans="8:15" ht="12.75">
      <c r="H816" s="34"/>
      <c r="I816" s="34"/>
      <c r="J816" s="173"/>
      <c r="K816" s="34"/>
      <c r="L816" s="34"/>
      <c r="M816" s="34"/>
      <c r="N816" s="34"/>
      <c r="O816" s="173"/>
    </row>
    <row r="817" spans="8:15" ht="12.75">
      <c r="H817" s="34"/>
      <c r="I817" s="34"/>
      <c r="J817" s="173"/>
      <c r="K817" s="34"/>
      <c r="L817" s="34"/>
      <c r="M817" s="34"/>
      <c r="N817" s="34"/>
      <c r="O817" s="173"/>
    </row>
    <row r="818" spans="8:15" ht="12.75">
      <c r="H818" s="34"/>
      <c r="I818" s="34"/>
      <c r="J818" s="173"/>
      <c r="K818" s="34"/>
      <c r="L818" s="34"/>
      <c r="M818" s="34"/>
      <c r="N818" s="34"/>
      <c r="O818" s="173"/>
    </row>
    <row r="819" spans="8:15" ht="12.75">
      <c r="H819" s="34"/>
      <c r="I819" s="34"/>
      <c r="J819" s="173"/>
      <c r="K819" s="34"/>
      <c r="L819" s="34"/>
      <c r="M819" s="34"/>
      <c r="N819" s="34"/>
      <c r="O819" s="173"/>
    </row>
    <row r="820" spans="8:15" ht="12.75">
      <c r="H820" s="34"/>
      <c r="I820" s="34"/>
      <c r="J820" s="173"/>
      <c r="K820" s="34"/>
      <c r="L820" s="34"/>
      <c r="M820" s="34"/>
      <c r="N820" s="34"/>
      <c r="O820" s="173"/>
    </row>
    <row r="821" spans="8:15" ht="12.75">
      <c r="H821" s="34"/>
      <c r="I821" s="34"/>
      <c r="J821" s="173"/>
      <c r="K821" s="34"/>
      <c r="L821" s="34"/>
      <c r="M821" s="34"/>
      <c r="N821" s="34"/>
      <c r="O821" s="173"/>
    </row>
    <row r="822" spans="8:15" ht="12.75">
      <c r="H822" s="34"/>
      <c r="I822" s="34"/>
      <c r="J822" s="173"/>
      <c r="K822" s="34"/>
      <c r="L822" s="34"/>
      <c r="M822" s="34"/>
      <c r="N822" s="34"/>
      <c r="O822" s="173"/>
    </row>
    <row r="823" spans="8:15" ht="12.75">
      <c r="H823" s="34"/>
      <c r="I823" s="34"/>
      <c r="J823" s="173"/>
      <c r="K823" s="34"/>
      <c r="L823" s="34"/>
      <c r="M823" s="34"/>
      <c r="N823" s="34"/>
      <c r="O823" s="173"/>
    </row>
    <row r="824" spans="8:15" ht="12.75">
      <c r="H824" s="34"/>
      <c r="I824" s="34"/>
      <c r="J824" s="173"/>
      <c r="K824" s="34"/>
      <c r="L824" s="34"/>
      <c r="M824" s="34"/>
      <c r="N824" s="34"/>
      <c r="O824" s="173"/>
    </row>
    <row r="825" spans="8:15" ht="12.75">
      <c r="H825" s="34"/>
      <c r="I825" s="34"/>
      <c r="J825" s="173"/>
      <c r="K825" s="34"/>
      <c r="L825" s="34"/>
      <c r="M825" s="34"/>
      <c r="N825" s="34"/>
      <c r="O825" s="173"/>
    </row>
    <row r="826" spans="8:15" ht="12.75">
      <c r="H826" s="34"/>
      <c r="I826" s="34"/>
      <c r="J826" s="173"/>
      <c r="K826" s="34"/>
      <c r="L826" s="34"/>
      <c r="M826" s="34"/>
      <c r="N826" s="34"/>
      <c r="O826" s="173"/>
    </row>
    <row r="827" spans="8:15" ht="12.75">
      <c r="H827" s="34"/>
      <c r="I827" s="34"/>
      <c r="J827" s="173"/>
      <c r="K827" s="34"/>
      <c r="L827" s="34"/>
      <c r="M827" s="34"/>
      <c r="N827" s="34"/>
      <c r="O827" s="173"/>
    </row>
    <row r="828" spans="8:15" ht="12.75">
      <c r="H828" s="34"/>
      <c r="I828" s="34"/>
      <c r="J828" s="173"/>
      <c r="K828" s="34"/>
      <c r="L828" s="34"/>
      <c r="M828" s="34"/>
      <c r="N828" s="34"/>
      <c r="O828" s="173"/>
    </row>
    <row r="829" spans="8:15" ht="12.75">
      <c r="H829" s="34"/>
      <c r="I829" s="34"/>
      <c r="J829" s="173"/>
      <c r="K829" s="34"/>
      <c r="L829" s="34"/>
      <c r="M829" s="34"/>
      <c r="N829" s="34"/>
      <c r="O829" s="173"/>
    </row>
    <row r="830" spans="8:15" ht="12.75">
      <c r="H830" s="34"/>
      <c r="I830" s="34"/>
      <c r="J830" s="173"/>
      <c r="K830" s="34"/>
      <c r="L830" s="34"/>
      <c r="M830" s="34"/>
      <c r="N830" s="34"/>
      <c r="O830" s="173"/>
    </row>
    <row r="831" spans="8:15" ht="12.75">
      <c r="H831" s="34"/>
      <c r="I831" s="34"/>
      <c r="J831" s="173"/>
      <c r="K831" s="34"/>
      <c r="L831" s="34"/>
      <c r="M831" s="34"/>
      <c r="N831" s="34"/>
      <c r="O831" s="173"/>
    </row>
    <row r="832" spans="8:15" ht="12.75">
      <c r="H832" s="34"/>
      <c r="I832" s="34"/>
      <c r="J832" s="173"/>
      <c r="K832" s="34"/>
      <c r="L832" s="34"/>
      <c r="M832" s="34"/>
      <c r="N832" s="34"/>
      <c r="O832" s="173"/>
    </row>
    <row r="833" spans="8:15" ht="12.75">
      <c r="H833" s="34"/>
      <c r="I833" s="34"/>
      <c r="J833" s="173"/>
      <c r="K833" s="34"/>
      <c r="L833" s="34"/>
      <c r="M833" s="34"/>
      <c r="N833" s="34"/>
      <c r="O833" s="173"/>
    </row>
    <row r="834" spans="8:15" ht="12.75">
      <c r="H834" s="34"/>
      <c r="I834" s="34"/>
      <c r="J834" s="173"/>
      <c r="K834" s="34"/>
      <c r="L834" s="34"/>
      <c r="M834" s="34"/>
      <c r="N834" s="34"/>
      <c r="O834" s="173"/>
    </row>
    <row r="835" spans="8:15" ht="12.75">
      <c r="H835" s="34"/>
      <c r="I835" s="34"/>
      <c r="J835" s="173"/>
      <c r="K835" s="34"/>
      <c r="L835" s="34"/>
      <c r="M835" s="34"/>
      <c r="N835" s="34"/>
      <c r="O835" s="173"/>
    </row>
    <row r="836" spans="8:15" ht="12.75">
      <c r="H836" s="34"/>
      <c r="I836" s="34"/>
      <c r="J836" s="173"/>
      <c r="K836" s="34"/>
      <c r="L836" s="34"/>
      <c r="M836" s="34"/>
      <c r="N836" s="34"/>
      <c r="O836" s="173"/>
    </row>
    <row r="837" spans="8:15" ht="12.75">
      <c r="H837" s="34"/>
      <c r="I837" s="34"/>
      <c r="J837" s="173"/>
      <c r="K837" s="34"/>
      <c r="L837" s="34"/>
      <c r="M837" s="34"/>
      <c r="N837" s="34"/>
      <c r="O837" s="173"/>
    </row>
    <row r="838" spans="8:15" ht="12.75">
      <c r="H838" s="34"/>
      <c r="I838" s="34"/>
      <c r="J838" s="173"/>
      <c r="K838" s="34"/>
      <c r="L838" s="34"/>
      <c r="M838" s="34"/>
      <c r="N838" s="34"/>
      <c r="O838" s="173"/>
    </row>
    <row r="839" spans="8:15" ht="12.75">
      <c r="H839" s="34"/>
      <c r="I839" s="34"/>
      <c r="J839" s="173"/>
      <c r="K839" s="34"/>
      <c r="L839" s="34"/>
      <c r="M839" s="34"/>
      <c r="N839" s="34"/>
      <c r="O839" s="173"/>
    </row>
    <row r="840" spans="8:15" ht="12.75">
      <c r="H840" s="34"/>
      <c r="I840" s="34"/>
      <c r="J840" s="173"/>
      <c r="K840" s="34"/>
      <c r="L840" s="34"/>
      <c r="M840" s="34"/>
      <c r="N840" s="34"/>
      <c r="O840" s="173"/>
    </row>
    <row r="841" spans="8:15" ht="12.75">
      <c r="H841" s="34"/>
      <c r="I841" s="34"/>
      <c r="J841" s="173"/>
      <c r="K841" s="34"/>
      <c r="L841" s="34"/>
      <c r="M841" s="34"/>
      <c r="N841" s="34"/>
      <c r="O841" s="173"/>
    </row>
    <row r="842" spans="8:15" ht="12.75">
      <c r="H842" s="34"/>
      <c r="I842" s="34"/>
      <c r="J842" s="173"/>
      <c r="K842" s="34"/>
      <c r="L842" s="34"/>
      <c r="M842" s="34"/>
      <c r="N842" s="34"/>
      <c r="O842" s="173"/>
    </row>
    <row r="843" spans="8:15" ht="12.75">
      <c r="H843" s="34"/>
      <c r="I843" s="34"/>
      <c r="J843" s="173"/>
      <c r="K843" s="34"/>
      <c r="L843" s="34"/>
      <c r="M843" s="34"/>
      <c r="N843" s="34"/>
      <c r="O843" s="173"/>
    </row>
    <row r="844" spans="8:15" ht="12.75">
      <c r="H844" s="34"/>
      <c r="I844" s="34"/>
      <c r="J844" s="173"/>
      <c r="K844" s="34"/>
      <c r="L844" s="34"/>
      <c r="M844" s="34"/>
      <c r="N844" s="34"/>
      <c r="O844" s="173"/>
    </row>
    <row r="845" spans="8:15" ht="12.75">
      <c r="H845" s="34"/>
      <c r="I845" s="34"/>
      <c r="J845" s="173"/>
      <c r="K845" s="34"/>
      <c r="L845" s="34"/>
      <c r="M845" s="34"/>
      <c r="N845" s="34"/>
      <c r="O845" s="173"/>
    </row>
    <row r="846" spans="8:15" ht="12.75">
      <c r="H846" s="34"/>
      <c r="I846" s="34"/>
      <c r="J846" s="173"/>
      <c r="K846" s="34"/>
      <c r="L846" s="34"/>
      <c r="M846" s="34"/>
      <c r="N846" s="34"/>
      <c r="O846" s="173"/>
    </row>
    <row r="847" spans="8:15" ht="12.75">
      <c r="H847" s="34"/>
      <c r="I847" s="34"/>
      <c r="J847" s="173"/>
      <c r="K847" s="34"/>
      <c r="L847" s="34"/>
      <c r="M847" s="34"/>
      <c r="N847" s="34"/>
      <c r="O847" s="173"/>
    </row>
    <row r="848" spans="8:15" ht="12.75">
      <c r="H848" s="34"/>
      <c r="I848" s="34"/>
      <c r="J848" s="173"/>
      <c r="K848" s="34"/>
      <c r="L848" s="34"/>
      <c r="M848" s="34"/>
      <c r="N848" s="34"/>
      <c r="O848" s="173"/>
    </row>
    <row r="849" spans="8:15" ht="12.75">
      <c r="H849" s="34"/>
      <c r="I849" s="34"/>
      <c r="J849" s="173"/>
      <c r="K849" s="34"/>
      <c r="L849" s="34"/>
      <c r="M849" s="34"/>
      <c r="N849" s="34"/>
      <c r="O849" s="173"/>
    </row>
    <row r="850" spans="8:15" ht="12.75">
      <c r="H850" s="34"/>
      <c r="I850" s="34"/>
      <c r="J850" s="173"/>
      <c r="K850" s="34"/>
      <c r="L850" s="34"/>
      <c r="M850" s="34"/>
      <c r="N850" s="34"/>
      <c r="O850" s="173"/>
    </row>
    <row r="851" spans="8:15" ht="12.75">
      <c r="H851" s="34"/>
      <c r="I851" s="34"/>
      <c r="J851" s="173"/>
      <c r="K851" s="34"/>
      <c r="L851" s="34"/>
      <c r="M851" s="34"/>
      <c r="N851" s="34"/>
      <c r="O851" s="173"/>
    </row>
    <row r="852" spans="8:15" ht="12.75">
      <c r="H852" s="34"/>
      <c r="I852" s="34"/>
      <c r="J852" s="173"/>
      <c r="K852" s="34"/>
      <c r="L852" s="34"/>
      <c r="M852" s="34"/>
      <c r="N852" s="34"/>
      <c r="O852" s="173"/>
    </row>
    <row r="853" spans="8:15" ht="12.75">
      <c r="H853" s="34"/>
      <c r="I853" s="34"/>
      <c r="J853" s="173"/>
      <c r="K853" s="34"/>
      <c r="L853" s="34"/>
      <c r="M853" s="34"/>
      <c r="N853" s="34"/>
      <c r="O853" s="173"/>
    </row>
    <row r="854" spans="8:15" ht="12.75">
      <c r="H854" s="34"/>
      <c r="I854" s="34"/>
      <c r="J854" s="173"/>
      <c r="K854" s="34"/>
      <c r="L854" s="34"/>
      <c r="M854" s="34"/>
      <c r="N854" s="34"/>
      <c r="O854" s="173"/>
    </row>
    <row r="855" spans="8:15" ht="12.75">
      <c r="H855" s="34"/>
      <c r="I855" s="34"/>
      <c r="J855" s="173"/>
      <c r="K855" s="34"/>
      <c r="L855" s="34"/>
      <c r="M855" s="34"/>
      <c r="N855" s="34"/>
      <c r="O855" s="173"/>
    </row>
    <row r="856" spans="8:15" ht="12.75">
      <c r="H856" s="34"/>
      <c r="I856" s="34"/>
      <c r="J856" s="173"/>
      <c r="K856" s="34"/>
      <c r="L856" s="34"/>
      <c r="M856" s="34"/>
      <c r="N856" s="34"/>
      <c r="O856" s="173"/>
    </row>
    <row r="857" spans="8:15" ht="12.75">
      <c r="H857" s="34"/>
      <c r="I857" s="34"/>
      <c r="J857" s="173"/>
      <c r="K857" s="34"/>
      <c r="L857" s="34"/>
      <c r="M857" s="34"/>
      <c r="N857" s="34"/>
      <c r="O857" s="173"/>
    </row>
    <row r="858" spans="8:15" ht="12.75">
      <c r="H858" s="34"/>
      <c r="I858" s="34"/>
      <c r="J858" s="173"/>
      <c r="K858" s="34"/>
      <c r="L858" s="34"/>
      <c r="M858" s="34"/>
      <c r="N858" s="34"/>
      <c r="O858" s="173"/>
    </row>
    <row r="859" spans="8:15" ht="12.75">
      <c r="H859" s="34"/>
      <c r="I859" s="34"/>
      <c r="J859" s="173"/>
      <c r="K859" s="34"/>
      <c r="L859" s="34"/>
      <c r="M859" s="34"/>
      <c r="N859" s="34"/>
      <c r="O859" s="173"/>
    </row>
    <row r="860" spans="8:15" ht="12.75">
      <c r="H860" s="34"/>
      <c r="I860" s="34"/>
      <c r="J860" s="173"/>
      <c r="K860" s="34"/>
      <c r="L860" s="34"/>
      <c r="M860" s="34"/>
      <c r="N860" s="34"/>
      <c r="O860" s="173"/>
    </row>
    <row r="861" spans="8:15" ht="12.75">
      <c r="H861" s="34"/>
      <c r="I861" s="34"/>
      <c r="J861" s="173"/>
      <c r="K861" s="34"/>
      <c r="L861" s="34"/>
      <c r="M861" s="34"/>
      <c r="N861" s="34"/>
      <c r="O861" s="173"/>
    </row>
    <row r="862" spans="8:15" ht="12.75">
      <c r="H862" s="34"/>
      <c r="I862" s="34"/>
      <c r="J862" s="173"/>
      <c r="K862" s="34"/>
      <c r="L862" s="34"/>
      <c r="M862" s="34"/>
      <c r="N862" s="34"/>
      <c r="O862" s="173"/>
    </row>
    <row r="863" spans="8:15" ht="12.75">
      <c r="H863" s="34"/>
      <c r="I863" s="34"/>
      <c r="J863" s="173"/>
      <c r="K863" s="34"/>
      <c r="L863" s="34"/>
      <c r="M863" s="34"/>
      <c r="N863" s="34"/>
      <c r="O863" s="173"/>
    </row>
    <row r="864" spans="8:15" ht="12.75">
      <c r="H864" s="34"/>
      <c r="I864" s="34"/>
      <c r="J864" s="173"/>
      <c r="K864" s="34"/>
      <c r="L864" s="34"/>
      <c r="M864" s="34"/>
      <c r="N864" s="34"/>
      <c r="O864" s="173"/>
    </row>
    <row r="865" spans="8:15" ht="12.75">
      <c r="H865" s="34"/>
      <c r="I865" s="34"/>
      <c r="J865" s="173"/>
      <c r="K865" s="34"/>
      <c r="L865" s="34"/>
      <c r="M865" s="34"/>
      <c r="N865" s="34"/>
      <c r="O865" s="173"/>
    </row>
    <row r="866" spans="8:15" ht="12.75">
      <c r="H866" s="34"/>
      <c r="I866" s="34"/>
      <c r="J866" s="173"/>
      <c r="K866" s="34"/>
      <c r="L866" s="34"/>
      <c r="M866" s="34"/>
      <c r="N866" s="34"/>
      <c r="O866" s="173"/>
    </row>
    <row r="867" spans="8:15" ht="12.75">
      <c r="H867" s="34"/>
      <c r="I867" s="34"/>
      <c r="J867" s="173"/>
      <c r="K867" s="34"/>
      <c r="L867" s="34"/>
      <c r="M867" s="34"/>
      <c r="N867" s="34"/>
      <c r="O867" s="173"/>
    </row>
    <row r="868" spans="8:15" ht="12.75">
      <c r="H868" s="34"/>
      <c r="I868" s="34"/>
      <c r="J868" s="173"/>
      <c r="K868" s="34"/>
      <c r="L868" s="34"/>
      <c r="M868" s="34"/>
      <c r="N868" s="34"/>
      <c r="O868" s="173"/>
    </row>
    <row r="869" spans="8:15" ht="12.75">
      <c r="H869" s="34"/>
      <c r="I869" s="34"/>
      <c r="J869" s="173"/>
      <c r="K869" s="34"/>
      <c r="L869" s="34"/>
      <c r="M869" s="34"/>
      <c r="N869" s="34"/>
      <c r="O869" s="173"/>
    </row>
    <row r="870" spans="8:15" ht="12.75">
      <c r="H870" s="34"/>
      <c r="I870" s="34"/>
      <c r="J870" s="173"/>
      <c r="K870" s="34"/>
      <c r="L870" s="34"/>
      <c r="M870" s="34"/>
      <c r="N870" s="34"/>
      <c r="O870" s="173"/>
    </row>
    <row r="871" spans="8:15" ht="12.75">
      <c r="H871" s="34"/>
      <c r="I871" s="34"/>
      <c r="J871" s="173"/>
      <c r="K871" s="34"/>
      <c r="L871" s="34"/>
      <c r="M871" s="34"/>
      <c r="N871" s="34"/>
      <c r="O871" s="173"/>
    </row>
    <row r="872" spans="8:15" ht="12.75">
      <c r="H872" s="34"/>
      <c r="I872" s="34"/>
      <c r="J872" s="173"/>
      <c r="K872" s="34"/>
      <c r="L872" s="34"/>
      <c r="M872" s="34"/>
      <c r="N872" s="34"/>
      <c r="O872" s="173"/>
    </row>
    <row r="873" spans="8:15" ht="12.75">
      <c r="H873" s="34"/>
      <c r="I873" s="34"/>
      <c r="J873" s="173"/>
      <c r="K873" s="34"/>
      <c r="L873" s="34"/>
      <c r="M873" s="34"/>
      <c r="N873" s="34"/>
      <c r="O873" s="173"/>
    </row>
    <row r="874" spans="8:15" ht="12.75">
      <c r="H874" s="34"/>
      <c r="I874" s="34"/>
      <c r="J874" s="173"/>
      <c r="K874" s="34"/>
      <c r="L874" s="34"/>
      <c r="M874" s="34"/>
      <c r="N874" s="34"/>
      <c r="O874" s="173"/>
    </row>
    <row r="875" spans="8:15" ht="12.75">
      <c r="H875" s="34"/>
      <c r="I875" s="34"/>
      <c r="J875" s="173"/>
      <c r="K875" s="34"/>
      <c r="L875" s="34"/>
      <c r="M875" s="34"/>
      <c r="N875" s="34"/>
      <c r="O875" s="173"/>
    </row>
    <row r="876" spans="8:15" ht="12.75">
      <c r="H876" s="34"/>
      <c r="I876" s="34"/>
      <c r="J876" s="173"/>
      <c r="K876" s="34"/>
      <c r="L876" s="34"/>
      <c r="M876" s="34"/>
      <c r="N876" s="34"/>
      <c r="O876" s="173"/>
    </row>
    <row r="877" spans="8:15" ht="12.75">
      <c r="H877" s="34"/>
      <c r="I877" s="34"/>
      <c r="J877" s="173"/>
      <c r="K877" s="34"/>
      <c r="L877" s="34"/>
      <c r="M877" s="34"/>
      <c r="N877" s="34"/>
      <c r="O877" s="173"/>
    </row>
    <row r="878" spans="8:15" ht="12.75">
      <c r="H878" s="34"/>
      <c r="I878" s="34"/>
      <c r="J878" s="173"/>
      <c r="K878" s="34"/>
      <c r="L878" s="34"/>
      <c r="M878" s="34"/>
      <c r="N878" s="34"/>
      <c r="O878" s="173"/>
    </row>
    <row r="879" spans="8:15" ht="12.75">
      <c r="H879" s="34"/>
      <c r="I879" s="34"/>
      <c r="J879" s="173"/>
      <c r="K879" s="34"/>
      <c r="L879" s="34"/>
      <c r="M879" s="34"/>
      <c r="N879" s="34"/>
      <c r="O879" s="173"/>
    </row>
    <row r="880" spans="8:15" ht="12.75">
      <c r="H880" s="34"/>
      <c r="I880" s="34"/>
      <c r="J880" s="173"/>
      <c r="K880" s="34"/>
      <c r="L880" s="34"/>
      <c r="M880" s="34"/>
      <c r="N880" s="34"/>
      <c r="O880" s="173"/>
    </row>
    <row r="881" spans="8:15" ht="12.75">
      <c r="H881" s="34"/>
      <c r="I881" s="34"/>
      <c r="J881" s="173"/>
      <c r="K881" s="34"/>
      <c r="L881" s="34"/>
      <c r="M881" s="34"/>
      <c r="N881" s="34"/>
      <c r="O881" s="173"/>
    </row>
    <row r="882" spans="8:15" ht="12.75">
      <c r="H882" s="34"/>
      <c r="I882" s="34"/>
      <c r="J882" s="173"/>
      <c r="K882" s="34"/>
      <c r="L882" s="34"/>
      <c r="M882" s="34"/>
      <c r="N882" s="34"/>
      <c r="O882" s="173"/>
    </row>
    <row r="883" spans="8:15" ht="12.75">
      <c r="H883" s="34"/>
      <c r="I883" s="34"/>
      <c r="J883" s="173"/>
      <c r="K883" s="34"/>
      <c r="L883" s="34"/>
      <c r="M883" s="34"/>
      <c r="N883" s="34"/>
      <c r="O883" s="173"/>
    </row>
    <row r="884" spans="8:15" ht="12.75">
      <c r="H884" s="34"/>
      <c r="I884" s="34"/>
      <c r="J884" s="173"/>
      <c r="K884" s="34"/>
      <c r="L884" s="34"/>
      <c r="M884" s="34"/>
      <c r="N884" s="34"/>
      <c r="O884" s="173"/>
    </row>
    <row r="885" spans="8:15" ht="12.75">
      <c r="H885" s="34"/>
      <c r="I885" s="34"/>
      <c r="J885" s="173"/>
      <c r="K885" s="34"/>
      <c r="L885" s="34"/>
      <c r="M885" s="34"/>
      <c r="N885" s="34"/>
      <c r="O885" s="173"/>
    </row>
    <row r="886" spans="8:15" ht="12.75">
      <c r="H886" s="34"/>
      <c r="I886" s="34"/>
      <c r="J886" s="173"/>
      <c r="K886" s="34"/>
      <c r="L886" s="34"/>
      <c r="M886" s="34"/>
      <c r="N886" s="34"/>
      <c r="O886" s="173"/>
    </row>
    <row r="887" spans="8:15" ht="12.75">
      <c r="H887" s="34"/>
      <c r="I887" s="34"/>
      <c r="J887" s="173"/>
      <c r="K887" s="34"/>
      <c r="L887" s="34"/>
      <c r="M887" s="34"/>
      <c r="N887" s="34"/>
      <c r="O887" s="173"/>
    </row>
    <row r="888" spans="8:15" ht="12.75">
      <c r="H888" s="34"/>
      <c r="I888" s="34"/>
      <c r="J888" s="173"/>
      <c r="K888" s="34"/>
      <c r="L888" s="34"/>
      <c r="M888" s="34"/>
      <c r="N888" s="34"/>
      <c r="O888" s="173"/>
    </row>
    <row r="889" spans="8:15" ht="12.75">
      <c r="H889" s="34"/>
      <c r="I889" s="34"/>
      <c r="J889" s="173"/>
      <c r="K889" s="34"/>
      <c r="L889" s="34"/>
      <c r="M889" s="34"/>
      <c r="N889" s="34"/>
      <c r="O889" s="173"/>
    </row>
    <row r="890" spans="8:15" ht="12.75">
      <c r="H890" s="34"/>
      <c r="I890" s="34"/>
      <c r="J890" s="173"/>
      <c r="K890" s="34"/>
      <c r="L890" s="34"/>
      <c r="M890" s="34"/>
      <c r="N890" s="34"/>
      <c r="O890" s="173"/>
    </row>
    <row r="891" spans="8:15" ht="12.75">
      <c r="H891" s="34"/>
      <c r="I891" s="34"/>
      <c r="J891" s="173"/>
      <c r="K891" s="34"/>
      <c r="L891" s="34"/>
      <c r="M891" s="34"/>
      <c r="N891" s="34"/>
      <c r="O891" s="173"/>
    </row>
    <row r="892" spans="8:15" ht="12.75">
      <c r="H892" s="34"/>
      <c r="I892" s="34"/>
      <c r="J892" s="173"/>
      <c r="K892" s="34"/>
      <c r="L892" s="34"/>
      <c r="M892" s="34"/>
      <c r="N892" s="34"/>
      <c r="O892" s="173"/>
    </row>
    <row r="893" spans="8:15" ht="12.75">
      <c r="H893" s="34"/>
      <c r="I893" s="34"/>
      <c r="J893" s="173"/>
      <c r="K893" s="34"/>
      <c r="L893" s="34"/>
      <c r="M893" s="34"/>
      <c r="N893" s="34"/>
      <c r="O893" s="173"/>
    </row>
    <row r="894" spans="8:15" ht="12.75">
      <c r="H894" s="34"/>
      <c r="I894" s="34"/>
      <c r="J894" s="173"/>
      <c r="K894" s="34"/>
      <c r="L894" s="34"/>
      <c r="M894" s="34"/>
      <c r="N894" s="34"/>
      <c r="O894" s="173"/>
    </row>
    <row r="895" spans="8:15" ht="12.75">
      <c r="H895" s="34"/>
      <c r="I895" s="34"/>
      <c r="J895" s="173"/>
      <c r="K895" s="34"/>
      <c r="L895" s="34"/>
      <c r="M895" s="34"/>
      <c r="N895" s="34"/>
      <c r="O895" s="173"/>
    </row>
    <row r="896" spans="8:15" ht="12.75">
      <c r="H896" s="34"/>
      <c r="I896" s="34"/>
      <c r="J896" s="173"/>
      <c r="K896" s="34"/>
      <c r="L896" s="34"/>
      <c r="M896" s="34"/>
      <c r="N896" s="34"/>
      <c r="O896" s="173"/>
    </row>
    <row r="897" spans="8:15" ht="12.75">
      <c r="H897" s="34"/>
      <c r="I897" s="34"/>
      <c r="J897" s="173"/>
      <c r="K897" s="34"/>
      <c r="L897" s="34"/>
      <c r="M897" s="34"/>
      <c r="N897" s="34"/>
      <c r="O897" s="173"/>
    </row>
    <row r="898" spans="8:15" ht="12.75">
      <c r="H898" s="34"/>
      <c r="I898" s="34"/>
      <c r="J898" s="173"/>
      <c r="K898" s="34"/>
      <c r="L898" s="34"/>
      <c r="M898" s="34"/>
      <c r="N898" s="34"/>
      <c r="O898" s="173"/>
    </row>
    <row r="899" spans="8:15" ht="12.75">
      <c r="H899" s="34"/>
      <c r="I899" s="34"/>
      <c r="J899" s="173"/>
      <c r="K899" s="34"/>
      <c r="L899" s="34"/>
      <c r="M899" s="34"/>
      <c r="N899" s="34"/>
      <c r="O899" s="173"/>
    </row>
    <row r="900" spans="8:15" ht="12.75">
      <c r="H900" s="34"/>
      <c r="I900" s="34"/>
      <c r="J900" s="173"/>
      <c r="K900" s="34"/>
      <c r="L900" s="34"/>
      <c r="M900" s="34"/>
      <c r="N900" s="34"/>
      <c r="O900" s="173"/>
    </row>
    <row r="901" spans="8:15" ht="12.75">
      <c r="H901" s="34"/>
      <c r="I901" s="34"/>
      <c r="J901" s="173"/>
      <c r="K901" s="34"/>
      <c r="L901" s="34"/>
      <c r="M901" s="34"/>
      <c r="N901" s="34"/>
      <c r="O901" s="173"/>
    </row>
    <row r="902" spans="8:15" ht="12.75">
      <c r="H902" s="34"/>
      <c r="I902" s="34"/>
      <c r="J902" s="173"/>
      <c r="K902" s="34"/>
      <c r="L902" s="34"/>
      <c r="M902" s="34"/>
      <c r="N902" s="34"/>
      <c r="O902" s="173"/>
    </row>
    <row r="903" spans="8:15" ht="12.75">
      <c r="H903" s="34"/>
      <c r="I903" s="34"/>
      <c r="J903" s="173"/>
      <c r="K903" s="34"/>
      <c r="L903" s="34"/>
      <c r="M903" s="34"/>
      <c r="N903" s="34"/>
      <c r="O903" s="173"/>
    </row>
    <row r="904" spans="8:15" ht="12.75">
      <c r="H904" s="34"/>
      <c r="I904" s="34"/>
      <c r="J904" s="173"/>
      <c r="K904" s="34"/>
      <c r="L904" s="34"/>
      <c r="M904" s="34"/>
      <c r="N904" s="34"/>
      <c r="O904" s="173"/>
    </row>
    <row r="905" spans="8:15" ht="12.75">
      <c r="H905" s="34"/>
      <c r="I905" s="34"/>
      <c r="J905" s="173"/>
      <c r="K905" s="34"/>
      <c r="L905" s="34"/>
      <c r="M905" s="34"/>
      <c r="N905" s="34"/>
      <c r="O905" s="173"/>
    </row>
    <row r="906" spans="8:15" ht="12.75">
      <c r="H906" s="34"/>
      <c r="I906" s="34"/>
      <c r="J906" s="173"/>
      <c r="K906" s="34"/>
      <c r="L906" s="34"/>
      <c r="M906" s="34"/>
      <c r="N906" s="34"/>
      <c r="O906" s="173"/>
    </row>
    <row r="907" spans="8:15" ht="12.75">
      <c r="H907" s="34"/>
      <c r="I907" s="34"/>
      <c r="J907" s="173"/>
      <c r="K907" s="34"/>
      <c r="L907" s="34"/>
      <c r="M907" s="34"/>
      <c r="N907" s="34"/>
      <c r="O907" s="173"/>
    </row>
    <row r="908" spans="8:15" ht="12.75">
      <c r="H908" s="34"/>
      <c r="I908" s="34"/>
      <c r="J908" s="173"/>
      <c r="K908" s="34"/>
      <c r="L908" s="34"/>
      <c r="M908" s="34"/>
      <c r="N908" s="34"/>
      <c r="O908" s="173"/>
    </row>
    <row r="909" spans="8:15" ht="12.75">
      <c r="H909" s="34"/>
      <c r="I909" s="34"/>
      <c r="J909" s="173"/>
      <c r="K909" s="34"/>
      <c r="L909" s="34"/>
      <c r="M909" s="34"/>
      <c r="N909" s="34"/>
      <c r="O909" s="173"/>
    </row>
    <row r="910" spans="8:15" ht="12.75">
      <c r="H910" s="34"/>
      <c r="I910" s="34"/>
      <c r="J910" s="173"/>
      <c r="K910" s="34"/>
      <c r="L910" s="34"/>
      <c r="M910" s="34"/>
      <c r="N910" s="34"/>
      <c r="O910" s="173"/>
    </row>
    <row r="911" spans="8:15" ht="12.75">
      <c r="H911" s="34"/>
      <c r="I911" s="34"/>
      <c r="J911" s="173"/>
      <c r="K911" s="34"/>
      <c r="L911" s="34"/>
      <c r="M911" s="34"/>
      <c r="N911" s="34"/>
      <c r="O911" s="173"/>
    </row>
    <row r="912" spans="8:15" ht="12.75">
      <c r="H912" s="34"/>
      <c r="I912" s="34"/>
      <c r="J912" s="173"/>
      <c r="K912" s="34"/>
      <c r="L912" s="34"/>
      <c r="M912" s="34"/>
      <c r="N912" s="34"/>
      <c r="O912" s="173"/>
    </row>
    <row r="913" spans="8:15" ht="12.75">
      <c r="H913" s="34"/>
      <c r="I913" s="34"/>
      <c r="J913" s="173"/>
      <c r="K913" s="34"/>
      <c r="L913" s="34"/>
      <c r="M913" s="34"/>
      <c r="N913" s="34"/>
      <c r="O913" s="173"/>
    </row>
    <row r="914" spans="8:15" ht="12.75">
      <c r="H914" s="34"/>
      <c r="I914" s="34"/>
      <c r="J914" s="173"/>
      <c r="K914" s="34"/>
      <c r="L914" s="34"/>
      <c r="M914" s="34"/>
      <c r="N914" s="34"/>
      <c r="O914" s="173"/>
    </row>
    <row r="915" spans="8:15" ht="12.75">
      <c r="H915" s="34"/>
      <c r="I915" s="34"/>
      <c r="J915" s="173"/>
      <c r="K915" s="34"/>
      <c r="L915" s="34"/>
      <c r="M915" s="34"/>
      <c r="N915" s="34"/>
      <c r="O915" s="173"/>
    </row>
    <row r="916" spans="8:15" ht="12.75">
      <c r="H916" s="34"/>
      <c r="I916" s="34"/>
      <c r="J916" s="173"/>
      <c r="K916" s="34"/>
      <c r="L916" s="34"/>
      <c r="M916" s="34"/>
      <c r="N916" s="34"/>
      <c r="O916" s="173"/>
    </row>
    <row r="917" spans="8:15" ht="12.75">
      <c r="H917" s="34"/>
      <c r="I917" s="34"/>
      <c r="J917" s="173"/>
      <c r="K917" s="34"/>
      <c r="L917" s="34"/>
      <c r="M917" s="34"/>
      <c r="N917" s="34"/>
      <c r="O917" s="173"/>
    </row>
    <row r="918" spans="8:15" ht="12.75">
      <c r="H918" s="34"/>
      <c r="I918" s="34"/>
      <c r="J918" s="173"/>
      <c r="K918" s="34"/>
      <c r="L918" s="34"/>
      <c r="M918" s="34"/>
      <c r="N918" s="34"/>
      <c r="O918" s="173"/>
    </row>
    <row r="919" spans="8:15" ht="12.75">
      <c r="H919" s="34"/>
      <c r="I919" s="34"/>
      <c r="J919" s="173"/>
      <c r="K919" s="34"/>
      <c r="L919" s="34"/>
      <c r="M919" s="34"/>
      <c r="N919" s="34"/>
      <c r="O919" s="173"/>
    </row>
    <row r="920" spans="8:15" ht="12.75">
      <c r="H920" s="34"/>
      <c r="I920" s="34"/>
      <c r="J920" s="173"/>
      <c r="K920" s="34"/>
      <c r="L920" s="34"/>
      <c r="M920" s="34"/>
      <c r="N920" s="34"/>
      <c r="O920" s="173"/>
    </row>
    <row r="921" spans="8:15" ht="12.75">
      <c r="H921" s="34"/>
      <c r="I921" s="34"/>
      <c r="J921" s="173"/>
      <c r="K921" s="34"/>
      <c r="L921" s="34"/>
      <c r="M921" s="34"/>
      <c r="N921" s="34"/>
      <c r="O921" s="173"/>
    </row>
    <row r="922" spans="8:15" ht="12.75">
      <c r="H922" s="34"/>
      <c r="I922" s="34"/>
      <c r="J922" s="173"/>
      <c r="K922" s="34"/>
      <c r="L922" s="34"/>
      <c r="M922" s="34"/>
      <c r="N922" s="34"/>
      <c r="O922" s="173"/>
    </row>
    <row r="923" spans="8:15" ht="12.75">
      <c r="H923" s="34"/>
      <c r="I923" s="34"/>
      <c r="J923" s="173"/>
      <c r="K923" s="34"/>
      <c r="L923" s="34"/>
      <c r="M923" s="34"/>
      <c r="N923" s="34"/>
      <c r="O923" s="173"/>
    </row>
    <row r="924" spans="8:15" ht="12.75">
      <c r="H924" s="34"/>
      <c r="I924" s="34"/>
      <c r="J924" s="173"/>
      <c r="K924" s="34"/>
      <c r="L924" s="34"/>
      <c r="M924" s="34"/>
      <c r="N924" s="34"/>
      <c r="O924" s="173"/>
    </row>
    <row r="925" spans="8:15" ht="12.75">
      <c r="H925" s="34"/>
      <c r="I925" s="34"/>
      <c r="J925" s="173"/>
      <c r="K925" s="34"/>
      <c r="L925" s="34"/>
      <c r="M925" s="34"/>
      <c r="N925" s="34"/>
      <c r="O925" s="173"/>
    </row>
    <row r="926" spans="8:15" ht="12.75">
      <c r="H926" s="34"/>
      <c r="I926" s="34"/>
      <c r="J926" s="173"/>
      <c r="K926" s="34"/>
      <c r="L926" s="34"/>
      <c r="M926" s="34"/>
      <c r="N926" s="34"/>
      <c r="O926" s="173"/>
    </row>
    <row r="927" spans="8:15" ht="12.75">
      <c r="H927" s="34"/>
      <c r="I927" s="34"/>
      <c r="J927" s="173"/>
      <c r="K927" s="34"/>
      <c r="L927" s="34"/>
      <c r="M927" s="34"/>
      <c r="N927" s="34"/>
      <c r="O927" s="173"/>
    </row>
    <row r="928" spans="8:15" ht="12.75">
      <c r="H928" s="34"/>
      <c r="I928" s="34"/>
      <c r="J928" s="173"/>
      <c r="K928" s="34"/>
      <c r="L928" s="34"/>
      <c r="M928" s="34"/>
      <c r="N928" s="34"/>
      <c r="O928" s="173"/>
    </row>
    <row r="929" spans="8:15" ht="12.75">
      <c r="H929" s="34"/>
      <c r="I929" s="34"/>
      <c r="J929" s="173"/>
      <c r="K929" s="34"/>
      <c r="L929" s="34"/>
      <c r="M929" s="34"/>
      <c r="N929" s="34"/>
      <c r="O929" s="173"/>
    </row>
    <row r="930" spans="8:15" ht="12.75">
      <c r="H930" s="34"/>
      <c r="I930" s="34"/>
      <c r="J930" s="173"/>
      <c r="K930" s="34"/>
      <c r="L930" s="34"/>
      <c r="M930" s="34"/>
      <c r="N930" s="34"/>
      <c r="O930" s="173"/>
    </row>
    <row r="931" spans="8:15" ht="12.75">
      <c r="H931" s="34"/>
      <c r="I931" s="34"/>
      <c r="J931" s="173"/>
      <c r="K931" s="34"/>
      <c r="L931" s="34"/>
      <c r="M931" s="34"/>
      <c r="N931" s="34"/>
      <c r="O931" s="173"/>
    </row>
    <row r="932" spans="8:15" ht="12.75">
      <c r="H932" s="34"/>
      <c r="I932" s="34"/>
      <c r="J932" s="173"/>
      <c r="K932" s="34"/>
      <c r="L932" s="34"/>
      <c r="M932" s="34"/>
      <c r="N932" s="34"/>
      <c r="O932" s="173"/>
    </row>
    <row r="933" spans="8:15" ht="12.75">
      <c r="H933" s="34"/>
      <c r="I933" s="34"/>
      <c r="J933" s="173"/>
      <c r="K933" s="34"/>
      <c r="L933" s="34"/>
      <c r="M933" s="34"/>
      <c r="N933" s="34"/>
      <c r="O933" s="173"/>
    </row>
    <row r="934" spans="8:15" ht="12.75">
      <c r="H934" s="34"/>
      <c r="I934" s="34"/>
      <c r="J934" s="173"/>
      <c r="K934" s="34"/>
      <c r="L934" s="34"/>
      <c r="M934" s="34"/>
      <c r="N934" s="34"/>
      <c r="O934" s="173"/>
    </row>
    <row r="935" spans="8:15" ht="12.75">
      <c r="H935" s="34"/>
      <c r="I935" s="34"/>
      <c r="J935" s="173"/>
      <c r="K935" s="34"/>
      <c r="L935" s="34"/>
      <c r="M935" s="34"/>
      <c r="N935" s="34"/>
      <c r="O935" s="173"/>
    </row>
    <row r="936" spans="8:15" ht="12.75">
      <c r="H936" s="34"/>
      <c r="I936" s="34"/>
      <c r="J936" s="173"/>
      <c r="K936" s="34"/>
      <c r="L936" s="34"/>
      <c r="M936" s="34"/>
      <c r="N936" s="34"/>
      <c r="O936" s="173"/>
    </row>
    <row r="937" spans="8:15" ht="12.75">
      <c r="H937" s="34"/>
      <c r="I937" s="34"/>
      <c r="J937" s="173"/>
      <c r="K937" s="34"/>
      <c r="L937" s="34"/>
      <c r="M937" s="34"/>
      <c r="N937" s="34"/>
      <c r="O937" s="173"/>
    </row>
    <row r="938" spans="8:15" ht="12.75">
      <c r="H938" s="34"/>
      <c r="I938" s="34"/>
      <c r="J938" s="173"/>
      <c r="K938" s="34"/>
      <c r="L938" s="34"/>
      <c r="M938" s="34"/>
      <c r="N938" s="34"/>
      <c r="O938" s="173"/>
    </row>
    <row r="939" spans="8:15" ht="12.75">
      <c r="H939" s="34"/>
      <c r="I939" s="34"/>
      <c r="J939" s="173"/>
      <c r="K939" s="34"/>
      <c r="L939" s="34"/>
      <c r="M939" s="34"/>
      <c r="N939" s="34"/>
      <c r="O939" s="173"/>
    </row>
    <row r="940" spans="8:15" ht="12.75">
      <c r="H940" s="34"/>
      <c r="I940" s="34"/>
      <c r="J940" s="173"/>
      <c r="K940" s="34"/>
      <c r="L940" s="34"/>
      <c r="M940" s="34"/>
      <c r="N940" s="34"/>
      <c r="O940" s="173"/>
    </row>
    <row r="941" spans="8:15" ht="12.75">
      <c r="H941" s="34"/>
      <c r="I941" s="34"/>
      <c r="J941" s="173"/>
      <c r="K941" s="34"/>
      <c r="L941" s="34"/>
      <c r="M941" s="34"/>
      <c r="N941" s="34"/>
      <c r="O941" s="173"/>
    </row>
    <row r="942" spans="8:15" ht="12.75">
      <c r="H942" s="34"/>
      <c r="I942" s="34"/>
      <c r="J942" s="173"/>
      <c r="K942" s="34"/>
      <c r="L942" s="34"/>
      <c r="M942" s="34"/>
      <c r="N942" s="34"/>
      <c r="O942" s="173"/>
    </row>
    <row r="943" spans="8:15" ht="12.75">
      <c r="H943" s="34"/>
      <c r="I943" s="34"/>
      <c r="J943" s="173"/>
      <c r="K943" s="34"/>
      <c r="L943" s="34"/>
      <c r="M943" s="34"/>
      <c r="N943" s="34"/>
      <c r="O943" s="173"/>
    </row>
    <row r="944" spans="8:15" ht="12.75">
      <c r="H944" s="34"/>
      <c r="I944" s="34"/>
      <c r="J944" s="173"/>
      <c r="K944" s="34"/>
      <c r="L944" s="34"/>
      <c r="M944" s="34"/>
      <c r="N944" s="34"/>
      <c r="O944" s="173"/>
    </row>
    <row r="945" spans="8:15" ht="12.75">
      <c r="H945" s="34"/>
      <c r="I945" s="34"/>
      <c r="J945" s="173"/>
      <c r="K945" s="34"/>
      <c r="L945" s="34"/>
      <c r="M945" s="34"/>
      <c r="N945" s="34"/>
      <c r="O945" s="173"/>
    </row>
    <row r="946" spans="8:15" ht="12.75">
      <c r="H946" s="34"/>
      <c r="I946" s="34"/>
      <c r="J946" s="173"/>
      <c r="K946" s="34"/>
      <c r="L946" s="34"/>
      <c r="M946" s="34"/>
      <c r="N946" s="34"/>
      <c r="O946" s="173"/>
    </row>
    <row r="947" spans="8:15" ht="12.75">
      <c r="H947" s="34"/>
      <c r="I947" s="34"/>
      <c r="J947" s="173"/>
      <c r="K947" s="34"/>
      <c r="L947" s="34"/>
      <c r="M947" s="34"/>
      <c r="N947" s="34"/>
      <c r="O947" s="173"/>
    </row>
    <row r="948" spans="8:15" ht="12.75">
      <c r="H948" s="34"/>
      <c r="I948" s="34"/>
      <c r="J948" s="173"/>
      <c r="K948" s="34"/>
      <c r="L948" s="34"/>
      <c r="M948" s="34"/>
      <c r="N948" s="34"/>
      <c r="O948" s="173"/>
    </row>
    <row r="949" spans="8:15" ht="12.75">
      <c r="H949" s="34"/>
      <c r="I949" s="34"/>
      <c r="J949" s="173"/>
      <c r="K949" s="34"/>
      <c r="L949" s="34"/>
      <c r="M949" s="34"/>
      <c r="N949" s="34"/>
      <c r="O949" s="173"/>
    </row>
    <row r="950" spans="8:15" ht="12.75">
      <c r="H950" s="34"/>
      <c r="I950" s="34"/>
      <c r="J950" s="173"/>
      <c r="K950" s="34"/>
      <c r="L950" s="34"/>
      <c r="M950" s="34"/>
      <c r="N950" s="34"/>
      <c r="O950" s="173"/>
    </row>
    <row r="951" spans="8:15" ht="12.75">
      <c r="H951" s="34"/>
      <c r="I951" s="34"/>
      <c r="J951" s="173"/>
      <c r="K951" s="34"/>
      <c r="L951" s="34"/>
      <c r="M951" s="34"/>
      <c r="N951" s="34"/>
      <c r="O951" s="173"/>
    </row>
    <row r="952" spans="8:15" ht="12.75">
      <c r="H952" s="34"/>
      <c r="I952" s="34"/>
      <c r="J952" s="173"/>
      <c r="K952" s="34"/>
      <c r="L952" s="34"/>
      <c r="M952" s="34"/>
      <c r="N952" s="34"/>
      <c r="O952" s="173"/>
    </row>
    <row r="953" spans="8:15" ht="12.75">
      <c r="H953" s="34"/>
      <c r="I953" s="34"/>
      <c r="J953" s="173"/>
      <c r="K953" s="34"/>
      <c r="L953" s="34"/>
      <c r="M953" s="34"/>
      <c r="N953" s="34"/>
      <c r="O953" s="173"/>
    </row>
    <row r="954" spans="8:15" ht="12.75">
      <c r="H954" s="34"/>
      <c r="I954" s="34"/>
      <c r="J954" s="173"/>
      <c r="K954" s="34"/>
      <c r="L954" s="34"/>
      <c r="M954" s="34"/>
      <c r="N954" s="34"/>
      <c r="O954" s="173"/>
    </row>
    <row r="955" spans="8:15" ht="12.75">
      <c r="H955" s="34"/>
      <c r="I955" s="34"/>
      <c r="J955" s="173"/>
      <c r="K955" s="34"/>
      <c r="L955" s="34"/>
      <c r="M955" s="34"/>
      <c r="N955" s="34"/>
      <c r="O955" s="173"/>
    </row>
    <row r="956" spans="8:15" ht="12.75">
      <c r="H956" s="34"/>
      <c r="I956" s="34"/>
      <c r="J956" s="173"/>
      <c r="K956" s="34"/>
      <c r="L956" s="34"/>
      <c r="M956" s="34"/>
      <c r="N956" s="34"/>
      <c r="O956" s="173"/>
    </row>
    <row r="957" spans="8:15" ht="12.75">
      <c r="H957" s="34"/>
      <c r="I957" s="34"/>
      <c r="J957" s="173"/>
      <c r="K957" s="34"/>
      <c r="L957" s="34"/>
      <c r="M957" s="34"/>
      <c r="N957" s="34"/>
      <c r="O957" s="173"/>
    </row>
    <row r="958" spans="8:15" ht="12.75">
      <c r="H958" s="34"/>
      <c r="I958" s="34"/>
      <c r="J958" s="173"/>
      <c r="K958" s="34"/>
      <c r="L958" s="34"/>
      <c r="M958" s="34"/>
      <c r="N958" s="34"/>
      <c r="O958" s="173"/>
    </row>
    <row r="959" spans="8:15" ht="12.75">
      <c r="H959" s="34"/>
      <c r="I959" s="34"/>
      <c r="J959" s="173"/>
      <c r="K959" s="34"/>
      <c r="L959" s="34"/>
      <c r="M959" s="34"/>
      <c r="N959" s="34"/>
      <c r="O959" s="173"/>
    </row>
    <row r="960" spans="8:15" ht="12.75">
      <c r="H960" s="34"/>
      <c r="I960" s="34"/>
      <c r="J960" s="173"/>
      <c r="K960" s="34"/>
      <c r="L960" s="34"/>
      <c r="M960" s="34"/>
      <c r="N960" s="34"/>
      <c r="O960" s="173"/>
    </row>
    <row r="961" spans="8:15" ht="12.75">
      <c r="H961" s="34"/>
      <c r="I961" s="34"/>
      <c r="J961" s="173"/>
      <c r="K961" s="34"/>
      <c r="L961" s="34"/>
      <c r="M961" s="34"/>
      <c r="N961" s="34"/>
      <c r="O961" s="173"/>
    </row>
    <row r="962" spans="8:15" ht="12.75">
      <c r="H962" s="34"/>
      <c r="I962" s="34"/>
      <c r="J962" s="173"/>
      <c r="K962" s="34"/>
      <c r="L962" s="34"/>
      <c r="M962" s="34"/>
      <c r="N962" s="34"/>
      <c r="O962" s="173"/>
    </row>
    <row r="963" spans="8:15" ht="12.75">
      <c r="H963" s="34"/>
      <c r="I963" s="34"/>
      <c r="J963" s="173"/>
      <c r="K963" s="34"/>
      <c r="L963" s="34"/>
      <c r="M963" s="34"/>
      <c r="N963" s="34"/>
      <c r="O963" s="173"/>
    </row>
    <row r="964" spans="8:15" ht="12.75">
      <c r="H964" s="34"/>
      <c r="I964" s="34"/>
      <c r="J964" s="173"/>
      <c r="K964" s="34"/>
      <c r="L964" s="34"/>
      <c r="M964" s="34"/>
      <c r="N964" s="34"/>
      <c r="O964" s="173"/>
    </row>
    <row r="965" spans="8:15" ht="12.75">
      <c r="H965" s="34"/>
      <c r="I965" s="34"/>
      <c r="J965" s="173"/>
      <c r="K965" s="34"/>
      <c r="L965" s="34"/>
      <c r="M965" s="34"/>
      <c r="N965" s="34"/>
      <c r="O965" s="173"/>
    </row>
    <row r="966" spans="8:15" ht="12.75">
      <c r="H966" s="34"/>
      <c r="I966" s="34"/>
      <c r="J966" s="173"/>
      <c r="K966" s="34"/>
      <c r="L966" s="34"/>
      <c r="M966" s="34"/>
      <c r="N966" s="34"/>
      <c r="O966" s="173"/>
    </row>
    <row r="967" spans="8:15" ht="12.75">
      <c r="H967" s="34"/>
      <c r="I967" s="34"/>
      <c r="J967" s="173"/>
      <c r="K967" s="34"/>
      <c r="L967" s="34"/>
      <c r="M967" s="34"/>
      <c r="N967" s="34"/>
      <c r="O967" s="173"/>
    </row>
    <row r="968" spans="8:15" ht="12.75">
      <c r="H968" s="34"/>
      <c r="I968" s="34"/>
      <c r="J968" s="173"/>
      <c r="K968" s="34"/>
      <c r="L968" s="34"/>
      <c r="M968" s="34"/>
      <c r="N968" s="34"/>
      <c r="O968" s="173"/>
    </row>
    <row r="969" spans="8:15" ht="12.75">
      <c r="H969" s="34"/>
      <c r="I969" s="34"/>
      <c r="J969" s="173"/>
      <c r="K969" s="34"/>
      <c r="L969" s="34"/>
      <c r="M969" s="34"/>
      <c r="N969" s="34"/>
      <c r="O969" s="173"/>
    </row>
    <row r="970" spans="8:15" ht="12.75">
      <c r="H970" s="34"/>
      <c r="I970" s="34"/>
      <c r="J970" s="173"/>
      <c r="K970" s="34"/>
      <c r="L970" s="34"/>
      <c r="M970" s="34"/>
      <c r="N970" s="34"/>
      <c r="O970" s="173"/>
    </row>
    <row r="971" spans="8:15" ht="12.75">
      <c r="H971" s="34"/>
      <c r="I971" s="34"/>
      <c r="J971" s="173"/>
      <c r="K971" s="34"/>
      <c r="L971" s="34"/>
      <c r="M971" s="34"/>
      <c r="N971" s="34"/>
      <c r="O971" s="173"/>
    </row>
    <row r="972" spans="8:15" ht="12.75">
      <c r="H972" s="34"/>
      <c r="I972" s="34"/>
      <c r="J972" s="173"/>
      <c r="K972" s="34"/>
      <c r="L972" s="34"/>
      <c r="M972" s="34"/>
      <c r="N972" s="34"/>
      <c r="O972" s="173"/>
    </row>
    <row r="973" spans="8:15" ht="12.75">
      <c r="H973" s="34"/>
      <c r="I973" s="34"/>
      <c r="J973" s="173"/>
      <c r="K973" s="34"/>
      <c r="L973" s="34"/>
      <c r="M973" s="34"/>
      <c r="N973" s="34"/>
      <c r="O973" s="173"/>
    </row>
    <row r="974" spans="8:15" ht="12.75">
      <c r="H974" s="34"/>
      <c r="I974" s="34"/>
      <c r="J974" s="173"/>
      <c r="K974" s="34"/>
      <c r="L974" s="34"/>
      <c r="M974" s="34"/>
      <c r="N974" s="34"/>
      <c r="O974" s="173"/>
    </row>
    <row r="975" spans="8:15" ht="12.75">
      <c r="H975" s="34"/>
      <c r="I975" s="34"/>
      <c r="J975" s="173"/>
      <c r="K975" s="34"/>
      <c r="L975" s="34"/>
      <c r="M975" s="34"/>
      <c r="N975" s="34"/>
      <c r="O975" s="173"/>
    </row>
    <row r="976" spans="8:15" ht="12.75">
      <c r="H976" s="34"/>
      <c r="I976" s="34"/>
      <c r="J976" s="173"/>
      <c r="K976" s="34"/>
      <c r="L976" s="34"/>
      <c r="M976" s="34"/>
      <c r="N976" s="34"/>
      <c r="O976" s="173"/>
    </row>
    <row r="977" spans="8:15" ht="12.75">
      <c r="H977" s="34"/>
      <c r="I977" s="34"/>
      <c r="J977" s="173"/>
      <c r="K977" s="34"/>
      <c r="L977" s="34"/>
      <c r="M977" s="34"/>
      <c r="N977" s="34"/>
      <c r="O977" s="173"/>
    </row>
    <row r="978" spans="8:15" ht="12.75">
      <c r="H978" s="34"/>
      <c r="I978" s="34"/>
      <c r="J978" s="173"/>
      <c r="K978" s="34"/>
      <c r="L978" s="34"/>
      <c r="M978" s="34"/>
      <c r="N978" s="34"/>
      <c r="O978" s="173"/>
    </row>
    <row r="979" spans="8:15" ht="12.75">
      <c r="H979" s="34"/>
      <c r="I979" s="34"/>
      <c r="J979" s="173"/>
      <c r="K979" s="34"/>
      <c r="L979" s="34"/>
      <c r="M979" s="34"/>
      <c r="N979" s="34"/>
      <c r="O979" s="173"/>
    </row>
    <row r="980" spans="8:15" ht="12.75">
      <c r="H980" s="34"/>
      <c r="I980" s="34"/>
      <c r="J980" s="173"/>
      <c r="K980" s="34"/>
      <c r="L980" s="34"/>
      <c r="M980" s="34"/>
      <c r="N980" s="34"/>
      <c r="O980" s="173"/>
    </row>
    <row r="981" spans="8:15" ht="12.75">
      <c r="H981" s="34"/>
      <c r="I981" s="34"/>
      <c r="J981" s="173"/>
      <c r="K981" s="34"/>
      <c r="L981" s="34"/>
      <c r="M981" s="34"/>
      <c r="N981" s="34"/>
      <c r="O981" s="173"/>
    </row>
    <row r="982" spans="8:15" ht="12.75">
      <c r="H982" s="34"/>
      <c r="I982" s="34"/>
      <c r="J982" s="173"/>
      <c r="K982" s="34"/>
      <c r="L982" s="34"/>
      <c r="M982" s="34"/>
      <c r="N982" s="34"/>
      <c r="O982" s="173"/>
    </row>
    <row r="983" spans="8:15" ht="12.75">
      <c r="H983" s="34"/>
      <c r="I983" s="34"/>
      <c r="J983" s="173"/>
      <c r="K983" s="34"/>
      <c r="L983" s="34"/>
      <c r="M983" s="34"/>
      <c r="N983" s="34"/>
      <c r="O983" s="173"/>
    </row>
    <row r="984" spans="8:15" ht="12.75">
      <c r="H984" s="34"/>
      <c r="I984" s="34"/>
      <c r="J984" s="173"/>
      <c r="K984" s="34"/>
      <c r="L984" s="34"/>
      <c r="M984" s="34"/>
      <c r="N984" s="34"/>
      <c r="O984" s="173"/>
    </row>
    <row r="985" spans="8:15" ht="12.75">
      <c r="H985" s="34"/>
      <c r="I985" s="34"/>
      <c r="J985" s="173"/>
      <c r="K985" s="34"/>
      <c r="L985" s="34"/>
      <c r="M985" s="34"/>
      <c r="N985" s="34"/>
      <c r="O985" s="173"/>
    </row>
    <row r="986" spans="8:15" ht="12.75">
      <c r="H986" s="34"/>
      <c r="I986" s="34"/>
      <c r="J986" s="173"/>
      <c r="K986" s="34"/>
      <c r="L986" s="34"/>
      <c r="M986" s="34"/>
      <c r="N986" s="34"/>
      <c r="O986" s="173"/>
    </row>
    <row r="987" spans="8:15" ht="12.75">
      <c r="H987" s="34"/>
      <c r="I987" s="34"/>
      <c r="J987" s="173"/>
      <c r="K987" s="34"/>
      <c r="L987" s="34"/>
      <c r="M987" s="34"/>
      <c r="N987" s="34"/>
      <c r="O987" s="173"/>
    </row>
    <row r="988" spans="8:15" ht="12.75">
      <c r="H988" s="34"/>
      <c r="I988" s="34"/>
      <c r="J988" s="173"/>
      <c r="K988" s="34"/>
      <c r="L988" s="34"/>
      <c r="M988" s="34"/>
      <c r="N988" s="34"/>
      <c r="O988" s="173"/>
    </row>
    <row r="989" spans="8:15" ht="12.75">
      <c r="H989" s="34"/>
      <c r="I989" s="34"/>
      <c r="J989" s="173"/>
      <c r="K989" s="34"/>
      <c r="L989" s="34"/>
      <c r="M989" s="34"/>
      <c r="N989" s="34"/>
      <c r="O989" s="173"/>
    </row>
    <row r="990" spans="8:15" ht="12.75">
      <c r="H990" s="34"/>
      <c r="I990" s="34"/>
      <c r="J990" s="173"/>
      <c r="K990" s="34"/>
      <c r="L990" s="34"/>
      <c r="M990" s="34"/>
      <c r="N990" s="34"/>
      <c r="O990" s="173"/>
    </row>
    <row r="991" spans="8:15" ht="12.75">
      <c r="H991" s="34"/>
      <c r="I991" s="34"/>
      <c r="J991" s="173"/>
      <c r="K991" s="34"/>
      <c r="L991" s="34"/>
      <c r="M991" s="34"/>
      <c r="N991" s="34"/>
      <c r="O991" s="173"/>
    </row>
    <row r="992" spans="8:15" ht="12.75">
      <c r="H992" s="34"/>
      <c r="I992" s="34"/>
      <c r="J992" s="173"/>
      <c r="K992" s="34"/>
      <c r="L992" s="34"/>
      <c r="M992" s="34"/>
      <c r="N992" s="34"/>
      <c r="O992" s="173"/>
    </row>
    <row r="993" spans="8:15" ht="12.75">
      <c r="H993" s="34"/>
      <c r="I993" s="34"/>
      <c r="J993" s="173"/>
      <c r="K993" s="34"/>
      <c r="L993" s="34"/>
      <c r="M993" s="34"/>
      <c r="N993" s="34"/>
      <c r="O993" s="173"/>
    </row>
    <row r="994" spans="8:15" ht="12.75">
      <c r="H994" s="34"/>
      <c r="I994" s="34"/>
      <c r="J994" s="173"/>
      <c r="K994" s="34"/>
      <c r="L994" s="34"/>
      <c r="M994" s="34"/>
      <c r="N994" s="34"/>
      <c r="O994" s="173"/>
    </row>
    <row r="995" spans="8:15" ht="12.75">
      <c r="H995" s="34"/>
      <c r="I995" s="34"/>
      <c r="J995" s="173"/>
      <c r="K995" s="34"/>
      <c r="L995" s="34"/>
      <c r="M995" s="34"/>
      <c r="N995" s="34"/>
      <c r="O995" s="173"/>
    </row>
    <row r="996" spans="8:15" ht="12.75">
      <c r="H996" s="34"/>
      <c r="I996" s="34"/>
      <c r="J996" s="173"/>
      <c r="K996" s="34"/>
      <c r="L996" s="34"/>
      <c r="M996" s="34"/>
      <c r="N996" s="34"/>
      <c r="O996" s="173"/>
    </row>
    <row r="997" spans="8:15" ht="12.75">
      <c r="H997" s="34"/>
      <c r="I997" s="34"/>
      <c r="J997" s="173"/>
      <c r="K997" s="34"/>
      <c r="L997" s="34"/>
      <c r="M997" s="34"/>
      <c r="N997" s="34"/>
      <c r="O997" s="173"/>
    </row>
    <row r="998" spans="8:15" ht="12.75">
      <c r="H998" s="34"/>
      <c r="I998" s="34"/>
      <c r="J998" s="173"/>
      <c r="K998" s="34"/>
      <c r="L998" s="34"/>
      <c r="M998" s="34"/>
      <c r="N998" s="34"/>
      <c r="O998" s="173"/>
    </row>
    <row r="999" spans="8:15" ht="12.75">
      <c r="H999" s="34"/>
      <c r="I999" s="34"/>
      <c r="J999" s="173"/>
      <c r="K999" s="34"/>
      <c r="L999" s="34"/>
      <c r="M999" s="34"/>
      <c r="N999" s="34"/>
      <c r="O999" s="173"/>
    </row>
    <row r="1000" spans="8:15" ht="12.75">
      <c r="H1000" s="34"/>
      <c r="I1000" s="34"/>
      <c r="J1000" s="173"/>
      <c r="K1000" s="34"/>
      <c r="L1000" s="34"/>
      <c r="M1000" s="34"/>
      <c r="N1000" s="34"/>
      <c r="O1000" s="173"/>
    </row>
    <row r="1001" spans="8:15" ht="12.75">
      <c r="H1001" s="34"/>
      <c r="I1001" s="34"/>
      <c r="J1001" s="173"/>
      <c r="K1001" s="34"/>
      <c r="L1001" s="34"/>
      <c r="M1001" s="34"/>
      <c r="N1001" s="34"/>
      <c r="O1001" s="173"/>
    </row>
  </sheetData>
  <mergeCells count="4">
    <mergeCell ref="J3:L3"/>
    <mergeCell ref="N3:O3"/>
    <mergeCell ref="J13:L13"/>
    <mergeCell ref="J24:L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Setup</vt:lpstr>
      <vt:lpstr>Summary</vt:lpstr>
      <vt:lpstr>Cards</vt:lpstr>
      <vt:lpstr>Missing Cards</vt:lpstr>
      <vt:lpstr>Pack Statistics</vt:lpstr>
      <vt:lpstr>Deck Check</vt:lpstr>
      <vt:lpstr>Feedback</vt:lpstr>
      <vt:lpstr>Changelog</vt:lpstr>
      <vt:lpstr>Reference</vt:lpstr>
      <vt:lpstr>Misc Data</vt:lpstr>
      <vt:lpstr>Sort_Full_Collection</vt:lpstr>
      <vt:lpstr>Sort_Pre_TOG_If_Unsorted</vt:lpstr>
      <vt:lpstr>TOG_If_Unsorted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2016-04-30T15:35:08Z</dcterms:created>
  <dc:creator>Kristopher Schmidt</dc:creator>
  <cp:lastModifiedBy>Kris</cp:lastModifiedBy>
  <dcterms:modified xsi:type="dcterms:W3CDTF">2016-04-30T15:35:08Z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395be4fd-9f97-4cf0-b2a0-4a0c77f7b0e0</vt:lpwstr>
  </property>
</Properties>
</file>